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unch Pro" sheetId="1" r:id="rId3"/>
    <sheet state="visible" name="Punch Pro - Origional" sheetId="2" r:id="rId4"/>
  </sheets>
  <definedNames>
    <definedName hidden="1" localSheetId="0" name="_xlnm._FilterDatabase">'Punch Pro'!$A$3:$E$160</definedName>
    <definedName hidden="1" localSheetId="1" name="_xlnm._FilterDatabase">'Punch Pro - Origional'!$A$3:$E$160</definedName>
  </definedNames>
  <calcPr/>
</workbook>
</file>

<file path=xl/sharedStrings.xml><?xml version="1.0" encoding="utf-8"?>
<sst xmlns="http://schemas.openxmlformats.org/spreadsheetml/2006/main" count="447" uniqueCount="300">
  <si>
    <t>PUNCH PRO - ANIMATION LIST</t>
  </si>
  <si>
    <t>NAME</t>
  </si>
  <si>
    <t>DESCRIPTION</t>
  </si>
  <si>
    <t>IDLES, FIDGETS</t>
  </si>
  <si>
    <t>Idle</t>
  </si>
  <si>
    <t>-</t>
  </si>
  <si>
    <t>Stand Fight Stance loop</t>
  </si>
  <si>
    <t>Idle_Fidget_V1</t>
  </si>
  <si>
    <t xml:space="preserve">Shifting weight </t>
  </si>
  <si>
    <t>Idle_Fidget_V2</t>
  </si>
  <si>
    <t>Quick weight shift with hip and shoulder for a slight feint</t>
  </si>
  <si>
    <t>Idle_Fidget_V3</t>
  </si>
  <si>
    <t>Taunt with right hand motioning them to come get some</t>
  </si>
  <si>
    <t>Idle_Fidget_V4</t>
  </si>
  <si>
    <t>Taunt holds arm out and open while shifting weight side to side</t>
  </si>
  <si>
    <t>Idle_Fidget_V5</t>
  </si>
  <si>
    <t>Hoping up and down while shaking out arms</t>
  </si>
  <si>
    <t>Idle_Fidget_V6</t>
  </si>
  <si>
    <t xml:space="preserve">Drops weight and shifts right and back for a quick feint dodge </t>
  </si>
  <si>
    <t>Idle_Fidget_V7</t>
  </si>
  <si>
    <t xml:space="preserve">Drops weight and shifts right and forward a quick feint punch </t>
  </si>
  <si>
    <t>Idle_Fidget_V8</t>
  </si>
  <si>
    <t>Shuffling in-place ready to fight</t>
  </si>
  <si>
    <t>Idle_Hurt_V1</t>
  </si>
  <si>
    <t>Stand Fight Stance with slight limp during in-place shuffle</t>
  </si>
  <si>
    <t>Idle_Hurt_V2</t>
  </si>
  <si>
    <t xml:space="preserve">Stand Fight Stance tired and labored shifting of weight </t>
  </si>
  <si>
    <t>Idle_Hurt_V3</t>
  </si>
  <si>
    <t>Idle_Really_Tired_V1</t>
  </si>
  <si>
    <t xml:space="preserve">Stand Fight Stance but having trouble keeping hands up </t>
  </si>
  <si>
    <t>Idle_Really_Tired_V2</t>
  </si>
  <si>
    <t xml:space="preserve">Stand Fight Stance with slow tired shifting of weight </t>
  </si>
  <si>
    <t>Idle_Slighty_Tired</t>
  </si>
  <si>
    <t>Slower shifting of weight and with arms lower</t>
  </si>
  <si>
    <t>Idle_Tired</t>
  </si>
  <si>
    <t>Stand Slow and tired loop</t>
  </si>
  <si>
    <t>RIGHT PUNCHES</t>
  </si>
  <si>
    <t>Right_Cross</t>
  </si>
  <si>
    <t>Right cross to body</t>
  </si>
  <si>
    <t>Right_Cross_A</t>
  </si>
  <si>
    <t>Quick tight cross to face</t>
  </si>
  <si>
    <t>Right_Cross_B</t>
  </si>
  <si>
    <t>Normal speed cross with solid connect</t>
  </si>
  <si>
    <t>Right_Cross_C</t>
  </si>
  <si>
    <t>Slightly angled right cross with solid connect</t>
  </si>
  <si>
    <t>Right_Cross_ Hard</t>
  </si>
  <si>
    <t>Hard right cross with lots of wind up</t>
  </si>
  <si>
    <t>Right_Cross_ Hurt</t>
  </si>
  <si>
    <t>Weak fast right cross</t>
  </si>
  <si>
    <t>Right_Cross_ Miss</t>
  </si>
  <si>
    <t>Wild cross with wind up misses loses balance, recovers</t>
  </si>
  <si>
    <t>Right_Cross_ Special</t>
  </si>
  <si>
    <t>Really slow hard right cross with lots of wind up</t>
  </si>
  <si>
    <t>Right_Cross_FT</t>
  </si>
  <si>
    <t>Right cross to body solid connect with follow through</t>
  </si>
  <si>
    <t>Right_Cross_ Hurt_FT</t>
  </si>
  <si>
    <t>Weak right cross leans into punch follow through</t>
  </si>
  <si>
    <t>Right_Cross_Hard_FT</t>
  </si>
  <si>
    <t>Hard right cross with wind up and follow through</t>
  </si>
  <si>
    <t>Right_Hook</t>
  </si>
  <si>
    <t>Quick right hook drops arm, recover</t>
  </si>
  <si>
    <t>Right_Hook_FT</t>
  </si>
  <si>
    <t>Solid right hook with follow through</t>
  </si>
  <si>
    <t>Right_Hook_Hard</t>
  </si>
  <si>
    <t>Hard right hook with wind up</t>
  </si>
  <si>
    <t>Right_Hook_Hard_FT</t>
  </si>
  <si>
    <t>Hard right hook with wind up, step forward, recovers</t>
  </si>
  <si>
    <t>Right_Hook_Hurt</t>
  </si>
  <si>
    <t>Slower weaker but tight right hook</t>
  </si>
  <si>
    <t>Right_Hook_Hurt_FT</t>
  </si>
  <si>
    <t>Downward angled hook to the lower body, slow, weak</t>
  </si>
  <si>
    <t>Right_Hook_Miss</t>
  </si>
  <si>
    <t>Hook with wind up, misses, leans forward, recovers</t>
  </si>
  <si>
    <t>Right_Hook_Special</t>
  </si>
  <si>
    <t>Steps back huge right hook, steps through the punch, recovers</t>
  </si>
  <si>
    <t>Right_Uppercut</t>
  </si>
  <si>
    <t>Angled right uppercut</t>
  </si>
  <si>
    <t>Right_Uppercut_ Hard</t>
  </si>
  <si>
    <t>Hard right uppercut that connects hard</t>
  </si>
  <si>
    <t>Right_Uppercut_ Miss</t>
  </si>
  <si>
    <t>Right uppercut, misses with small stumble and shuffle</t>
  </si>
  <si>
    <t>Right_Uppercut_FT</t>
  </si>
  <si>
    <t>Right uppercut with lots of wind up, follow through</t>
  </si>
  <si>
    <t>Right_Uppercut_Hard_FT</t>
  </si>
  <si>
    <t>Strong inward angled right upper cut with follow through</t>
  </si>
  <si>
    <t>Right_Uppercut_Hurt</t>
  </si>
  <si>
    <t>Very slow weak right uppercut</t>
  </si>
  <si>
    <t>Right_Uppercut_Hurt_FT</t>
  </si>
  <si>
    <t>Weak right uppercut with wind up and body twist</t>
  </si>
  <si>
    <t>Right_Uppercut_Special</t>
  </si>
  <si>
    <t>Strong wild upper cut with slow recovery</t>
  </si>
  <si>
    <t>LEFT PUNCHES</t>
  </si>
  <si>
    <t>Left_Jab</t>
  </si>
  <si>
    <t>Straight jab with connecting hit</t>
  </si>
  <si>
    <t>Left_Jab_A</t>
  </si>
  <si>
    <t>Straight jab at face slightly angled with good recoil to punch</t>
  </si>
  <si>
    <t>Left_Jab_B</t>
  </si>
  <si>
    <t>Quick straight jab</t>
  </si>
  <si>
    <t>Left_Jab_C</t>
  </si>
  <si>
    <t>Straight jab slower recoil</t>
  </si>
  <si>
    <t>Left_Jab_Hurt</t>
  </si>
  <si>
    <t>Weak straight jab, glances downward, recovers hand position</t>
  </si>
  <si>
    <t>Left_Jab_Hard</t>
  </si>
  <si>
    <t xml:space="preserve">Straight jab really trying to make solid connect, slow </t>
  </si>
  <si>
    <t>Left_Jab_Miss</t>
  </si>
  <si>
    <t>Jab, miss, losing balance forward, recover</t>
  </si>
  <si>
    <t>Left_Jab_Special</t>
  </si>
  <si>
    <t>Throws really hard solid jab with slow recoil</t>
  </si>
  <si>
    <t>Left_Jab_FT</t>
  </si>
  <si>
    <t>Straight jab really turns body into the punch</t>
  </si>
  <si>
    <t>Left_Jab_Hard_FT</t>
  </si>
  <si>
    <t>Strong jab with windup, follow through</t>
  </si>
  <si>
    <t>Left_Jab_Hurt_FT</t>
  </si>
  <si>
    <t xml:space="preserve">Weak slow jab, follow through, body movement put into punch </t>
  </si>
  <si>
    <t>Left_Hook</t>
  </si>
  <si>
    <t>Angled left hook with strong connecting hit</t>
  </si>
  <si>
    <t>Left_Hook_V2</t>
  </si>
  <si>
    <t>Tight left hook with good connecting hit</t>
  </si>
  <si>
    <t>Left_Hook_FT</t>
  </si>
  <si>
    <t>Left hook with follow through</t>
  </si>
  <si>
    <t>Left_Hook_ Hard</t>
  </si>
  <si>
    <t>Large wind up to a left hook hard connect</t>
  </si>
  <si>
    <t>Left_Hook_ Hard_FT</t>
  </si>
  <si>
    <t>Hard fast hook with follow through</t>
  </si>
  <si>
    <t>Left_Hook_Hurt</t>
  </si>
  <si>
    <t>Weak half hearted left hook</t>
  </si>
  <si>
    <t>Left_Hook_Hurt_FT</t>
  </si>
  <si>
    <t>Weak half hearted left hook with follow through</t>
  </si>
  <si>
    <t>Left_Hook_ Miss</t>
  </si>
  <si>
    <t>Left hook misses and has slow recover</t>
  </si>
  <si>
    <t>Left_Hook_Special</t>
  </si>
  <si>
    <t>Large wind up for an all or nothing slow left hook</t>
  </si>
  <si>
    <t>Left_Uppercut</t>
  </si>
  <si>
    <t>Uppercut from hip up to above head lots of wind up</t>
  </si>
  <si>
    <t>Left_Uppercut_FT</t>
  </si>
  <si>
    <t>Uppercut really turning body into the punch</t>
  </si>
  <si>
    <t>Left_Uppercut_Hard</t>
  </si>
  <si>
    <t xml:space="preserve">Quick hard angled uppercut straight at the face </t>
  </si>
  <si>
    <t>Left_Uppercut_Hard_FT</t>
  </si>
  <si>
    <t>Hard angled uppercut straight at the face with lots of wind up</t>
  </si>
  <si>
    <t>Left_Uppercut_Hurt</t>
  </si>
  <si>
    <t xml:space="preserve">Quick weak angled uppercut straight at the face </t>
  </si>
  <si>
    <t>Left_Uppercut_Hurt_FT</t>
  </si>
  <si>
    <t>Quick weak angled uppercut straight to face, follow through</t>
  </si>
  <si>
    <t>Left_Uppercut_ Miss</t>
  </si>
  <si>
    <t>Upper cut and misses going into a spin right, recover</t>
  </si>
  <si>
    <t>Left_Uppercut_Special</t>
  </si>
  <si>
    <t>Exaggerated uppercut over the head, entire body turns, recover</t>
  </si>
  <si>
    <t>DEFENSE, HITS</t>
  </si>
  <si>
    <t>Hit_By_Combo_V1</t>
  </si>
  <si>
    <t>Hit multiple times high and low and then recovers</t>
  </si>
  <si>
    <t>Hit_By_Combo_V1_Short</t>
  </si>
  <si>
    <t>Hit multiple times high and low and then recovers quickly</t>
  </si>
  <si>
    <t>Hit_By_Combo_V2</t>
  </si>
  <si>
    <t>Hit multiple times high and then recovers</t>
  </si>
  <si>
    <t>Hit_By_Combo_V2_Short</t>
  </si>
  <si>
    <t>Hit multiple times high and then recovers quickly</t>
  </si>
  <si>
    <t>Hit_By_Cross_V1</t>
  </si>
  <si>
    <t>Hit by cross to face and then recover</t>
  </si>
  <si>
    <t>Hit_By_Cross_V1_Short</t>
  </si>
  <si>
    <t>Hit by cross to face and then recovers quickly</t>
  </si>
  <si>
    <t>Hit_By_Cross_V2</t>
  </si>
  <si>
    <t>Hit by cross to left side of face and then recover</t>
  </si>
  <si>
    <t>Hit_By_Cross_V2_Short</t>
  </si>
  <si>
    <t>Hit by cross to left face and then recovers quickly</t>
  </si>
  <si>
    <t>Hit_By_Cross_V3</t>
  </si>
  <si>
    <t>Center face hit by strong cross, large stumble back, recover</t>
  </si>
  <si>
    <t>Hit_By_Cross_V4</t>
  </si>
  <si>
    <t>Center face hit by strong cross, small stumble back, recover</t>
  </si>
  <si>
    <t>Hit_By_GutShot_V1</t>
  </si>
  <si>
    <t>Hit to left side of gut shrugs it off</t>
  </si>
  <si>
    <t>Hit_By_GutShot_V1_Short</t>
  </si>
  <si>
    <t>Quick flinch to hit to left side of gut</t>
  </si>
  <si>
    <t>Hit_By_GutShot_V2</t>
  </si>
  <si>
    <t>Hit to center of gut, steps back winded, recovers</t>
  </si>
  <si>
    <t>Hit_By_GutShot_V2_Short</t>
  </si>
  <si>
    <t>Hit back from punch to gut, less winded, recovers</t>
  </si>
  <si>
    <t>Hit_By_GutShot_V3</t>
  </si>
  <si>
    <t>Hit to right side of gut, stumbes then recovers</t>
  </si>
  <si>
    <t>Hit_By_Hook_V1</t>
  </si>
  <si>
    <t>Hit by hook to right side of face</t>
  </si>
  <si>
    <t>Hit_By_Hook_V1_Short</t>
  </si>
  <si>
    <t>Quick flinch from hit to right side of face from hook</t>
  </si>
  <si>
    <t>Hit_By_Hook_V2</t>
  </si>
  <si>
    <t>Side of head whipped from hook to left side</t>
  </si>
  <si>
    <t>Hit_By_Hook_V2_Short</t>
  </si>
  <si>
    <t>Side of head has quick flinch from hook to left side</t>
  </si>
  <si>
    <t>Hit_By_Hook_V3</t>
  </si>
  <si>
    <t>Hit by hook to left side of head, stumbles, recovers</t>
  </si>
  <si>
    <t>Hit_By_Hook_V3_Short</t>
  </si>
  <si>
    <t>Hit by hook to left side of head, quick step back, recover</t>
  </si>
  <si>
    <t>Hit_By_Hook_V5</t>
  </si>
  <si>
    <t>Hit by hook to right side of head makes him lean in, recover</t>
  </si>
  <si>
    <t>Hit_By_Hook_V6</t>
  </si>
  <si>
    <t>Hit to head from the right whipping head left and down, recover</t>
  </si>
  <si>
    <t>Hit_By_Hook_V6_Short</t>
  </si>
  <si>
    <t>Hit to head right whipping head left and down, quick recovery</t>
  </si>
  <si>
    <t>Hit_By_Hook_V7</t>
  </si>
  <si>
    <t>Hit hard by hook right, fall and lean left, recover</t>
  </si>
  <si>
    <t>Hit_By_Hook_V7_Short</t>
  </si>
  <si>
    <t>Hit hard by hook right, fall and lean left, quick recovery</t>
  </si>
  <si>
    <t>Hit_By_Hook_V8</t>
  </si>
  <si>
    <t>Hit hard by hook to the right, slow lean and recovery left</t>
  </si>
  <si>
    <t>Hit_By_Hook_V8_Short</t>
  </si>
  <si>
    <t>Hit hard by hook to the right, slow lean, quick recovery left</t>
  </si>
  <si>
    <t>Hit_By_Jab_V1</t>
  </si>
  <si>
    <t>Hit by straight jab, reset hand position</t>
  </si>
  <si>
    <t>Hit_By_Jab_V1_Short</t>
  </si>
  <si>
    <t>Hit by straight jab, reset hand position, quick recovery</t>
  </si>
  <si>
    <t>Hit_By_Jab_V2</t>
  </si>
  <si>
    <t xml:space="preserve">Hit by straight jab to face </t>
  </si>
  <si>
    <t>Hit_By_Jab_V2_Short</t>
  </si>
  <si>
    <t>Hit by straight jab to face, quick recovery</t>
  </si>
  <si>
    <t>Hit_By_Jab_V3</t>
  </si>
  <si>
    <t>Small flinch from straight jab to body</t>
  </si>
  <si>
    <t>Hit_By_Jab_V4</t>
  </si>
  <si>
    <t>Head whipped back from straight jab to face</t>
  </si>
  <si>
    <t>Hit_By_Jab_V4_Short</t>
  </si>
  <si>
    <t>Head whipped back from straight jab to face, quick recovery</t>
  </si>
  <si>
    <t>Hit_By_Jab_V5</t>
  </si>
  <si>
    <t>Head jostled back and left from jab to face</t>
  </si>
  <si>
    <t>Hit_By_Jab_V5_Short</t>
  </si>
  <si>
    <t>Head jostled back and left from jab to face, quick recovery</t>
  </si>
  <si>
    <t>Hit_By_Kidneyshot_V1</t>
  </si>
  <si>
    <t>Stumbles right from hard shot to left kidney, recover</t>
  </si>
  <si>
    <t>Hit_By_Uppercut_V1</t>
  </si>
  <si>
    <t>Sent reeling backwards from uppercut to face, recover</t>
  </si>
  <si>
    <t>DEFENSE, BLOCKS, MISC.</t>
  </si>
  <si>
    <t>Left_Dodge</t>
  </si>
  <si>
    <t>Steps out to the left to dodge, returns to center</t>
  </si>
  <si>
    <t>Right_Dodge</t>
  </si>
  <si>
    <t>Steps out to the right to dodge, returns to center</t>
  </si>
  <si>
    <t>Back_Dodge</t>
  </si>
  <si>
    <t>Steps Back to dodge, returns to center</t>
  </si>
  <si>
    <t>Left_Weave</t>
  </si>
  <si>
    <t>Leans to the left to dodge punch</t>
  </si>
  <si>
    <t>Right_Weave</t>
  </si>
  <si>
    <t>Leans to the right to dodge punch</t>
  </si>
  <si>
    <t>Back_Weave</t>
  </si>
  <si>
    <t>Leans back to dodge punch</t>
  </si>
  <si>
    <t>Combo_LH_RU</t>
  </si>
  <si>
    <t>Throws left hook, right uppercut</t>
  </si>
  <si>
    <t>Combo_Punch</t>
  </si>
  <si>
    <t>Throws left jab, right cross, left hook</t>
  </si>
  <si>
    <t>Body_Shot</t>
  </si>
  <si>
    <t>Drops low to throw a strong right cross to the lower body</t>
  </si>
  <si>
    <t>Quick_Weave</t>
  </si>
  <si>
    <t>Pulls back and to the right to dodge punch</t>
  </si>
  <si>
    <t>Block_Loop</t>
  </si>
  <si>
    <t>Idle Loop of holding arms to cover face</t>
  </si>
  <si>
    <t>Block_To_Idle</t>
  </si>
  <si>
    <t>Transition from blocking pose to fight stance</t>
  </si>
  <si>
    <t>Idle_To_Block</t>
  </si>
  <si>
    <t>Fight Stance Transition to arms covering face</t>
  </si>
  <si>
    <t>Block_Straight_Hit_V1</t>
  </si>
  <si>
    <t>Blocks hit while covered with a slight step back, recovers</t>
  </si>
  <si>
    <t>Block_Straight_Hit_V2</t>
  </si>
  <si>
    <t>Blocks hits while covered up, mostly absorbs hit</t>
  </si>
  <si>
    <t>Block_Straight_Hit_V3</t>
  </si>
  <si>
    <t>Blocks hard hit while covered up, stumbles back,recovers</t>
  </si>
  <si>
    <t>Kidney_Shot</t>
  </si>
  <si>
    <t xml:space="preserve">Steps in low to the left and throws strong hook to the kidney </t>
  </si>
  <si>
    <t>KNOCKOUTS, CELEBRATIONS</t>
  </si>
  <si>
    <t>Knockout_Countdown_V1</t>
  </si>
  <si>
    <t>Gets knocked out cold then struggles to get back up</t>
  </si>
  <si>
    <t>Knockout_Countdown_V2</t>
  </si>
  <si>
    <t>Knockout_Countdown_V3</t>
  </si>
  <si>
    <t>Knockout_V1</t>
  </si>
  <si>
    <t>Hit to left side of head and knocked out cold, falling right</t>
  </si>
  <si>
    <t>Knockout_V2</t>
  </si>
  <si>
    <t>Hit to left side of head and knocked out cold, fallingt right</t>
  </si>
  <si>
    <t>Knockout_V3</t>
  </si>
  <si>
    <t>Hit to right side of head and knocked out cold, falling left</t>
  </si>
  <si>
    <t>Knockout_V4</t>
  </si>
  <si>
    <t>Hit with uppercut and knocked out cold, falling backwards</t>
  </si>
  <si>
    <t>Knockout_V5</t>
  </si>
  <si>
    <t>Hit to the gut then face and falling backwards, knocked out</t>
  </si>
  <si>
    <t>Knockout_V6</t>
  </si>
  <si>
    <t>Hit to gut falls to knee in pain, slowly gets back up</t>
  </si>
  <si>
    <t>Knockout_V7</t>
  </si>
  <si>
    <t>Hit in the face ringing his bell. Wobbly stumbles right, falls</t>
  </si>
  <si>
    <t>Knockout_V8</t>
  </si>
  <si>
    <t>Hook to right side of the face, falls left onto back, knocked out</t>
  </si>
  <si>
    <t>Win_V1</t>
  </si>
  <si>
    <t>Walking around with hands held high, returns to center</t>
  </si>
  <si>
    <t>Win_V2</t>
  </si>
  <si>
    <t xml:space="preserve">Jumping around with hands held over head </t>
  </si>
  <si>
    <t>Win_V3</t>
  </si>
  <si>
    <t>Jumping around fist pumping over head</t>
  </si>
  <si>
    <t>Win_V4</t>
  </si>
  <si>
    <t>Air pummeling with his fist then hands over head, returns center</t>
  </si>
  <si>
    <t>Win_V5</t>
  </si>
  <si>
    <t>Points to chest, holds arms out playing to crowd, returns center</t>
  </si>
  <si>
    <t>Win_V6</t>
  </si>
  <si>
    <t>Relaxed saunter, gestures to stay down, returns to center</t>
  </si>
  <si>
    <t>Win_V7</t>
  </si>
  <si>
    <t>Walking around blowing kisses to crowd, arms over head</t>
  </si>
  <si>
    <t>MOCAP ONLINE / MOTUS DIGITAL</t>
  </si>
  <si>
    <t>www.MoCapOnline.com</t>
  </si>
  <si>
    <t>MoCap@MotusDigital.com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</si>
</sst>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5">
    <font>
      <sz val="10.0"/>
      <color rgb="FF000000"/>
      <name val="Arial"/>
    </font>
    <font>
      <sz val="11.0"/>
      <color rgb="FF000000"/>
      <name val="Inconsolata"/>
    </font>
    <font>
      <u/>
      <sz val="10.0"/>
      <color rgb="FF000000"/>
      <name val="Verdana"/>
    </font>
    <font>
      <u/>
      <sz val="10.0"/>
      <color rgb="FF000000"/>
      <name val="Verdana"/>
    </font>
    <font>
      <sz val="10.0"/>
      <color rgb="FF000000"/>
    </font>
    <font>
      <b/>
      <sz val="24.0"/>
      <name val="Play"/>
    </font>
    <font/>
    <font>
      <sz val="10.0"/>
      <color rgb="FF000000"/>
      <name val="Verdana"/>
    </font>
    <font>
      <b/>
      <sz val="14.0"/>
      <color rgb="FF000000"/>
      <name val="Courier New"/>
    </font>
    <font>
      <b/>
      <sz val="11.0"/>
      <color rgb="FFFFFFFF"/>
      <name val="Verdana"/>
    </font>
    <font>
      <sz val="11.0"/>
      <color rgb="FF990000"/>
      <name val="Verdana"/>
    </font>
    <font>
      <sz val="18.0"/>
      <color rgb="FFFFFFFF"/>
      <name val="Verdana"/>
    </font>
    <font>
      <sz val="14.0"/>
      <color rgb="FFFFFFFF"/>
      <name val="Verdana"/>
    </font>
    <font>
      <b/>
      <sz val="18.0"/>
      <color rgb="FFFFFFFF"/>
      <name val="Courier New"/>
    </font>
    <font>
      <sz val="10.0"/>
      <name val="Verdana"/>
    </font>
    <font>
      <color rgb="FF000000"/>
    </font>
    <font>
      <sz val="14.0"/>
      <color rgb="FF000000"/>
      <name val="Verdana"/>
    </font>
    <font>
      <sz val="12.0"/>
      <color rgb="FF000000"/>
      <name val="Verdana"/>
    </font>
    <font>
      <b/>
      <sz val="18.0"/>
      <color rgb="FFF3F3F3"/>
      <name val="Play"/>
    </font>
    <font>
      <u/>
      <sz val="12.0"/>
      <color rgb="FF000000"/>
      <name val="Verdana"/>
    </font>
    <font>
      <u/>
      <sz val="16.0"/>
      <color rgb="FFF3F3F3"/>
      <name val="Play"/>
    </font>
    <font>
      <b/>
      <sz val="18.0"/>
      <name val="Verdana"/>
    </font>
    <font>
      <b/>
      <sz val="10.0"/>
      <color rgb="FF000000"/>
      <name val="Courier New"/>
    </font>
    <font>
      <u/>
      <sz val="16.0"/>
      <color rgb="FFF3F3F3"/>
      <name val="Play"/>
    </font>
    <font>
      <u/>
      <sz val="16.0"/>
      <color rgb="FFF3F3F3"/>
      <name val="Play"/>
    </font>
  </fonts>
  <fills count="4">
    <fill>
      <patternFill patternType="none"/>
    </fill>
    <fill>
      <patternFill patternType="lightGray"/>
    </fill>
    <fill>
      <patternFill patternType="solid">
        <fgColor rgb="FF660000"/>
        <bgColor rgb="FF660000"/>
      </patternFill>
    </fill>
    <fill>
      <patternFill patternType="solid">
        <fgColor rgb="FF434343"/>
        <bgColor rgb="FF434343"/>
      </patternFill>
    </fill>
  </fills>
  <borders count="10">
    <border/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</border>
    <border>
      <right style="hair">
        <color rgb="FF000000"/>
      </right>
    </border>
    <border>
      <top style="hair">
        <color rgb="FF999999"/>
      </top>
      <bottom style="hair">
        <color rgb="FF999999"/>
      </bottom>
    </border>
    <border>
      <top style="hair">
        <color rgb="FF999999"/>
      </top>
    </border>
    <border>
      <left style="hair">
        <color rgb="FF000000"/>
      </left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2" fontId="1" numFmtId="0" xfId="0" applyFill="1" applyFont="1"/>
    <xf borderId="1" fillId="2" fontId="2" numFmtId="0" xfId="0" applyAlignment="1" applyBorder="1" applyFont="1">
      <alignment horizontal="center" readingOrder="0" vertical="center"/>
    </xf>
    <xf borderId="0" fillId="2" fontId="3" numFmtId="0" xfId="0" applyAlignment="1" applyFont="1">
      <alignment horizontal="center" readingOrder="0" vertical="center"/>
    </xf>
    <xf borderId="2" fillId="2" fontId="4" numFmtId="0" xfId="0" applyAlignment="1" applyBorder="1" applyFont="1">
      <alignment horizontal="center" vertical="center"/>
    </xf>
    <xf borderId="3" fillId="0" fontId="5" numFmtId="0" xfId="0" applyAlignment="1" applyBorder="1" applyFont="1">
      <alignment horizontal="center" readingOrder="0" vertical="center"/>
    </xf>
    <xf borderId="1" fillId="0" fontId="6" numFmtId="0" xfId="0" applyBorder="1" applyFont="1"/>
    <xf borderId="4" fillId="0" fontId="6" numFmtId="0" xfId="0" applyBorder="1" applyFont="1"/>
    <xf borderId="2" fillId="2" fontId="7" numFmtId="0" xfId="0" applyAlignment="1" applyBorder="1" applyFont="1">
      <alignment horizontal="center" vertical="center"/>
    </xf>
    <xf borderId="2" fillId="2" fontId="8" numFmtId="0" xfId="0" applyAlignment="1" applyBorder="1" applyFont="1">
      <alignment horizontal="center" readingOrder="0" shrinkToFit="0" vertical="center" wrapText="1"/>
    </xf>
    <xf borderId="0" fillId="2" fontId="9" numFmtId="0" xfId="0" applyAlignment="1" applyFont="1">
      <alignment horizontal="center" readingOrder="0" shrinkToFit="0" vertical="center" wrapText="1"/>
    </xf>
    <xf borderId="2" fillId="2" fontId="8" numFmtId="0" xfId="0" applyAlignment="1" applyBorder="1" applyFont="1">
      <alignment horizontal="center" vertical="center"/>
    </xf>
    <xf borderId="5" fillId="2" fontId="10" numFmtId="0" xfId="0" applyAlignment="1" applyBorder="1" applyFont="1">
      <alignment horizontal="center" vertical="bottom"/>
    </xf>
    <xf borderId="0" fillId="3" fontId="11" numFmtId="0" xfId="0" applyAlignment="1" applyFill="1" applyFont="1">
      <alignment horizontal="left" readingOrder="0" vertical="center"/>
    </xf>
    <xf borderId="0" fillId="3" fontId="12" numFmtId="0" xfId="0" applyAlignment="1" applyFont="1">
      <alignment horizontal="center" readingOrder="0" vertical="center"/>
    </xf>
    <xf borderId="0" fillId="2" fontId="13" numFmtId="0" xfId="0" applyAlignment="1" applyFont="1">
      <alignment vertical="center"/>
    </xf>
    <xf borderId="6" fillId="2" fontId="10" numFmtId="0" xfId="0" applyAlignment="1" applyBorder="1" applyFont="1">
      <alignment horizontal="center" vertical="bottom"/>
    </xf>
    <xf borderId="0" fillId="0" fontId="14" numFmtId="0" xfId="0" applyAlignment="1" applyFont="1">
      <alignment horizontal="center" readingOrder="0" shrinkToFit="0" wrapText="1"/>
    </xf>
    <xf borderId="0" fillId="0" fontId="14" numFmtId="0" xfId="0" applyAlignment="1" applyFont="1">
      <alignment horizontal="left" readingOrder="0"/>
    </xf>
    <xf borderId="0" fillId="2" fontId="10" numFmtId="0" xfId="0" applyAlignment="1" applyFont="1">
      <alignment horizontal="center" vertical="bottom"/>
    </xf>
    <xf borderId="7" fillId="0" fontId="6" numFmtId="0" xfId="0" applyAlignment="1" applyBorder="1" applyFont="1">
      <alignment readingOrder="0"/>
    </xf>
    <xf borderId="7" fillId="0" fontId="14" numFmtId="0" xfId="0" applyAlignment="1" applyBorder="1" applyFont="1">
      <alignment horizontal="left" readingOrder="0"/>
    </xf>
    <xf borderId="8" fillId="0" fontId="6" numFmtId="0" xfId="0" applyAlignment="1" applyBorder="1" applyFont="1">
      <alignment readingOrder="0"/>
    </xf>
    <xf borderId="0" fillId="0" fontId="15" numFmtId="0" xfId="0" applyAlignment="1" applyFont="1">
      <alignment readingOrder="0" shrinkToFit="0" wrapText="1"/>
    </xf>
    <xf borderId="0" fillId="2" fontId="16" numFmtId="0" xfId="0" applyAlignment="1" applyFont="1">
      <alignment horizontal="center" readingOrder="0" vertical="center"/>
    </xf>
    <xf borderId="0" fillId="2" fontId="17" numFmtId="0" xfId="0" applyAlignment="1" applyFont="1">
      <alignment horizontal="center" vertical="center"/>
    </xf>
    <xf borderId="6" fillId="2" fontId="10" numFmtId="0" xfId="0" applyAlignment="1" applyBorder="1" applyFont="1">
      <alignment horizontal="center" vertical="bottom"/>
    </xf>
    <xf borderId="9" fillId="2" fontId="18" numFmtId="0" xfId="0" applyAlignment="1" applyBorder="1" applyFont="1">
      <alignment horizontal="center" vertical="bottom"/>
    </xf>
    <xf borderId="6" fillId="0" fontId="6" numFmtId="0" xfId="0" applyBorder="1" applyFont="1"/>
    <xf borderId="0" fillId="2" fontId="19" numFmtId="0" xfId="0" applyAlignment="1" applyFont="1">
      <alignment horizontal="center" readingOrder="0" vertical="center"/>
    </xf>
    <xf borderId="9" fillId="2" fontId="20" numFmtId="0" xfId="0" applyAlignment="1" applyBorder="1" applyFont="1">
      <alignment horizontal="center" vertical="bottom"/>
    </xf>
    <xf borderId="0" fillId="2" fontId="21" numFmtId="0" xfId="0" applyAlignment="1" applyFont="1">
      <alignment horizontal="center" readingOrder="0" vertical="center"/>
    </xf>
    <xf borderId="0" fillId="2" fontId="10" numFmtId="0" xfId="0" applyAlignment="1" applyFont="1">
      <alignment horizontal="center" vertical="bottom"/>
    </xf>
    <xf borderId="0" fillId="2" fontId="22" numFmtId="0" xfId="0" applyAlignment="1" applyFont="1">
      <alignment horizontal="center" readingOrder="0" vertical="center"/>
    </xf>
    <xf borderId="0" fillId="0" fontId="6" numFmtId="0" xfId="0" applyAlignment="1" applyFont="1">
      <alignment readingOrder="0"/>
    </xf>
    <xf borderId="9" fillId="2" fontId="23" numFmtId="0" xfId="0" applyAlignment="1" applyBorder="1" applyFont="1">
      <alignment horizontal="center" readingOrder="0" vertical="bottom"/>
    </xf>
    <xf borderId="9" fillId="2" fontId="24" numFmtId="0" xfId="0" applyAlignment="1" applyBorder="1" applyFont="1">
      <alignment horizontal="center" readingOrder="0"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www.mocaponline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7.0"/>
    <col customWidth="1" min="2" max="2" width="22.75"/>
    <col customWidth="1" min="3" max="3" width="5.0"/>
    <col customWidth="1" min="4" max="4" width="63.25"/>
    <col customWidth="1" min="5" max="5" width="7.13"/>
  </cols>
  <sheetData>
    <row r="1" ht="15.0" customHeight="1">
      <c r="A1" s="1" t="str">
        <f>IFERROR(__xludf.DUMMYFUNCTION("IMPORTRANGE(""1uVTUx6zNQwVeD-lGWDbfbO_aOQ0a1M9mQUqd_n1WIgE"",""PunPro"")"),"")</f>
        <v/>
      </c>
      <c r="B1" s="2"/>
      <c r="C1" s="2"/>
      <c r="D1" s="2"/>
      <c r="E1" s="3"/>
    </row>
    <row r="2" ht="15.0" customHeight="1">
      <c r="A2" s="4"/>
      <c r="B2" s="5" t="str">
        <f>IFERROR(__xludf.DUMMYFUNCTION("""COMPUTED_VALUE"""),"PUNCH PRO - ANIMATION LIST")</f>
        <v>PUNCH PRO - ANIMATION LIST</v>
      </c>
      <c r="C2" s="6"/>
      <c r="D2" s="7"/>
      <c r="E2" s="8"/>
    </row>
    <row r="3" ht="15.0" customHeight="1">
      <c r="A3" s="9"/>
      <c r="B3" s="10" t="str">
        <f>IFERROR(__xludf.DUMMYFUNCTION("""COMPUTED_VALUE"""),"NAME")</f>
        <v>NAME</v>
      </c>
      <c r="C3" s="10"/>
      <c r="D3" s="10" t="str">
        <f>IFERROR(__xludf.DUMMYFUNCTION("""COMPUTED_VALUE"""),"DESCRIPTION")</f>
        <v>DESCRIPTION</v>
      </c>
      <c r="E3" s="11"/>
    </row>
    <row r="4" ht="15.0" customHeight="1">
      <c r="A4" s="12">
        <f>IFERROR(__xludf.DUMMYFUNCTION("""COMPUTED_VALUE"""),1.0)</f>
        <v>1</v>
      </c>
      <c r="B4" s="13" t="str">
        <f>IFERROR(__xludf.DUMMYFUNCTION("""COMPUTED_VALUE"""),"IDLES, FIDGETS")</f>
        <v>IDLES, FIDGETS</v>
      </c>
      <c r="C4" s="14"/>
      <c r="D4" s="14"/>
      <c r="E4" s="15"/>
    </row>
    <row r="5" ht="15.0" customHeight="1">
      <c r="A5" s="16">
        <f>IFERROR(__xludf.DUMMYFUNCTION("""COMPUTED_VALUE"""),2.0)</f>
        <v>2</v>
      </c>
      <c r="B5" t="str">
        <f>IFERROR(__xludf.DUMMYFUNCTION("""COMPUTED_VALUE"""),"Idle")</f>
        <v>Idle</v>
      </c>
      <c r="C5" s="17" t="str">
        <f>IFERROR(__xludf.DUMMYFUNCTION("""COMPUTED_VALUE"""),"-")</f>
        <v>-</v>
      </c>
      <c r="D5" s="18" t="str">
        <f>IFERROR(__xludf.DUMMYFUNCTION("""COMPUTED_VALUE"""),"Stand Fight Stance loop")</f>
        <v>Stand Fight Stance loop</v>
      </c>
      <c r="E5" s="15"/>
    </row>
    <row r="6" ht="15.0" customHeight="1">
      <c r="A6" s="16">
        <f>IFERROR(__xludf.DUMMYFUNCTION("""COMPUTED_VALUE"""),3.0)</f>
        <v>3</v>
      </c>
      <c r="B6" t="str">
        <f>IFERROR(__xludf.DUMMYFUNCTION("""COMPUTED_VALUE"""),"Idle_Fidget_V1")</f>
        <v>Idle_Fidget_V1</v>
      </c>
      <c r="C6" s="17" t="str">
        <f>IFERROR(__xludf.DUMMYFUNCTION("""COMPUTED_VALUE"""),"-")</f>
        <v>-</v>
      </c>
      <c r="D6" s="18" t="str">
        <f>IFERROR(__xludf.DUMMYFUNCTION("""COMPUTED_VALUE"""),"Shifting weight ")</f>
        <v>Shifting weight </v>
      </c>
      <c r="E6" s="15"/>
    </row>
    <row r="7" ht="15.0" customHeight="1">
      <c r="A7" s="16">
        <f>IFERROR(__xludf.DUMMYFUNCTION("""COMPUTED_VALUE"""),4.0)</f>
        <v>4</v>
      </c>
      <c r="B7" t="str">
        <f>IFERROR(__xludf.DUMMYFUNCTION("""COMPUTED_VALUE"""),"Idle_Fidget_V2")</f>
        <v>Idle_Fidget_V2</v>
      </c>
      <c r="C7" s="17" t="str">
        <f>IFERROR(__xludf.DUMMYFUNCTION("""COMPUTED_VALUE"""),"-")</f>
        <v>-</v>
      </c>
      <c r="D7" s="18" t="str">
        <f>IFERROR(__xludf.DUMMYFUNCTION("""COMPUTED_VALUE"""),"Quick weight shift with hip and shoulder for a slight feint")</f>
        <v>Quick weight shift with hip and shoulder for a slight feint</v>
      </c>
      <c r="E7" s="15"/>
    </row>
    <row r="8" ht="15.0" customHeight="1">
      <c r="A8" s="16">
        <f>IFERROR(__xludf.DUMMYFUNCTION("""COMPUTED_VALUE"""),5.0)</f>
        <v>5</v>
      </c>
      <c r="B8" t="str">
        <f>IFERROR(__xludf.DUMMYFUNCTION("""COMPUTED_VALUE"""),"Idle_Fidget_V3")</f>
        <v>Idle_Fidget_V3</v>
      </c>
      <c r="C8" s="17" t="str">
        <f>IFERROR(__xludf.DUMMYFUNCTION("""COMPUTED_VALUE"""),"-")</f>
        <v>-</v>
      </c>
      <c r="D8" s="18" t="str">
        <f>IFERROR(__xludf.DUMMYFUNCTION("""COMPUTED_VALUE"""),"Taunt with right hand motioning them to come get some")</f>
        <v>Taunt with right hand motioning them to come get some</v>
      </c>
      <c r="E8" s="15"/>
    </row>
    <row r="9" ht="15.0" customHeight="1">
      <c r="A9" s="16">
        <f>IFERROR(__xludf.DUMMYFUNCTION("""COMPUTED_VALUE"""),6.0)</f>
        <v>6</v>
      </c>
      <c r="B9" t="str">
        <f>IFERROR(__xludf.DUMMYFUNCTION("""COMPUTED_VALUE"""),"Idle_Fidget_V4")</f>
        <v>Idle_Fidget_V4</v>
      </c>
      <c r="C9" s="17" t="str">
        <f>IFERROR(__xludf.DUMMYFUNCTION("""COMPUTED_VALUE"""),"-")</f>
        <v>-</v>
      </c>
      <c r="D9" s="18" t="str">
        <f>IFERROR(__xludf.DUMMYFUNCTION("""COMPUTED_VALUE"""),"Taunt holds arm out and open while shifting weight side to side")</f>
        <v>Taunt holds arm out and open while shifting weight side to side</v>
      </c>
      <c r="E9" s="15"/>
    </row>
    <row r="10" ht="15.0" customHeight="1">
      <c r="A10" s="16">
        <f>IFERROR(__xludf.DUMMYFUNCTION("""COMPUTED_VALUE"""),7.0)</f>
        <v>7</v>
      </c>
      <c r="B10" t="str">
        <f>IFERROR(__xludf.DUMMYFUNCTION("""COMPUTED_VALUE"""),"Idle_Fidget_V5")</f>
        <v>Idle_Fidget_V5</v>
      </c>
      <c r="C10" s="17" t="str">
        <f>IFERROR(__xludf.DUMMYFUNCTION("""COMPUTED_VALUE"""),"-")</f>
        <v>-</v>
      </c>
      <c r="D10" s="18" t="str">
        <f>IFERROR(__xludf.DUMMYFUNCTION("""COMPUTED_VALUE"""),"Hoping up and down while shaking out arms")</f>
        <v>Hoping up and down while shaking out arms</v>
      </c>
      <c r="E10" s="15"/>
    </row>
    <row r="11" ht="15.0" customHeight="1">
      <c r="A11" s="16">
        <f>IFERROR(__xludf.DUMMYFUNCTION("""COMPUTED_VALUE"""),8.0)</f>
        <v>8</v>
      </c>
      <c r="B11" t="str">
        <f>IFERROR(__xludf.DUMMYFUNCTION("""COMPUTED_VALUE"""),"Idle_Fidget_V6")</f>
        <v>Idle_Fidget_V6</v>
      </c>
      <c r="C11" s="17" t="str">
        <f>IFERROR(__xludf.DUMMYFUNCTION("""COMPUTED_VALUE"""),"-")</f>
        <v>-</v>
      </c>
      <c r="D11" s="18" t="str">
        <f>IFERROR(__xludf.DUMMYFUNCTION("""COMPUTED_VALUE"""),"Drops weight and shifts right and back for a quick feint dodge ")</f>
        <v>Drops weight and shifts right and back for a quick feint dodge </v>
      </c>
      <c r="E11" s="15"/>
    </row>
    <row r="12" ht="15.0" customHeight="1">
      <c r="A12" s="16">
        <f>IFERROR(__xludf.DUMMYFUNCTION("""COMPUTED_VALUE"""),9.0)</f>
        <v>9</v>
      </c>
      <c r="B12" t="str">
        <f>IFERROR(__xludf.DUMMYFUNCTION("""COMPUTED_VALUE"""),"Idle_Fidget_V7")</f>
        <v>Idle_Fidget_V7</v>
      </c>
      <c r="C12" s="17" t="str">
        <f>IFERROR(__xludf.DUMMYFUNCTION("""COMPUTED_VALUE"""),"-")</f>
        <v>-</v>
      </c>
      <c r="D12" s="18" t="str">
        <f>IFERROR(__xludf.DUMMYFUNCTION("""COMPUTED_VALUE"""),"Drops weight and shifts right and forward a quick feint punch ")</f>
        <v>Drops weight and shifts right and forward a quick feint punch </v>
      </c>
      <c r="E12" s="15"/>
    </row>
    <row r="13" ht="15.0" customHeight="1">
      <c r="A13" s="16">
        <f>IFERROR(__xludf.DUMMYFUNCTION("""COMPUTED_VALUE"""),10.0)</f>
        <v>10</v>
      </c>
      <c r="B13" t="str">
        <f>IFERROR(__xludf.DUMMYFUNCTION("""COMPUTED_VALUE"""),"Idle_Fidget_V8")</f>
        <v>Idle_Fidget_V8</v>
      </c>
      <c r="C13" s="17" t="str">
        <f>IFERROR(__xludf.DUMMYFUNCTION("""COMPUTED_VALUE"""),"-")</f>
        <v>-</v>
      </c>
      <c r="D13" s="18" t="str">
        <f>IFERROR(__xludf.DUMMYFUNCTION("""COMPUTED_VALUE"""),"Shuffling in-place ready to fight")</f>
        <v>Shuffling in-place ready to fight</v>
      </c>
      <c r="E13" s="15"/>
    </row>
    <row r="14" ht="15.0" customHeight="1">
      <c r="A14" s="16">
        <f>IFERROR(__xludf.DUMMYFUNCTION("""COMPUTED_VALUE"""),11.0)</f>
        <v>11</v>
      </c>
      <c r="B14" t="str">
        <f>IFERROR(__xludf.DUMMYFUNCTION("""COMPUTED_VALUE"""),"Idle_Hurt_V1")</f>
        <v>Idle_Hurt_V1</v>
      </c>
      <c r="C14" s="17" t="str">
        <f>IFERROR(__xludf.DUMMYFUNCTION("""COMPUTED_VALUE"""),"-")</f>
        <v>-</v>
      </c>
      <c r="D14" s="18" t="str">
        <f>IFERROR(__xludf.DUMMYFUNCTION("""COMPUTED_VALUE"""),"Stand Fight Stance with slight limp during in-place shuffle")</f>
        <v>Stand Fight Stance with slight limp during in-place shuffle</v>
      </c>
      <c r="E14" s="15"/>
    </row>
    <row r="15" ht="15.0" customHeight="1">
      <c r="A15" s="16">
        <f>IFERROR(__xludf.DUMMYFUNCTION("""COMPUTED_VALUE"""),12.0)</f>
        <v>12</v>
      </c>
      <c r="B15" t="str">
        <f>IFERROR(__xludf.DUMMYFUNCTION("""COMPUTED_VALUE"""),"Idle_Hurt_V2")</f>
        <v>Idle_Hurt_V2</v>
      </c>
      <c r="C15" s="17" t="str">
        <f>IFERROR(__xludf.DUMMYFUNCTION("""COMPUTED_VALUE"""),"-")</f>
        <v>-</v>
      </c>
      <c r="D15" s="18" t="str">
        <f>IFERROR(__xludf.DUMMYFUNCTION("""COMPUTED_VALUE"""),"Stand Fight Stance tired and labored shifting of weight ")</f>
        <v>Stand Fight Stance tired and labored shifting of weight </v>
      </c>
      <c r="E15" s="15"/>
    </row>
    <row r="16" ht="15.0" customHeight="1">
      <c r="A16" s="16">
        <f>IFERROR(__xludf.DUMMYFUNCTION("""COMPUTED_VALUE"""),13.0)</f>
        <v>13</v>
      </c>
      <c r="B16" t="str">
        <f>IFERROR(__xludf.DUMMYFUNCTION("""COMPUTED_VALUE"""),"Idle_Hurt_V3")</f>
        <v>Idle_Hurt_V3</v>
      </c>
      <c r="C16" s="17" t="str">
        <f>IFERROR(__xludf.DUMMYFUNCTION("""COMPUTED_VALUE"""),"-")</f>
        <v>-</v>
      </c>
      <c r="D16" s="18" t="str">
        <f>IFERROR(__xludf.DUMMYFUNCTION("""COMPUTED_VALUE"""),"Stand Fight Stance tired and labored shifting of weight ")</f>
        <v>Stand Fight Stance tired and labored shifting of weight </v>
      </c>
      <c r="E16" s="15"/>
    </row>
    <row r="17" ht="15.0" customHeight="1">
      <c r="A17" s="16">
        <f>IFERROR(__xludf.DUMMYFUNCTION("""COMPUTED_VALUE"""),14.0)</f>
        <v>14</v>
      </c>
      <c r="B17" t="str">
        <f>IFERROR(__xludf.DUMMYFUNCTION("""COMPUTED_VALUE"""),"Idle_Really_Tired_V1")</f>
        <v>Idle_Really_Tired_V1</v>
      </c>
      <c r="C17" s="17" t="str">
        <f>IFERROR(__xludf.DUMMYFUNCTION("""COMPUTED_VALUE"""),"-")</f>
        <v>-</v>
      </c>
      <c r="D17" s="18" t="str">
        <f>IFERROR(__xludf.DUMMYFUNCTION("""COMPUTED_VALUE"""),"Stand Fight Stance but having trouble keeping hands up ")</f>
        <v>Stand Fight Stance but having trouble keeping hands up </v>
      </c>
      <c r="E17" s="15"/>
    </row>
    <row r="18" ht="15.0" customHeight="1">
      <c r="A18" s="16">
        <f>IFERROR(__xludf.DUMMYFUNCTION("""COMPUTED_VALUE"""),15.0)</f>
        <v>15</v>
      </c>
      <c r="B18" t="str">
        <f>IFERROR(__xludf.DUMMYFUNCTION("""COMPUTED_VALUE"""),"Idle_Really_Tired_V2")</f>
        <v>Idle_Really_Tired_V2</v>
      </c>
      <c r="C18" s="17" t="str">
        <f>IFERROR(__xludf.DUMMYFUNCTION("""COMPUTED_VALUE"""),"-")</f>
        <v>-</v>
      </c>
      <c r="D18" s="18" t="str">
        <f>IFERROR(__xludf.DUMMYFUNCTION("""COMPUTED_VALUE"""),"Stand Fight Stance with slow tired shifting of weight ")</f>
        <v>Stand Fight Stance with slow tired shifting of weight </v>
      </c>
      <c r="E18" s="15"/>
    </row>
    <row r="19" ht="15.0" customHeight="1">
      <c r="A19" s="16">
        <f>IFERROR(__xludf.DUMMYFUNCTION("""COMPUTED_VALUE"""),16.0)</f>
        <v>16</v>
      </c>
      <c r="B19" t="str">
        <f>IFERROR(__xludf.DUMMYFUNCTION("""COMPUTED_VALUE"""),"Idle_Slighty_Tired")</f>
        <v>Idle_Slighty_Tired</v>
      </c>
      <c r="C19" s="17" t="str">
        <f>IFERROR(__xludf.DUMMYFUNCTION("""COMPUTED_VALUE"""),"-")</f>
        <v>-</v>
      </c>
      <c r="D19" s="18" t="str">
        <f>IFERROR(__xludf.DUMMYFUNCTION("""COMPUTED_VALUE"""),"Slower shifting of weight and with arms lower")</f>
        <v>Slower shifting of weight and with arms lower</v>
      </c>
      <c r="E19" s="15"/>
    </row>
    <row r="20" ht="15.0" customHeight="1">
      <c r="A20" s="16">
        <f>IFERROR(__xludf.DUMMYFUNCTION("""COMPUTED_VALUE"""),17.0)</f>
        <v>17</v>
      </c>
      <c r="B20" t="str">
        <f>IFERROR(__xludf.DUMMYFUNCTION("""COMPUTED_VALUE"""),"Idle_Tired")</f>
        <v>Idle_Tired</v>
      </c>
      <c r="C20" s="17" t="str">
        <f>IFERROR(__xludf.DUMMYFUNCTION("""COMPUTED_VALUE"""),"-")</f>
        <v>-</v>
      </c>
      <c r="D20" s="18" t="str">
        <f>IFERROR(__xludf.DUMMYFUNCTION("""COMPUTED_VALUE"""),"Stand Slow and tired loop")</f>
        <v>Stand Slow and tired loop</v>
      </c>
      <c r="E20" s="15"/>
    </row>
    <row r="21" ht="15.0" customHeight="1">
      <c r="A21" s="16">
        <f>IFERROR(__xludf.DUMMYFUNCTION("""COMPUTED_VALUE"""),18.0)</f>
        <v>18</v>
      </c>
      <c r="B21" s="13" t="str">
        <f>IFERROR(__xludf.DUMMYFUNCTION("""COMPUTED_VALUE"""),"RIGHT PUNCHES")</f>
        <v>RIGHT PUNCHES</v>
      </c>
      <c r="C21" s="14"/>
      <c r="D21" s="14"/>
      <c r="E21" s="15"/>
    </row>
    <row r="22" ht="15.0" customHeight="1">
      <c r="A22" s="16">
        <f>IFERROR(__xludf.DUMMYFUNCTION("""COMPUTED_VALUE"""),19.0)</f>
        <v>19</v>
      </c>
      <c r="B22" t="str">
        <f>IFERROR(__xludf.DUMMYFUNCTION("""COMPUTED_VALUE"""),"Right_Cross")</f>
        <v>Right_Cross</v>
      </c>
      <c r="C22" s="17" t="str">
        <f>IFERROR(__xludf.DUMMYFUNCTION("""COMPUTED_VALUE"""),"-")</f>
        <v>-</v>
      </c>
      <c r="D22" s="18" t="str">
        <f>IFERROR(__xludf.DUMMYFUNCTION("""COMPUTED_VALUE"""),"Right cross to body")</f>
        <v>Right cross to body</v>
      </c>
      <c r="E22" s="15"/>
    </row>
    <row r="23" ht="15.0" customHeight="1">
      <c r="A23" s="16">
        <f>IFERROR(__xludf.DUMMYFUNCTION("""COMPUTED_VALUE"""),20.0)</f>
        <v>20</v>
      </c>
      <c r="B23" t="str">
        <f>IFERROR(__xludf.DUMMYFUNCTION("""COMPUTED_VALUE"""),"Right_Cross_A")</f>
        <v>Right_Cross_A</v>
      </c>
      <c r="C23" s="17" t="str">
        <f>IFERROR(__xludf.DUMMYFUNCTION("""COMPUTED_VALUE"""),"-")</f>
        <v>-</v>
      </c>
      <c r="D23" s="18" t="str">
        <f>IFERROR(__xludf.DUMMYFUNCTION("""COMPUTED_VALUE"""),"Quick tight cross to face")</f>
        <v>Quick tight cross to face</v>
      </c>
      <c r="E23" s="15"/>
    </row>
    <row r="24" ht="15.0" customHeight="1">
      <c r="A24" s="16">
        <f>IFERROR(__xludf.DUMMYFUNCTION("""COMPUTED_VALUE"""),21.0)</f>
        <v>21</v>
      </c>
      <c r="B24" t="str">
        <f>IFERROR(__xludf.DUMMYFUNCTION("""COMPUTED_VALUE"""),"Right_Cross_B")</f>
        <v>Right_Cross_B</v>
      </c>
      <c r="C24" s="17" t="str">
        <f>IFERROR(__xludf.DUMMYFUNCTION("""COMPUTED_VALUE"""),"-")</f>
        <v>-</v>
      </c>
      <c r="D24" s="18" t="str">
        <f>IFERROR(__xludf.DUMMYFUNCTION("""COMPUTED_VALUE"""),"Normal speed cross with solid connect")</f>
        <v>Normal speed cross with solid connect</v>
      </c>
      <c r="E24" s="15"/>
    </row>
    <row r="25" ht="15.0" customHeight="1">
      <c r="A25" s="16">
        <f>IFERROR(__xludf.DUMMYFUNCTION("""COMPUTED_VALUE"""),22.0)</f>
        <v>22</v>
      </c>
      <c r="B25" t="str">
        <f>IFERROR(__xludf.DUMMYFUNCTION("""COMPUTED_VALUE"""),"Right_Cross_C")</f>
        <v>Right_Cross_C</v>
      </c>
      <c r="C25" s="17" t="str">
        <f>IFERROR(__xludf.DUMMYFUNCTION("""COMPUTED_VALUE"""),"-")</f>
        <v>-</v>
      </c>
      <c r="D25" s="18" t="str">
        <f>IFERROR(__xludf.DUMMYFUNCTION("""COMPUTED_VALUE"""),"Slightly angled right cross with solid connect")</f>
        <v>Slightly angled right cross with solid connect</v>
      </c>
      <c r="E25" s="15"/>
    </row>
    <row r="26" ht="15.0" customHeight="1">
      <c r="A26" s="16">
        <f>IFERROR(__xludf.DUMMYFUNCTION("""COMPUTED_VALUE"""),23.0)</f>
        <v>23</v>
      </c>
      <c r="B26" t="str">
        <f>IFERROR(__xludf.DUMMYFUNCTION("""COMPUTED_VALUE"""),"Right_Cross_ Hard")</f>
        <v>Right_Cross_ Hard</v>
      </c>
      <c r="C26" s="17" t="str">
        <f>IFERROR(__xludf.DUMMYFUNCTION("""COMPUTED_VALUE"""),"-")</f>
        <v>-</v>
      </c>
      <c r="D26" s="18" t="str">
        <f>IFERROR(__xludf.DUMMYFUNCTION("""COMPUTED_VALUE"""),"Hard right cross with lots of wind up")</f>
        <v>Hard right cross with lots of wind up</v>
      </c>
      <c r="E26" s="15"/>
    </row>
    <row r="27" ht="15.0" customHeight="1">
      <c r="A27" s="16">
        <f>IFERROR(__xludf.DUMMYFUNCTION("""COMPUTED_VALUE"""),24.0)</f>
        <v>24</v>
      </c>
      <c r="B27" t="str">
        <f>IFERROR(__xludf.DUMMYFUNCTION("""COMPUTED_VALUE"""),"Right_Cross_ Hurt")</f>
        <v>Right_Cross_ Hurt</v>
      </c>
      <c r="C27" s="17" t="str">
        <f>IFERROR(__xludf.DUMMYFUNCTION("""COMPUTED_VALUE"""),"-")</f>
        <v>-</v>
      </c>
      <c r="D27" s="18" t="str">
        <f>IFERROR(__xludf.DUMMYFUNCTION("""COMPUTED_VALUE"""),"Weak fast right cross")</f>
        <v>Weak fast right cross</v>
      </c>
      <c r="E27" s="15"/>
    </row>
    <row r="28" ht="15.0" customHeight="1">
      <c r="A28" s="16">
        <f>IFERROR(__xludf.DUMMYFUNCTION("""COMPUTED_VALUE"""),25.0)</f>
        <v>25</v>
      </c>
      <c r="B28" t="str">
        <f>IFERROR(__xludf.DUMMYFUNCTION("""COMPUTED_VALUE"""),"Right_Cross_ Miss")</f>
        <v>Right_Cross_ Miss</v>
      </c>
      <c r="C28" s="17" t="str">
        <f>IFERROR(__xludf.DUMMYFUNCTION("""COMPUTED_VALUE"""),"-")</f>
        <v>-</v>
      </c>
      <c r="D28" s="18" t="str">
        <f>IFERROR(__xludf.DUMMYFUNCTION("""COMPUTED_VALUE"""),"Wild cross with wind up misses loses balance, recovers")</f>
        <v>Wild cross with wind up misses loses balance, recovers</v>
      </c>
      <c r="E28" s="15"/>
    </row>
    <row r="29" ht="15.0" customHeight="1">
      <c r="A29" s="16">
        <f>IFERROR(__xludf.DUMMYFUNCTION("""COMPUTED_VALUE"""),26.0)</f>
        <v>26</v>
      </c>
      <c r="B29" t="str">
        <f>IFERROR(__xludf.DUMMYFUNCTION("""COMPUTED_VALUE"""),"Right_Cross_ Special")</f>
        <v>Right_Cross_ Special</v>
      </c>
      <c r="C29" s="17" t="str">
        <f>IFERROR(__xludf.DUMMYFUNCTION("""COMPUTED_VALUE"""),"-")</f>
        <v>-</v>
      </c>
      <c r="D29" s="18" t="str">
        <f>IFERROR(__xludf.DUMMYFUNCTION("""COMPUTED_VALUE"""),"Really slow hard right cross with lots of wind up")</f>
        <v>Really slow hard right cross with lots of wind up</v>
      </c>
      <c r="E29" s="15"/>
    </row>
    <row r="30" ht="15.0" customHeight="1">
      <c r="A30" s="16">
        <f>IFERROR(__xludf.DUMMYFUNCTION("""COMPUTED_VALUE"""),27.0)</f>
        <v>27</v>
      </c>
      <c r="B30" t="str">
        <f>IFERROR(__xludf.DUMMYFUNCTION("""COMPUTED_VALUE"""),"Right_Cross_FT")</f>
        <v>Right_Cross_FT</v>
      </c>
      <c r="C30" s="17" t="str">
        <f>IFERROR(__xludf.DUMMYFUNCTION("""COMPUTED_VALUE"""),"-")</f>
        <v>-</v>
      </c>
      <c r="D30" s="18" t="str">
        <f>IFERROR(__xludf.DUMMYFUNCTION("""COMPUTED_VALUE"""),"Right cross to body solid connect with follow through")</f>
        <v>Right cross to body solid connect with follow through</v>
      </c>
      <c r="E30" s="15"/>
    </row>
    <row r="31" ht="15.0" customHeight="1">
      <c r="A31" s="16">
        <f>IFERROR(__xludf.DUMMYFUNCTION("""COMPUTED_VALUE"""),28.0)</f>
        <v>28</v>
      </c>
      <c r="B31" t="str">
        <f>IFERROR(__xludf.DUMMYFUNCTION("""COMPUTED_VALUE"""),"Right_Cross_ Hurt_FT")</f>
        <v>Right_Cross_ Hurt_FT</v>
      </c>
      <c r="C31" s="17" t="str">
        <f>IFERROR(__xludf.DUMMYFUNCTION("""COMPUTED_VALUE"""),"-")</f>
        <v>-</v>
      </c>
      <c r="D31" s="18" t="str">
        <f>IFERROR(__xludf.DUMMYFUNCTION("""COMPUTED_VALUE"""),"Weak right cross leans into punch follow through")</f>
        <v>Weak right cross leans into punch follow through</v>
      </c>
      <c r="E31" s="15"/>
    </row>
    <row r="32" ht="15.0" customHeight="1">
      <c r="A32" s="16">
        <f>IFERROR(__xludf.DUMMYFUNCTION("""COMPUTED_VALUE"""),29.0)</f>
        <v>29</v>
      </c>
      <c r="B32" t="str">
        <f>IFERROR(__xludf.DUMMYFUNCTION("""COMPUTED_VALUE"""),"Right_Cross_Hard_FT")</f>
        <v>Right_Cross_Hard_FT</v>
      </c>
      <c r="C32" s="17" t="str">
        <f>IFERROR(__xludf.DUMMYFUNCTION("""COMPUTED_VALUE"""),"-")</f>
        <v>-</v>
      </c>
      <c r="D32" s="18" t="str">
        <f>IFERROR(__xludf.DUMMYFUNCTION("""COMPUTED_VALUE"""),"Hard right cross with wind up and follow through")</f>
        <v>Hard right cross with wind up and follow through</v>
      </c>
      <c r="E32" s="15"/>
    </row>
    <row r="33" ht="15.0" customHeight="1">
      <c r="A33" s="16">
        <f>IFERROR(__xludf.DUMMYFUNCTION("""COMPUTED_VALUE"""),30.0)</f>
        <v>30</v>
      </c>
      <c r="B33" t="str">
        <f>IFERROR(__xludf.DUMMYFUNCTION("""COMPUTED_VALUE"""),"Right_Hook")</f>
        <v>Right_Hook</v>
      </c>
      <c r="C33" s="17" t="str">
        <f>IFERROR(__xludf.DUMMYFUNCTION("""COMPUTED_VALUE"""),"-")</f>
        <v>-</v>
      </c>
      <c r="D33" s="18" t="str">
        <f>IFERROR(__xludf.DUMMYFUNCTION("""COMPUTED_VALUE"""),"Quick right hook drops arm, recover")</f>
        <v>Quick right hook drops arm, recover</v>
      </c>
      <c r="E33" s="15"/>
    </row>
    <row r="34" ht="15.0" customHeight="1">
      <c r="A34" s="16">
        <f>IFERROR(__xludf.DUMMYFUNCTION("""COMPUTED_VALUE"""),31.0)</f>
        <v>31</v>
      </c>
      <c r="B34" t="str">
        <f>IFERROR(__xludf.DUMMYFUNCTION("""COMPUTED_VALUE"""),"Right_Hook_FT")</f>
        <v>Right_Hook_FT</v>
      </c>
      <c r="C34" s="17" t="str">
        <f>IFERROR(__xludf.DUMMYFUNCTION("""COMPUTED_VALUE"""),"-")</f>
        <v>-</v>
      </c>
      <c r="D34" s="18" t="str">
        <f>IFERROR(__xludf.DUMMYFUNCTION("""COMPUTED_VALUE"""),"Solid right hook with follow through")</f>
        <v>Solid right hook with follow through</v>
      </c>
      <c r="E34" s="15"/>
    </row>
    <row r="35" ht="15.0" customHeight="1">
      <c r="A35" s="16">
        <f>IFERROR(__xludf.DUMMYFUNCTION("""COMPUTED_VALUE"""),32.0)</f>
        <v>32</v>
      </c>
      <c r="B35" t="str">
        <f>IFERROR(__xludf.DUMMYFUNCTION("""COMPUTED_VALUE"""),"Right_Hook_Hard")</f>
        <v>Right_Hook_Hard</v>
      </c>
      <c r="C35" s="17" t="str">
        <f>IFERROR(__xludf.DUMMYFUNCTION("""COMPUTED_VALUE"""),"-")</f>
        <v>-</v>
      </c>
      <c r="D35" s="18" t="str">
        <f>IFERROR(__xludf.DUMMYFUNCTION("""COMPUTED_VALUE"""),"Hard right hook with wind up")</f>
        <v>Hard right hook with wind up</v>
      </c>
      <c r="E35" s="15"/>
    </row>
    <row r="36" ht="15.0" customHeight="1">
      <c r="A36" s="16">
        <f>IFERROR(__xludf.DUMMYFUNCTION("""COMPUTED_VALUE"""),33.0)</f>
        <v>33</v>
      </c>
      <c r="B36" t="str">
        <f>IFERROR(__xludf.DUMMYFUNCTION("""COMPUTED_VALUE"""),"Right_Hook_Hard_FT")</f>
        <v>Right_Hook_Hard_FT</v>
      </c>
      <c r="C36" s="17" t="str">
        <f>IFERROR(__xludf.DUMMYFUNCTION("""COMPUTED_VALUE"""),"-")</f>
        <v>-</v>
      </c>
      <c r="D36" s="18" t="str">
        <f>IFERROR(__xludf.DUMMYFUNCTION("""COMPUTED_VALUE"""),"Hard right hook with wind up, step forward, recovers")</f>
        <v>Hard right hook with wind up, step forward, recovers</v>
      </c>
      <c r="E36" s="15"/>
    </row>
    <row r="37" ht="15.0" customHeight="1">
      <c r="A37" s="16">
        <f>IFERROR(__xludf.DUMMYFUNCTION("""COMPUTED_VALUE"""),34.0)</f>
        <v>34</v>
      </c>
      <c r="B37" t="str">
        <f>IFERROR(__xludf.DUMMYFUNCTION("""COMPUTED_VALUE"""),"Right_Hook_Hurt")</f>
        <v>Right_Hook_Hurt</v>
      </c>
      <c r="C37" s="17" t="str">
        <f>IFERROR(__xludf.DUMMYFUNCTION("""COMPUTED_VALUE"""),"-")</f>
        <v>-</v>
      </c>
      <c r="D37" s="18" t="str">
        <f>IFERROR(__xludf.DUMMYFUNCTION("""COMPUTED_VALUE"""),"Slower weaker but tight right hook")</f>
        <v>Slower weaker but tight right hook</v>
      </c>
      <c r="E37" s="15"/>
    </row>
    <row r="38" ht="15.0" customHeight="1">
      <c r="A38" s="16">
        <f>IFERROR(__xludf.DUMMYFUNCTION("""COMPUTED_VALUE"""),35.0)</f>
        <v>35</v>
      </c>
      <c r="B38" t="str">
        <f>IFERROR(__xludf.DUMMYFUNCTION("""COMPUTED_VALUE"""),"Right_Hook_Hurt_FT")</f>
        <v>Right_Hook_Hurt_FT</v>
      </c>
      <c r="C38" s="17" t="str">
        <f>IFERROR(__xludf.DUMMYFUNCTION("""COMPUTED_VALUE"""),"-")</f>
        <v>-</v>
      </c>
      <c r="D38" s="18" t="str">
        <f>IFERROR(__xludf.DUMMYFUNCTION("""COMPUTED_VALUE"""),"Downward angled hook to the lower body, slow, weak")</f>
        <v>Downward angled hook to the lower body, slow, weak</v>
      </c>
      <c r="E38" s="15"/>
    </row>
    <row r="39" ht="15.0" customHeight="1">
      <c r="A39" s="16">
        <f>IFERROR(__xludf.DUMMYFUNCTION("""COMPUTED_VALUE"""),36.0)</f>
        <v>36</v>
      </c>
      <c r="B39" t="str">
        <f>IFERROR(__xludf.DUMMYFUNCTION("""COMPUTED_VALUE"""),"Right_Hook_Miss")</f>
        <v>Right_Hook_Miss</v>
      </c>
      <c r="C39" s="17" t="str">
        <f>IFERROR(__xludf.DUMMYFUNCTION("""COMPUTED_VALUE"""),"-")</f>
        <v>-</v>
      </c>
      <c r="D39" s="18" t="str">
        <f>IFERROR(__xludf.DUMMYFUNCTION("""COMPUTED_VALUE"""),"Hook with wind up, misses, leans forward, recovers")</f>
        <v>Hook with wind up, misses, leans forward, recovers</v>
      </c>
      <c r="E39" s="15"/>
    </row>
    <row r="40" ht="15.0" customHeight="1">
      <c r="A40" s="16">
        <f>IFERROR(__xludf.DUMMYFUNCTION("""COMPUTED_VALUE"""),37.0)</f>
        <v>37</v>
      </c>
      <c r="B40" t="str">
        <f>IFERROR(__xludf.DUMMYFUNCTION("""COMPUTED_VALUE"""),"Right_Hook_Special")</f>
        <v>Right_Hook_Special</v>
      </c>
      <c r="C40" s="17" t="str">
        <f>IFERROR(__xludf.DUMMYFUNCTION("""COMPUTED_VALUE"""),"-")</f>
        <v>-</v>
      </c>
      <c r="D40" s="18" t="str">
        <f>IFERROR(__xludf.DUMMYFUNCTION("""COMPUTED_VALUE"""),"Steps back huge right hook, steps through the punch, recovers")</f>
        <v>Steps back huge right hook, steps through the punch, recovers</v>
      </c>
      <c r="E40" s="15"/>
    </row>
    <row r="41" ht="15.0" customHeight="1">
      <c r="A41" s="16">
        <f>IFERROR(__xludf.DUMMYFUNCTION("""COMPUTED_VALUE"""),38.0)</f>
        <v>38</v>
      </c>
      <c r="B41" t="str">
        <f>IFERROR(__xludf.DUMMYFUNCTION("""COMPUTED_VALUE"""),"Right_Uppercut")</f>
        <v>Right_Uppercut</v>
      </c>
      <c r="C41" s="17" t="str">
        <f>IFERROR(__xludf.DUMMYFUNCTION("""COMPUTED_VALUE"""),"-")</f>
        <v>-</v>
      </c>
      <c r="D41" s="18" t="str">
        <f>IFERROR(__xludf.DUMMYFUNCTION("""COMPUTED_VALUE"""),"Angled right uppercut")</f>
        <v>Angled right uppercut</v>
      </c>
      <c r="E41" s="15"/>
    </row>
    <row r="42" ht="15.0" customHeight="1">
      <c r="A42" s="16">
        <f>IFERROR(__xludf.DUMMYFUNCTION("""COMPUTED_VALUE"""),39.0)</f>
        <v>39</v>
      </c>
      <c r="B42" t="str">
        <f>IFERROR(__xludf.DUMMYFUNCTION("""COMPUTED_VALUE"""),"Right_Uppercut_ Hard")</f>
        <v>Right_Uppercut_ Hard</v>
      </c>
      <c r="C42" s="17" t="str">
        <f>IFERROR(__xludf.DUMMYFUNCTION("""COMPUTED_VALUE"""),"-")</f>
        <v>-</v>
      </c>
      <c r="D42" s="18" t="str">
        <f>IFERROR(__xludf.DUMMYFUNCTION("""COMPUTED_VALUE"""),"Hard right uppercut that connects hard")</f>
        <v>Hard right uppercut that connects hard</v>
      </c>
      <c r="E42" s="15"/>
    </row>
    <row r="43" ht="15.0" customHeight="1">
      <c r="A43" s="16">
        <f>IFERROR(__xludf.DUMMYFUNCTION("""COMPUTED_VALUE"""),40.0)</f>
        <v>40</v>
      </c>
      <c r="B43" t="str">
        <f>IFERROR(__xludf.DUMMYFUNCTION("""COMPUTED_VALUE"""),"Right_Uppercut_ Miss")</f>
        <v>Right_Uppercut_ Miss</v>
      </c>
      <c r="C43" s="17" t="str">
        <f>IFERROR(__xludf.DUMMYFUNCTION("""COMPUTED_VALUE"""),"-")</f>
        <v>-</v>
      </c>
      <c r="D43" s="18" t="str">
        <f>IFERROR(__xludf.DUMMYFUNCTION("""COMPUTED_VALUE"""),"Right uppercut, misses with small stumble and shuffle")</f>
        <v>Right uppercut, misses with small stumble and shuffle</v>
      </c>
      <c r="E43" s="15"/>
    </row>
    <row r="44" ht="15.0" customHeight="1">
      <c r="A44" s="16">
        <f>IFERROR(__xludf.DUMMYFUNCTION("""COMPUTED_VALUE"""),41.0)</f>
        <v>41</v>
      </c>
      <c r="B44" t="str">
        <f>IFERROR(__xludf.DUMMYFUNCTION("""COMPUTED_VALUE"""),"Right_Uppercut_FT")</f>
        <v>Right_Uppercut_FT</v>
      </c>
      <c r="C44" s="17" t="str">
        <f>IFERROR(__xludf.DUMMYFUNCTION("""COMPUTED_VALUE"""),"-")</f>
        <v>-</v>
      </c>
      <c r="D44" s="18" t="str">
        <f>IFERROR(__xludf.DUMMYFUNCTION("""COMPUTED_VALUE"""),"Right uppercut with lots of wind up, follow through")</f>
        <v>Right uppercut with lots of wind up, follow through</v>
      </c>
      <c r="E44" s="15"/>
    </row>
    <row r="45" ht="15.0" customHeight="1">
      <c r="A45" s="16">
        <f>IFERROR(__xludf.DUMMYFUNCTION("""COMPUTED_VALUE"""),42.0)</f>
        <v>42</v>
      </c>
      <c r="B45" t="str">
        <f>IFERROR(__xludf.DUMMYFUNCTION("""COMPUTED_VALUE"""),"Right_Uppercut_Hard_FT")</f>
        <v>Right_Uppercut_Hard_FT</v>
      </c>
      <c r="C45" s="17" t="str">
        <f>IFERROR(__xludf.DUMMYFUNCTION("""COMPUTED_VALUE"""),"-")</f>
        <v>-</v>
      </c>
      <c r="D45" s="18" t="str">
        <f>IFERROR(__xludf.DUMMYFUNCTION("""COMPUTED_VALUE"""),"Strong inward angled right upper cut with follow through")</f>
        <v>Strong inward angled right upper cut with follow through</v>
      </c>
      <c r="E45" s="15"/>
    </row>
    <row r="46" ht="15.0" customHeight="1">
      <c r="A46" s="16">
        <f>IFERROR(__xludf.DUMMYFUNCTION("""COMPUTED_VALUE"""),43.0)</f>
        <v>43</v>
      </c>
      <c r="B46" t="str">
        <f>IFERROR(__xludf.DUMMYFUNCTION("""COMPUTED_VALUE"""),"Right_Uppercut_Hurt")</f>
        <v>Right_Uppercut_Hurt</v>
      </c>
      <c r="C46" s="17" t="str">
        <f>IFERROR(__xludf.DUMMYFUNCTION("""COMPUTED_VALUE"""),"-")</f>
        <v>-</v>
      </c>
      <c r="D46" s="18" t="str">
        <f>IFERROR(__xludf.DUMMYFUNCTION("""COMPUTED_VALUE"""),"Very slow weak right uppercut")</f>
        <v>Very slow weak right uppercut</v>
      </c>
      <c r="E46" s="15"/>
    </row>
    <row r="47" ht="15.0" customHeight="1">
      <c r="A47" s="16">
        <f>IFERROR(__xludf.DUMMYFUNCTION("""COMPUTED_VALUE"""),44.0)</f>
        <v>44</v>
      </c>
      <c r="B47" t="str">
        <f>IFERROR(__xludf.DUMMYFUNCTION("""COMPUTED_VALUE"""),"Right_Uppercut_Hurt_FT")</f>
        <v>Right_Uppercut_Hurt_FT</v>
      </c>
      <c r="C47" s="17" t="str">
        <f>IFERROR(__xludf.DUMMYFUNCTION("""COMPUTED_VALUE"""),"-")</f>
        <v>-</v>
      </c>
      <c r="D47" s="18" t="str">
        <f>IFERROR(__xludf.DUMMYFUNCTION("""COMPUTED_VALUE"""),"Weak right uppercut with wind up and body twist")</f>
        <v>Weak right uppercut with wind up and body twist</v>
      </c>
      <c r="E47" s="15"/>
    </row>
    <row r="48" ht="15.0" customHeight="1">
      <c r="A48" s="16">
        <f>IFERROR(__xludf.DUMMYFUNCTION("""COMPUTED_VALUE"""),45.0)</f>
        <v>45</v>
      </c>
      <c r="B48" t="str">
        <f>IFERROR(__xludf.DUMMYFUNCTION("""COMPUTED_VALUE"""),"Right_Uppercut_Special")</f>
        <v>Right_Uppercut_Special</v>
      </c>
      <c r="C48" s="17" t="str">
        <f>IFERROR(__xludf.DUMMYFUNCTION("""COMPUTED_VALUE"""),"-")</f>
        <v>-</v>
      </c>
      <c r="D48" s="18" t="str">
        <f>IFERROR(__xludf.DUMMYFUNCTION("""COMPUTED_VALUE"""),"Strong wild upper cut with slow recovery")</f>
        <v>Strong wild upper cut with slow recovery</v>
      </c>
      <c r="E48" s="15"/>
    </row>
    <row r="49" ht="15.0" customHeight="1">
      <c r="A49" s="16">
        <f>IFERROR(__xludf.DUMMYFUNCTION("""COMPUTED_VALUE"""),46.0)</f>
        <v>46</v>
      </c>
      <c r="B49" s="13" t="str">
        <f>IFERROR(__xludf.DUMMYFUNCTION("""COMPUTED_VALUE"""),"LEFT PUNCHES")</f>
        <v>LEFT PUNCHES</v>
      </c>
      <c r="C49" s="14"/>
      <c r="D49" s="14"/>
      <c r="E49" s="15"/>
    </row>
    <row r="50" ht="15.0" customHeight="1">
      <c r="A50" s="16">
        <f>IFERROR(__xludf.DUMMYFUNCTION("""COMPUTED_VALUE"""),47.0)</f>
        <v>47</v>
      </c>
      <c r="B50" t="str">
        <f>IFERROR(__xludf.DUMMYFUNCTION("""COMPUTED_VALUE"""),"Left_Jab")</f>
        <v>Left_Jab</v>
      </c>
      <c r="C50" s="17" t="str">
        <f>IFERROR(__xludf.DUMMYFUNCTION("""COMPUTED_VALUE"""),"-")</f>
        <v>-</v>
      </c>
      <c r="D50" s="18" t="str">
        <f>IFERROR(__xludf.DUMMYFUNCTION("""COMPUTED_VALUE"""),"Straight jab with connecting hit")</f>
        <v>Straight jab with connecting hit</v>
      </c>
      <c r="E50" s="15"/>
    </row>
    <row r="51" ht="15.0" customHeight="1">
      <c r="A51" s="16">
        <f>IFERROR(__xludf.DUMMYFUNCTION("""COMPUTED_VALUE"""),48.0)</f>
        <v>48</v>
      </c>
      <c r="B51" t="str">
        <f>IFERROR(__xludf.DUMMYFUNCTION("""COMPUTED_VALUE"""),"Left_Jab_A")</f>
        <v>Left_Jab_A</v>
      </c>
      <c r="C51" s="17" t="str">
        <f>IFERROR(__xludf.DUMMYFUNCTION("""COMPUTED_VALUE"""),"-")</f>
        <v>-</v>
      </c>
      <c r="D51" s="18" t="str">
        <f>IFERROR(__xludf.DUMMYFUNCTION("""COMPUTED_VALUE"""),"Straight jab at face slightly angled with good recoil to punch")</f>
        <v>Straight jab at face slightly angled with good recoil to punch</v>
      </c>
      <c r="E51" s="15"/>
    </row>
    <row r="52" ht="15.0" customHeight="1">
      <c r="A52" s="16">
        <f>IFERROR(__xludf.DUMMYFUNCTION("""COMPUTED_VALUE"""),49.0)</f>
        <v>49</v>
      </c>
      <c r="B52" t="str">
        <f>IFERROR(__xludf.DUMMYFUNCTION("""COMPUTED_VALUE"""),"Left_Jab_B")</f>
        <v>Left_Jab_B</v>
      </c>
      <c r="C52" s="17" t="str">
        <f>IFERROR(__xludf.DUMMYFUNCTION("""COMPUTED_VALUE"""),"-")</f>
        <v>-</v>
      </c>
      <c r="D52" s="18" t="str">
        <f>IFERROR(__xludf.DUMMYFUNCTION("""COMPUTED_VALUE"""),"Quick straight jab")</f>
        <v>Quick straight jab</v>
      </c>
      <c r="E52" s="15"/>
    </row>
    <row r="53" ht="15.0" customHeight="1">
      <c r="A53" s="16">
        <f>IFERROR(__xludf.DUMMYFUNCTION("""COMPUTED_VALUE"""),50.0)</f>
        <v>50</v>
      </c>
      <c r="B53" t="str">
        <f>IFERROR(__xludf.DUMMYFUNCTION("""COMPUTED_VALUE"""),"Left_Jab_C")</f>
        <v>Left_Jab_C</v>
      </c>
      <c r="C53" s="17" t="str">
        <f>IFERROR(__xludf.DUMMYFUNCTION("""COMPUTED_VALUE"""),"-")</f>
        <v>-</v>
      </c>
      <c r="D53" s="18" t="str">
        <f>IFERROR(__xludf.DUMMYFUNCTION("""COMPUTED_VALUE"""),"Straight jab slower recoil")</f>
        <v>Straight jab slower recoil</v>
      </c>
      <c r="E53" s="15"/>
    </row>
    <row r="54" ht="15.0" customHeight="1">
      <c r="A54" s="16">
        <f>IFERROR(__xludf.DUMMYFUNCTION("""COMPUTED_VALUE"""),51.0)</f>
        <v>51</v>
      </c>
      <c r="B54" t="str">
        <f>IFERROR(__xludf.DUMMYFUNCTION("""COMPUTED_VALUE"""),"Left_Jab_Hurt")</f>
        <v>Left_Jab_Hurt</v>
      </c>
      <c r="C54" s="17" t="str">
        <f>IFERROR(__xludf.DUMMYFUNCTION("""COMPUTED_VALUE"""),"-")</f>
        <v>-</v>
      </c>
      <c r="D54" s="18" t="str">
        <f>IFERROR(__xludf.DUMMYFUNCTION("""COMPUTED_VALUE"""),"Weak straight jab, glances downward, recovers hand position")</f>
        <v>Weak straight jab, glances downward, recovers hand position</v>
      </c>
      <c r="E54" s="15"/>
    </row>
    <row r="55" ht="15.0" customHeight="1">
      <c r="A55" s="16">
        <f>IFERROR(__xludf.DUMMYFUNCTION("""COMPUTED_VALUE"""),52.0)</f>
        <v>52</v>
      </c>
      <c r="B55" t="str">
        <f>IFERROR(__xludf.DUMMYFUNCTION("""COMPUTED_VALUE"""),"Left_Jab_Hard")</f>
        <v>Left_Jab_Hard</v>
      </c>
      <c r="C55" s="17" t="str">
        <f>IFERROR(__xludf.DUMMYFUNCTION("""COMPUTED_VALUE"""),"-")</f>
        <v>-</v>
      </c>
      <c r="D55" s="18" t="str">
        <f>IFERROR(__xludf.DUMMYFUNCTION("""COMPUTED_VALUE"""),"Straight jab really trying to make solid connect, slow ")</f>
        <v>Straight jab really trying to make solid connect, slow </v>
      </c>
      <c r="E55" s="15"/>
    </row>
    <row r="56" ht="15.0" customHeight="1">
      <c r="A56" s="16">
        <f>IFERROR(__xludf.DUMMYFUNCTION("""COMPUTED_VALUE"""),53.0)</f>
        <v>53</v>
      </c>
      <c r="B56" t="str">
        <f>IFERROR(__xludf.DUMMYFUNCTION("""COMPUTED_VALUE"""),"Left_Jab_Miss")</f>
        <v>Left_Jab_Miss</v>
      </c>
      <c r="C56" s="17" t="str">
        <f>IFERROR(__xludf.DUMMYFUNCTION("""COMPUTED_VALUE"""),"-")</f>
        <v>-</v>
      </c>
      <c r="D56" s="18" t="str">
        <f>IFERROR(__xludf.DUMMYFUNCTION("""COMPUTED_VALUE"""),"Jab, miss, losing balance forward, recover")</f>
        <v>Jab, miss, losing balance forward, recover</v>
      </c>
      <c r="E56" s="15"/>
    </row>
    <row r="57" ht="15.0" customHeight="1">
      <c r="A57" s="16">
        <f>IFERROR(__xludf.DUMMYFUNCTION("""COMPUTED_VALUE"""),54.0)</f>
        <v>54</v>
      </c>
      <c r="B57" t="str">
        <f>IFERROR(__xludf.DUMMYFUNCTION("""COMPUTED_VALUE"""),"Left_Jab_Special")</f>
        <v>Left_Jab_Special</v>
      </c>
      <c r="C57" s="17" t="str">
        <f>IFERROR(__xludf.DUMMYFUNCTION("""COMPUTED_VALUE"""),"-")</f>
        <v>-</v>
      </c>
      <c r="D57" s="18" t="str">
        <f>IFERROR(__xludf.DUMMYFUNCTION("""COMPUTED_VALUE"""),"Throws really hard solid jab with slow recoil")</f>
        <v>Throws really hard solid jab with slow recoil</v>
      </c>
      <c r="E57" s="15"/>
    </row>
    <row r="58" ht="15.0" customHeight="1">
      <c r="A58" s="16">
        <f>IFERROR(__xludf.DUMMYFUNCTION("""COMPUTED_VALUE"""),55.0)</f>
        <v>55</v>
      </c>
      <c r="B58" t="str">
        <f>IFERROR(__xludf.DUMMYFUNCTION("""COMPUTED_VALUE"""),"Left_Jab_FT")</f>
        <v>Left_Jab_FT</v>
      </c>
      <c r="C58" s="17" t="str">
        <f>IFERROR(__xludf.DUMMYFUNCTION("""COMPUTED_VALUE"""),"-")</f>
        <v>-</v>
      </c>
      <c r="D58" s="18" t="str">
        <f>IFERROR(__xludf.DUMMYFUNCTION("""COMPUTED_VALUE"""),"Straight jab really turns body into the punch")</f>
        <v>Straight jab really turns body into the punch</v>
      </c>
      <c r="E58" s="15"/>
    </row>
    <row r="59" ht="15.0" customHeight="1">
      <c r="A59" s="16">
        <f>IFERROR(__xludf.DUMMYFUNCTION("""COMPUTED_VALUE"""),56.0)</f>
        <v>56</v>
      </c>
      <c r="B59" t="str">
        <f>IFERROR(__xludf.DUMMYFUNCTION("""COMPUTED_VALUE"""),"Left_Jab_Hard_FT")</f>
        <v>Left_Jab_Hard_FT</v>
      </c>
      <c r="C59" s="17" t="str">
        <f>IFERROR(__xludf.DUMMYFUNCTION("""COMPUTED_VALUE"""),"-")</f>
        <v>-</v>
      </c>
      <c r="D59" s="18" t="str">
        <f>IFERROR(__xludf.DUMMYFUNCTION("""COMPUTED_VALUE"""),"Strong jab with windup, follow through")</f>
        <v>Strong jab with windup, follow through</v>
      </c>
      <c r="E59" s="15"/>
    </row>
    <row r="60" ht="15.0" customHeight="1">
      <c r="A60" s="16">
        <f>IFERROR(__xludf.DUMMYFUNCTION("""COMPUTED_VALUE"""),57.0)</f>
        <v>57</v>
      </c>
      <c r="B60" t="str">
        <f>IFERROR(__xludf.DUMMYFUNCTION("""COMPUTED_VALUE"""),"Left_Jab_Hurt_FT")</f>
        <v>Left_Jab_Hurt_FT</v>
      </c>
      <c r="C60" s="17" t="str">
        <f>IFERROR(__xludf.DUMMYFUNCTION("""COMPUTED_VALUE"""),"-")</f>
        <v>-</v>
      </c>
      <c r="D60" s="18" t="str">
        <f>IFERROR(__xludf.DUMMYFUNCTION("""COMPUTED_VALUE"""),"Weak slow jab, follow through, body movement put into punch ")</f>
        <v>Weak slow jab, follow through, body movement put into punch </v>
      </c>
      <c r="E60" s="15"/>
    </row>
    <row r="61" ht="15.0" customHeight="1">
      <c r="A61" s="16">
        <f>IFERROR(__xludf.DUMMYFUNCTION("""COMPUTED_VALUE"""),58.0)</f>
        <v>58</v>
      </c>
      <c r="B61" t="str">
        <f>IFERROR(__xludf.DUMMYFUNCTION("""COMPUTED_VALUE"""),"Left_Hook")</f>
        <v>Left_Hook</v>
      </c>
      <c r="C61" s="17" t="str">
        <f>IFERROR(__xludf.DUMMYFUNCTION("""COMPUTED_VALUE"""),"-")</f>
        <v>-</v>
      </c>
      <c r="D61" s="18" t="str">
        <f>IFERROR(__xludf.DUMMYFUNCTION("""COMPUTED_VALUE"""),"Angled left hook with strong connecting hit")</f>
        <v>Angled left hook with strong connecting hit</v>
      </c>
      <c r="E61" s="15"/>
    </row>
    <row r="62" ht="15.0" customHeight="1">
      <c r="A62" s="16">
        <f>IFERROR(__xludf.DUMMYFUNCTION("""COMPUTED_VALUE"""),59.0)</f>
        <v>59</v>
      </c>
      <c r="B62" t="str">
        <f>IFERROR(__xludf.DUMMYFUNCTION("""COMPUTED_VALUE"""),"Left_Hook_V2")</f>
        <v>Left_Hook_V2</v>
      </c>
      <c r="C62" s="17" t="str">
        <f>IFERROR(__xludf.DUMMYFUNCTION("""COMPUTED_VALUE"""),"-")</f>
        <v>-</v>
      </c>
      <c r="D62" s="18" t="str">
        <f>IFERROR(__xludf.DUMMYFUNCTION("""COMPUTED_VALUE"""),"Tight left hook with good connecting hit")</f>
        <v>Tight left hook with good connecting hit</v>
      </c>
      <c r="E62" s="15"/>
    </row>
    <row r="63" ht="15.0" customHeight="1">
      <c r="A63" s="16">
        <f>IFERROR(__xludf.DUMMYFUNCTION("""COMPUTED_VALUE"""),60.0)</f>
        <v>60</v>
      </c>
      <c r="B63" t="str">
        <f>IFERROR(__xludf.DUMMYFUNCTION("""COMPUTED_VALUE"""),"Left_Hook_FT")</f>
        <v>Left_Hook_FT</v>
      </c>
      <c r="C63" s="17" t="str">
        <f>IFERROR(__xludf.DUMMYFUNCTION("""COMPUTED_VALUE"""),"-")</f>
        <v>-</v>
      </c>
      <c r="D63" s="18" t="str">
        <f>IFERROR(__xludf.DUMMYFUNCTION("""COMPUTED_VALUE"""),"Left hook with follow through")</f>
        <v>Left hook with follow through</v>
      </c>
      <c r="E63" s="15"/>
    </row>
    <row r="64" ht="15.0" customHeight="1">
      <c r="A64" s="16">
        <f>IFERROR(__xludf.DUMMYFUNCTION("""COMPUTED_VALUE"""),61.0)</f>
        <v>61</v>
      </c>
      <c r="B64" t="str">
        <f>IFERROR(__xludf.DUMMYFUNCTION("""COMPUTED_VALUE"""),"Left_Hook_ Hard")</f>
        <v>Left_Hook_ Hard</v>
      </c>
      <c r="C64" s="17" t="str">
        <f>IFERROR(__xludf.DUMMYFUNCTION("""COMPUTED_VALUE"""),"-")</f>
        <v>-</v>
      </c>
      <c r="D64" s="18" t="str">
        <f>IFERROR(__xludf.DUMMYFUNCTION("""COMPUTED_VALUE"""),"Large wind up to a left hook hard connect")</f>
        <v>Large wind up to a left hook hard connect</v>
      </c>
      <c r="E64" s="15"/>
    </row>
    <row r="65" ht="15.0" customHeight="1">
      <c r="A65" s="12">
        <f>IFERROR(__xludf.DUMMYFUNCTION("""COMPUTED_VALUE"""),62.0)</f>
        <v>62</v>
      </c>
      <c r="B65" t="str">
        <f>IFERROR(__xludf.DUMMYFUNCTION("""COMPUTED_VALUE"""),"Left_Hook_ Hard_FT")</f>
        <v>Left_Hook_ Hard_FT</v>
      </c>
      <c r="C65" s="17" t="str">
        <f>IFERROR(__xludf.DUMMYFUNCTION("""COMPUTED_VALUE"""),"-")</f>
        <v>-</v>
      </c>
      <c r="D65" s="18" t="str">
        <f>IFERROR(__xludf.DUMMYFUNCTION("""COMPUTED_VALUE"""),"Hard fast hook with follow through")</f>
        <v>Hard fast hook with follow through</v>
      </c>
      <c r="E65" s="15"/>
    </row>
    <row r="66" ht="15.0" customHeight="1">
      <c r="A66" s="16">
        <f>IFERROR(__xludf.DUMMYFUNCTION("""COMPUTED_VALUE"""),63.0)</f>
        <v>63</v>
      </c>
      <c r="B66" t="str">
        <f>IFERROR(__xludf.DUMMYFUNCTION("""COMPUTED_VALUE"""),"Left_Hook_Hurt")</f>
        <v>Left_Hook_Hurt</v>
      </c>
      <c r="C66" s="17" t="str">
        <f>IFERROR(__xludf.DUMMYFUNCTION("""COMPUTED_VALUE"""),"-")</f>
        <v>-</v>
      </c>
      <c r="D66" s="18" t="str">
        <f>IFERROR(__xludf.DUMMYFUNCTION("""COMPUTED_VALUE"""),"Weak half hearted left hook")</f>
        <v>Weak half hearted left hook</v>
      </c>
      <c r="E66" s="15"/>
    </row>
    <row r="67" ht="15.0" customHeight="1">
      <c r="A67" s="16">
        <f>IFERROR(__xludf.DUMMYFUNCTION("""COMPUTED_VALUE"""),64.0)</f>
        <v>64</v>
      </c>
      <c r="B67" t="str">
        <f>IFERROR(__xludf.DUMMYFUNCTION("""COMPUTED_VALUE"""),"Left_Hook_Hurt_FT")</f>
        <v>Left_Hook_Hurt_FT</v>
      </c>
      <c r="C67" s="17" t="str">
        <f>IFERROR(__xludf.DUMMYFUNCTION("""COMPUTED_VALUE"""),"-")</f>
        <v>-</v>
      </c>
      <c r="D67" s="18" t="str">
        <f>IFERROR(__xludf.DUMMYFUNCTION("""COMPUTED_VALUE"""),"Weak half hearted left hook with follow through")</f>
        <v>Weak half hearted left hook with follow through</v>
      </c>
      <c r="E67" s="15"/>
    </row>
    <row r="68" ht="15.0" customHeight="1">
      <c r="A68" s="16">
        <f>IFERROR(__xludf.DUMMYFUNCTION("""COMPUTED_VALUE"""),65.0)</f>
        <v>65</v>
      </c>
      <c r="B68" t="str">
        <f>IFERROR(__xludf.DUMMYFUNCTION("""COMPUTED_VALUE"""),"Left_Hook_ Miss")</f>
        <v>Left_Hook_ Miss</v>
      </c>
      <c r="C68" s="17" t="str">
        <f>IFERROR(__xludf.DUMMYFUNCTION("""COMPUTED_VALUE"""),"-")</f>
        <v>-</v>
      </c>
      <c r="D68" s="18" t="str">
        <f>IFERROR(__xludf.DUMMYFUNCTION("""COMPUTED_VALUE"""),"Left hook misses and has slow recover")</f>
        <v>Left hook misses and has slow recover</v>
      </c>
      <c r="E68" s="15"/>
    </row>
    <row r="69" ht="15.0" customHeight="1">
      <c r="A69" s="16">
        <f>IFERROR(__xludf.DUMMYFUNCTION("""COMPUTED_VALUE"""),66.0)</f>
        <v>66</v>
      </c>
      <c r="B69" t="str">
        <f>IFERROR(__xludf.DUMMYFUNCTION("""COMPUTED_VALUE"""),"Left_Hook_Special")</f>
        <v>Left_Hook_Special</v>
      </c>
      <c r="C69" s="17" t="str">
        <f>IFERROR(__xludf.DUMMYFUNCTION("""COMPUTED_VALUE"""),"-")</f>
        <v>-</v>
      </c>
      <c r="D69" s="18" t="str">
        <f>IFERROR(__xludf.DUMMYFUNCTION("""COMPUTED_VALUE"""),"Large wind up for an all or nothing slow left hook")</f>
        <v>Large wind up for an all or nothing slow left hook</v>
      </c>
      <c r="E69" s="15"/>
    </row>
    <row r="70" ht="15.0" customHeight="1">
      <c r="A70" s="16">
        <f>IFERROR(__xludf.DUMMYFUNCTION("""COMPUTED_VALUE"""),67.0)</f>
        <v>67</v>
      </c>
      <c r="B70" t="str">
        <f>IFERROR(__xludf.DUMMYFUNCTION("""COMPUTED_VALUE"""),"Left_Uppercut")</f>
        <v>Left_Uppercut</v>
      </c>
      <c r="C70" s="17" t="str">
        <f>IFERROR(__xludf.DUMMYFUNCTION("""COMPUTED_VALUE"""),"-")</f>
        <v>-</v>
      </c>
      <c r="D70" s="18" t="str">
        <f>IFERROR(__xludf.DUMMYFUNCTION("""COMPUTED_VALUE"""),"Uppercut from hip up to above head lots of wind up")</f>
        <v>Uppercut from hip up to above head lots of wind up</v>
      </c>
      <c r="E70" s="15"/>
    </row>
    <row r="71" ht="15.0" customHeight="1">
      <c r="A71" s="16">
        <f>IFERROR(__xludf.DUMMYFUNCTION("""COMPUTED_VALUE"""),68.0)</f>
        <v>68</v>
      </c>
      <c r="B71" t="str">
        <f>IFERROR(__xludf.DUMMYFUNCTION("""COMPUTED_VALUE"""),"Left_Uppercut_FT")</f>
        <v>Left_Uppercut_FT</v>
      </c>
      <c r="C71" s="17" t="str">
        <f>IFERROR(__xludf.DUMMYFUNCTION("""COMPUTED_VALUE"""),"-")</f>
        <v>-</v>
      </c>
      <c r="D71" s="18" t="str">
        <f>IFERROR(__xludf.DUMMYFUNCTION("""COMPUTED_VALUE"""),"Uppercut really turning body into the punch")</f>
        <v>Uppercut really turning body into the punch</v>
      </c>
      <c r="E71" s="15"/>
    </row>
    <row r="72" ht="15.0" customHeight="1">
      <c r="A72" s="16">
        <f>IFERROR(__xludf.DUMMYFUNCTION("""COMPUTED_VALUE"""),69.0)</f>
        <v>69</v>
      </c>
      <c r="B72" t="str">
        <f>IFERROR(__xludf.DUMMYFUNCTION("""COMPUTED_VALUE"""),"Left_Uppercut_Hard")</f>
        <v>Left_Uppercut_Hard</v>
      </c>
      <c r="C72" s="17" t="str">
        <f>IFERROR(__xludf.DUMMYFUNCTION("""COMPUTED_VALUE"""),"-")</f>
        <v>-</v>
      </c>
      <c r="D72" s="18" t="str">
        <f>IFERROR(__xludf.DUMMYFUNCTION("""COMPUTED_VALUE"""),"Quick hard angled uppercut straight at the face ")</f>
        <v>Quick hard angled uppercut straight at the face </v>
      </c>
      <c r="E72" s="15"/>
    </row>
    <row r="73" ht="15.0" customHeight="1">
      <c r="A73" s="16">
        <f>IFERROR(__xludf.DUMMYFUNCTION("""COMPUTED_VALUE"""),70.0)</f>
        <v>70</v>
      </c>
      <c r="B73" t="str">
        <f>IFERROR(__xludf.DUMMYFUNCTION("""COMPUTED_VALUE"""),"Left_Uppercut_Hard_FT")</f>
        <v>Left_Uppercut_Hard_FT</v>
      </c>
      <c r="C73" s="17" t="str">
        <f>IFERROR(__xludf.DUMMYFUNCTION("""COMPUTED_VALUE"""),"-")</f>
        <v>-</v>
      </c>
      <c r="D73" s="18" t="str">
        <f>IFERROR(__xludf.DUMMYFUNCTION("""COMPUTED_VALUE"""),"Hard angled uppercut straight at the face with lots of wind up")</f>
        <v>Hard angled uppercut straight at the face with lots of wind up</v>
      </c>
      <c r="E73" s="15"/>
    </row>
    <row r="74" ht="15.0" customHeight="1">
      <c r="A74" s="16">
        <f>IFERROR(__xludf.DUMMYFUNCTION("""COMPUTED_VALUE"""),71.0)</f>
        <v>71</v>
      </c>
      <c r="B74" t="str">
        <f>IFERROR(__xludf.DUMMYFUNCTION("""COMPUTED_VALUE"""),"Left_Uppercut_Hurt")</f>
        <v>Left_Uppercut_Hurt</v>
      </c>
      <c r="C74" s="17" t="str">
        <f>IFERROR(__xludf.DUMMYFUNCTION("""COMPUTED_VALUE"""),"-")</f>
        <v>-</v>
      </c>
      <c r="D74" s="18" t="str">
        <f>IFERROR(__xludf.DUMMYFUNCTION("""COMPUTED_VALUE"""),"Quick weak angled uppercut straight at the face ")</f>
        <v>Quick weak angled uppercut straight at the face </v>
      </c>
      <c r="E74" s="15"/>
    </row>
    <row r="75" ht="15.0" customHeight="1">
      <c r="A75" s="16">
        <f>IFERROR(__xludf.DUMMYFUNCTION("""COMPUTED_VALUE"""),72.0)</f>
        <v>72</v>
      </c>
      <c r="B75" t="str">
        <f>IFERROR(__xludf.DUMMYFUNCTION("""COMPUTED_VALUE"""),"Left_Uppercut_Hurt_FT")</f>
        <v>Left_Uppercut_Hurt_FT</v>
      </c>
      <c r="C75" s="17" t="str">
        <f>IFERROR(__xludf.DUMMYFUNCTION("""COMPUTED_VALUE"""),"-")</f>
        <v>-</v>
      </c>
      <c r="D75" s="18" t="str">
        <f>IFERROR(__xludf.DUMMYFUNCTION("""COMPUTED_VALUE"""),"Quick weak angled uppercut straight to face, follow through")</f>
        <v>Quick weak angled uppercut straight to face, follow through</v>
      </c>
      <c r="E75" s="15"/>
    </row>
    <row r="76" ht="15.0" customHeight="1">
      <c r="A76" s="16">
        <f>IFERROR(__xludf.DUMMYFUNCTION("""COMPUTED_VALUE"""),73.0)</f>
        <v>73</v>
      </c>
      <c r="B76" t="str">
        <f>IFERROR(__xludf.DUMMYFUNCTION("""COMPUTED_VALUE"""),"Left_Uppercut_ Miss")</f>
        <v>Left_Uppercut_ Miss</v>
      </c>
      <c r="C76" s="17" t="str">
        <f>IFERROR(__xludf.DUMMYFUNCTION("""COMPUTED_VALUE"""),"-")</f>
        <v>-</v>
      </c>
      <c r="D76" s="18" t="str">
        <f>IFERROR(__xludf.DUMMYFUNCTION("""COMPUTED_VALUE"""),"Upper cut and misses going into a spin right, recover")</f>
        <v>Upper cut and misses going into a spin right, recover</v>
      </c>
      <c r="E76" s="15"/>
    </row>
    <row r="77" ht="15.0" customHeight="1">
      <c r="A77" s="16">
        <f>IFERROR(__xludf.DUMMYFUNCTION("""COMPUTED_VALUE"""),74.0)</f>
        <v>74</v>
      </c>
      <c r="B77" t="str">
        <f>IFERROR(__xludf.DUMMYFUNCTION("""COMPUTED_VALUE"""),"Left_Uppercut_Special")</f>
        <v>Left_Uppercut_Special</v>
      </c>
      <c r="C77" s="17" t="str">
        <f>IFERROR(__xludf.DUMMYFUNCTION("""COMPUTED_VALUE"""),"-")</f>
        <v>-</v>
      </c>
      <c r="D77" s="18" t="str">
        <f>IFERROR(__xludf.DUMMYFUNCTION("""COMPUTED_VALUE"""),"Exaggerated uppercut over the head, entire body turns, recover")</f>
        <v>Exaggerated uppercut over the head, entire body turns, recover</v>
      </c>
      <c r="E77" s="15"/>
    </row>
    <row r="78" ht="15.0" customHeight="1">
      <c r="A78" s="16">
        <f>IFERROR(__xludf.DUMMYFUNCTION("""COMPUTED_VALUE"""),75.0)</f>
        <v>75</v>
      </c>
      <c r="B78" s="13" t="str">
        <f>IFERROR(__xludf.DUMMYFUNCTION("""COMPUTED_VALUE"""),"DEFENSE, HITS")</f>
        <v>DEFENSE, HITS</v>
      </c>
      <c r="C78" s="14"/>
      <c r="D78" s="14"/>
      <c r="E78" s="15"/>
    </row>
    <row r="79" ht="15.0" customHeight="1">
      <c r="A79" s="16">
        <f>IFERROR(__xludf.DUMMYFUNCTION("""COMPUTED_VALUE"""),76.0)</f>
        <v>76</v>
      </c>
      <c r="B79" t="str">
        <f>IFERROR(__xludf.DUMMYFUNCTION("""COMPUTED_VALUE"""),"Hit_By_Combo_V1")</f>
        <v>Hit_By_Combo_V1</v>
      </c>
      <c r="C79" s="17" t="str">
        <f>IFERROR(__xludf.DUMMYFUNCTION("""COMPUTED_VALUE"""),"-")</f>
        <v>-</v>
      </c>
      <c r="D79" s="18" t="str">
        <f>IFERROR(__xludf.DUMMYFUNCTION("""COMPUTED_VALUE"""),"Hit multiple times high and low and then recovers")</f>
        <v>Hit multiple times high and low and then recovers</v>
      </c>
      <c r="E79" s="15"/>
    </row>
    <row r="80" ht="15.0" customHeight="1">
      <c r="A80" s="16">
        <f>IFERROR(__xludf.DUMMYFUNCTION("""COMPUTED_VALUE"""),77.0)</f>
        <v>77</v>
      </c>
      <c r="B80" t="str">
        <f>IFERROR(__xludf.DUMMYFUNCTION("""COMPUTED_VALUE"""),"Hit_By_Combo_V1_Short")</f>
        <v>Hit_By_Combo_V1_Short</v>
      </c>
      <c r="C80" s="17" t="str">
        <f>IFERROR(__xludf.DUMMYFUNCTION("""COMPUTED_VALUE"""),"-")</f>
        <v>-</v>
      </c>
      <c r="D80" s="18" t="str">
        <f>IFERROR(__xludf.DUMMYFUNCTION("""COMPUTED_VALUE"""),"Hit multiple times high and low and then recovers quickly")</f>
        <v>Hit multiple times high and low and then recovers quickly</v>
      </c>
      <c r="E80" s="15"/>
    </row>
    <row r="81" ht="15.0" customHeight="1">
      <c r="A81" s="16">
        <f>IFERROR(__xludf.DUMMYFUNCTION("""COMPUTED_VALUE"""),78.0)</f>
        <v>78</v>
      </c>
      <c r="B81" t="str">
        <f>IFERROR(__xludf.DUMMYFUNCTION("""COMPUTED_VALUE"""),"Hit_By_Combo_V2")</f>
        <v>Hit_By_Combo_V2</v>
      </c>
      <c r="C81" s="17" t="str">
        <f>IFERROR(__xludf.DUMMYFUNCTION("""COMPUTED_VALUE"""),"-")</f>
        <v>-</v>
      </c>
      <c r="D81" s="18" t="str">
        <f>IFERROR(__xludf.DUMMYFUNCTION("""COMPUTED_VALUE"""),"Hit multiple times high and then recovers")</f>
        <v>Hit multiple times high and then recovers</v>
      </c>
      <c r="E81" s="15"/>
    </row>
    <row r="82" ht="15.0" customHeight="1">
      <c r="A82" s="16">
        <f>IFERROR(__xludf.DUMMYFUNCTION("""COMPUTED_VALUE"""),79.0)</f>
        <v>79</v>
      </c>
      <c r="B82" t="str">
        <f>IFERROR(__xludf.DUMMYFUNCTION("""COMPUTED_VALUE"""),"Hit_By_Combo_V2_Short")</f>
        <v>Hit_By_Combo_V2_Short</v>
      </c>
      <c r="C82" s="17" t="str">
        <f>IFERROR(__xludf.DUMMYFUNCTION("""COMPUTED_VALUE"""),"-")</f>
        <v>-</v>
      </c>
      <c r="D82" s="18" t="str">
        <f>IFERROR(__xludf.DUMMYFUNCTION("""COMPUTED_VALUE"""),"Hit multiple times high and then recovers quickly")</f>
        <v>Hit multiple times high and then recovers quickly</v>
      </c>
      <c r="E82" s="15"/>
    </row>
    <row r="83" ht="15.0" customHeight="1">
      <c r="A83" s="16">
        <f>IFERROR(__xludf.DUMMYFUNCTION("""COMPUTED_VALUE"""),80.0)</f>
        <v>80</v>
      </c>
      <c r="B83" t="str">
        <f>IFERROR(__xludf.DUMMYFUNCTION("""COMPUTED_VALUE"""),"Hit_By_Cross_V1")</f>
        <v>Hit_By_Cross_V1</v>
      </c>
      <c r="C83" s="17" t="str">
        <f>IFERROR(__xludf.DUMMYFUNCTION("""COMPUTED_VALUE"""),"-")</f>
        <v>-</v>
      </c>
      <c r="D83" s="18" t="str">
        <f>IFERROR(__xludf.DUMMYFUNCTION("""COMPUTED_VALUE"""),"Hit by cross to face and then recover")</f>
        <v>Hit by cross to face and then recover</v>
      </c>
      <c r="E83" s="15"/>
    </row>
    <row r="84" ht="15.0" customHeight="1">
      <c r="A84" s="16">
        <f>IFERROR(__xludf.DUMMYFUNCTION("""COMPUTED_VALUE"""),81.0)</f>
        <v>81</v>
      </c>
      <c r="B84" t="str">
        <f>IFERROR(__xludf.DUMMYFUNCTION("""COMPUTED_VALUE"""),"Hit_By_Cross_V1_Short")</f>
        <v>Hit_By_Cross_V1_Short</v>
      </c>
      <c r="C84" s="17" t="str">
        <f>IFERROR(__xludf.DUMMYFUNCTION("""COMPUTED_VALUE"""),"-")</f>
        <v>-</v>
      </c>
      <c r="D84" s="18" t="str">
        <f>IFERROR(__xludf.DUMMYFUNCTION("""COMPUTED_VALUE"""),"Hit by cross to face and then recovers quickly")</f>
        <v>Hit by cross to face and then recovers quickly</v>
      </c>
      <c r="E84" s="15"/>
    </row>
    <row r="85" ht="15.0" customHeight="1">
      <c r="A85" s="16">
        <f>IFERROR(__xludf.DUMMYFUNCTION("""COMPUTED_VALUE"""),82.0)</f>
        <v>82</v>
      </c>
      <c r="B85" t="str">
        <f>IFERROR(__xludf.DUMMYFUNCTION("""COMPUTED_VALUE"""),"Hit_By_Cross_V2")</f>
        <v>Hit_By_Cross_V2</v>
      </c>
      <c r="C85" s="17" t="str">
        <f>IFERROR(__xludf.DUMMYFUNCTION("""COMPUTED_VALUE"""),"-")</f>
        <v>-</v>
      </c>
      <c r="D85" s="18" t="str">
        <f>IFERROR(__xludf.DUMMYFUNCTION("""COMPUTED_VALUE"""),"Hit by cross to left side of face and then recover")</f>
        <v>Hit by cross to left side of face and then recover</v>
      </c>
      <c r="E85" s="15"/>
    </row>
    <row r="86" ht="15.0" customHeight="1">
      <c r="A86" s="16">
        <f>IFERROR(__xludf.DUMMYFUNCTION("""COMPUTED_VALUE"""),83.0)</f>
        <v>83</v>
      </c>
      <c r="B86" t="str">
        <f>IFERROR(__xludf.DUMMYFUNCTION("""COMPUTED_VALUE"""),"Hit_By_Cross_V2_Short")</f>
        <v>Hit_By_Cross_V2_Short</v>
      </c>
      <c r="C86" s="17" t="str">
        <f>IFERROR(__xludf.DUMMYFUNCTION("""COMPUTED_VALUE"""),"-")</f>
        <v>-</v>
      </c>
      <c r="D86" s="18" t="str">
        <f>IFERROR(__xludf.DUMMYFUNCTION("""COMPUTED_VALUE"""),"Hit by cross to left face and then recovers quickly")</f>
        <v>Hit by cross to left face and then recovers quickly</v>
      </c>
      <c r="E86" s="15"/>
    </row>
    <row r="87" ht="15.0" customHeight="1">
      <c r="A87" s="16">
        <f>IFERROR(__xludf.DUMMYFUNCTION("""COMPUTED_VALUE"""),84.0)</f>
        <v>84</v>
      </c>
      <c r="B87" t="str">
        <f>IFERROR(__xludf.DUMMYFUNCTION("""COMPUTED_VALUE"""),"Hit_By_Cross_V3")</f>
        <v>Hit_By_Cross_V3</v>
      </c>
      <c r="C87" s="17" t="str">
        <f>IFERROR(__xludf.DUMMYFUNCTION("""COMPUTED_VALUE"""),"-")</f>
        <v>-</v>
      </c>
      <c r="D87" s="18" t="str">
        <f>IFERROR(__xludf.DUMMYFUNCTION("""COMPUTED_VALUE"""),"Center face hit by strong cross, large stumble back, recover")</f>
        <v>Center face hit by strong cross, large stumble back, recover</v>
      </c>
      <c r="E87" s="15"/>
    </row>
    <row r="88" ht="15.0" customHeight="1">
      <c r="A88" s="16">
        <f>IFERROR(__xludf.DUMMYFUNCTION("""COMPUTED_VALUE"""),85.0)</f>
        <v>85</v>
      </c>
      <c r="B88" t="str">
        <f>IFERROR(__xludf.DUMMYFUNCTION("""COMPUTED_VALUE"""),"Hit_By_Cross_V4")</f>
        <v>Hit_By_Cross_V4</v>
      </c>
      <c r="C88" s="17" t="str">
        <f>IFERROR(__xludf.DUMMYFUNCTION("""COMPUTED_VALUE"""),"-")</f>
        <v>-</v>
      </c>
      <c r="D88" s="18" t="str">
        <f>IFERROR(__xludf.DUMMYFUNCTION("""COMPUTED_VALUE"""),"Center face hit by strong cross, small stumble back, recover")</f>
        <v>Center face hit by strong cross, small stumble back, recover</v>
      </c>
      <c r="E88" s="15"/>
    </row>
    <row r="89" ht="15.0" customHeight="1">
      <c r="A89" s="16">
        <f>IFERROR(__xludf.DUMMYFUNCTION("""COMPUTED_VALUE"""),86.0)</f>
        <v>86</v>
      </c>
      <c r="B89" t="str">
        <f>IFERROR(__xludf.DUMMYFUNCTION("""COMPUTED_VALUE"""),"Hit_By_GutShot_V1")</f>
        <v>Hit_By_GutShot_V1</v>
      </c>
      <c r="C89" s="17" t="str">
        <f>IFERROR(__xludf.DUMMYFUNCTION("""COMPUTED_VALUE"""),"-")</f>
        <v>-</v>
      </c>
      <c r="D89" s="18" t="str">
        <f>IFERROR(__xludf.DUMMYFUNCTION("""COMPUTED_VALUE"""),"Hit to left side of gut shrugs it off")</f>
        <v>Hit to left side of gut shrugs it off</v>
      </c>
      <c r="E89" s="15"/>
    </row>
    <row r="90" ht="15.0" customHeight="1">
      <c r="A90" s="16">
        <f>IFERROR(__xludf.DUMMYFUNCTION("""COMPUTED_VALUE"""),87.0)</f>
        <v>87</v>
      </c>
      <c r="B90" t="str">
        <f>IFERROR(__xludf.DUMMYFUNCTION("""COMPUTED_VALUE"""),"Hit_By_GutShot_V1_Short")</f>
        <v>Hit_By_GutShot_V1_Short</v>
      </c>
      <c r="C90" s="17" t="str">
        <f>IFERROR(__xludf.DUMMYFUNCTION("""COMPUTED_VALUE"""),"-")</f>
        <v>-</v>
      </c>
      <c r="D90" s="18" t="str">
        <f>IFERROR(__xludf.DUMMYFUNCTION("""COMPUTED_VALUE"""),"Quick flinch to hit to left side of gut")</f>
        <v>Quick flinch to hit to left side of gut</v>
      </c>
      <c r="E90" s="15"/>
    </row>
    <row r="91" ht="15.0" customHeight="1">
      <c r="A91" s="16">
        <f>IFERROR(__xludf.DUMMYFUNCTION("""COMPUTED_VALUE"""),88.0)</f>
        <v>88</v>
      </c>
      <c r="B91" t="str">
        <f>IFERROR(__xludf.DUMMYFUNCTION("""COMPUTED_VALUE"""),"Hit_By_GutShot_V2")</f>
        <v>Hit_By_GutShot_V2</v>
      </c>
      <c r="C91" s="17" t="str">
        <f>IFERROR(__xludf.DUMMYFUNCTION("""COMPUTED_VALUE"""),"-")</f>
        <v>-</v>
      </c>
      <c r="D91" s="18" t="str">
        <f>IFERROR(__xludf.DUMMYFUNCTION("""COMPUTED_VALUE"""),"Hit to center of gut, steps back winded, recovers")</f>
        <v>Hit to center of gut, steps back winded, recovers</v>
      </c>
      <c r="E91" s="15"/>
    </row>
    <row r="92" ht="15.0" customHeight="1">
      <c r="A92" s="16">
        <f>IFERROR(__xludf.DUMMYFUNCTION("""COMPUTED_VALUE"""),89.0)</f>
        <v>89</v>
      </c>
      <c r="B92" t="str">
        <f>IFERROR(__xludf.DUMMYFUNCTION("""COMPUTED_VALUE"""),"Hit_By_GutShot_V2_Short")</f>
        <v>Hit_By_GutShot_V2_Short</v>
      </c>
      <c r="C92" s="17" t="str">
        <f>IFERROR(__xludf.DUMMYFUNCTION("""COMPUTED_VALUE"""),"-")</f>
        <v>-</v>
      </c>
      <c r="D92" s="18" t="str">
        <f>IFERROR(__xludf.DUMMYFUNCTION("""COMPUTED_VALUE"""),"Hit back from punch to gut, less winded, recovers")</f>
        <v>Hit back from punch to gut, less winded, recovers</v>
      </c>
      <c r="E92" s="15"/>
    </row>
    <row r="93" ht="15.0" customHeight="1">
      <c r="A93" s="16">
        <f>IFERROR(__xludf.DUMMYFUNCTION("""COMPUTED_VALUE"""),90.0)</f>
        <v>90</v>
      </c>
      <c r="B93" t="str">
        <f>IFERROR(__xludf.DUMMYFUNCTION("""COMPUTED_VALUE"""),"Hit_By_GutShot_V3")</f>
        <v>Hit_By_GutShot_V3</v>
      </c>
      <c r="C93" s="17" t="str">
        <f>IFERROR(__xludf.DUMMYFUNCTION("""COMPUTED_VALUE"""),"-")</f>
        <v>-</v>
      </c>
      <c r="D93" s="18" t="str">
        <f>IFERROR(__xludf.DUMMYFUNCTION("""COMPUTED_VALUE"""),"Hit to right side of gut, stumbes then recovers")</f>
        <v>Hit to right side of gut, stumbes then recovers</v>
      </c>
      <c r="E93" s="15"/>
    </row>
    <row r="94" ht="15.0" customHeight="1">
      <c r="A94" s="16">
        <f>IFERROR(__xludf.DUMMYFUNCTION("""COMPUTED_VALUE"""),91.0)</f>
        <v>91</v>
      </c>
      <c r="B94" t="str">
        <f>IFERROR(__xludf.DUMMYFUNCTION("""COMPUTED_VALUE"""),"Hit_By_Hook_V1")</f>
        <v>Hit_By_Hook_V1</v>
      </c>
      <c r="C94" s="17" t="str">
        <f>IFERROR(__xludf.DUMMYFUNCTION("""COMPUTED_VALUE"""),"-")</f>
        <v>-</v>
      </c>
      <c r="D94" s="18" t="str">
        <f>IFERROR(__xludf.DUMMYFUNCTION("""COMPUTED_VALUE"""),"Hit by hook to right side of face")</f>
        <v>Hit by hook to right side of face</v>
      </c>
      <c r="E94" s="15"/>
    </row>
    <row r="95" ht="15.0" customHeight="1">
      <c r="A95" s="16">
        <f>IFERROR(__xludf.DUMMYFUNCTION("""COMPUTED_VALUE"""),92.0)</f>
        <v>92</v>
      </c>
      <c r="B95" t="str">
        <f>IFERROR(__xludf.DUMMYFUNCTION("""COMPUTED_VALUE"""),"Hit_By_Hook_V1_Short")</f>
        <v>Hit_By_Hook_V1_Short</v>
      </c>
      <c r="C95" s="17" t="str">
        <f>IFERROR(__xludf.DUMMYFUNCTION("""COMPUTED_VALUE"""),"-")</f>
        <v>-</v>
      </c>
      <c r="D95" s="18" t="str">
        <f>IFERROR(__xludf.DUMMYFUNCTION("""COMPUTED_VALUE"""),"Quick flinch from hit to right side of face from hook")</f>
        <v>Quick flinch from hit to right side of face from hook</v>
      </c>
      <c r="E95" s="15"/>
    </row>
    <row r="96" ht="15.0" customHeight="1">
      <c r="A96" s="16">
        <f>IFERROR(__xludf.DUMMYFUNCTION("""COMPUTED_VALUE"""),93.0)</f>
        <v>93</v>
      </c>
      <c r="B96" t="str">
        <f>IFERROR(__xludf.DUMMYFUNCTION("""COMPUTED_VALUE"""),"Hit_By_Hook_V2")</f>
        <v>Hit_By_Hook_V2</v>
      </c>
      <c r="C96" s="17" t="str">
        <f>IFERROR(__xludf.DUMMYFUNCTION("""COMPUTED_VALUE"""),"-")</f>
        <v>-</v>
      </c>
      <c r="D96" s="18" t="str">
        <f>IFERROR(__xludf.DUMMYFUNCTION("""COMPUTED_VALUE"""),"Side of head whipped from hook to left side")</f>
        <v>Side of head whipped from hook to left side</v>
      </c>
      <c r="E96" s="15"/>
    </row>
    <row r="97" ht="15.0" customHeight="1">
      <c r="A97" s="16">
        <f>IFERROR(__xludf.DUMMYFUNCTION("""COMPUTED_VALUE"""),94.0)</f>
        <v>94</v>
      </c>
      <c r="B97" t="str">
        <f>IFERROR(__xludf.DUMMYFUNCTION("""COMPUTED_VALUE"""),"Hit_By_Hook_V2_Short")</f>
        <v>Hit_By_Hook_V2_Short</v>
      </c>
      <c r="C97" s="17" t="str">
        <f>IFERROR(__xludf.DUMMYFUNCTION("""COMPUTED_VALUE"""),"-")</f>
        <v>-</v>
      </c>
      <c r="D97" s="18" t="str">
        <f>IFERROR(__xludf.DUMMYFUNCTION("""COMPUTED_VALUE"""),"Side of head has quick flinch from hook to left side")</f>
        <v>Side of head has quick flinch from hook to left side</v>
      </c>
      <c r="E97" s="15"/>
    </row>
    <row r="98" ht="15.0" customHeight="1">
      <c r="A98" s="16">
        <f>IFERROR(__xludf.DUMMYFUNCTION("""COMPUTED_VALUE"""),95.0)</f>
        <v>95</v>
      </c>
      <c r="B98" t="str">
        <f>IFERROR(__xludf.DUMMYFUNCTION("""COMPUTED_VALUE"""),"Hit_By_Hook_V3")</f>
        <v>Hit_By_Hook_V3</v>
      </c>
      <c r="C98" s="17" t="str">
        <f>IFERROR(__xludf.DUMMYFUNCTION("""COMPUTED_VALUE"""),"-")</f>
        <v>-</v>
      </c>
      <c r="D98" s="18" t="str">
        <f>IFERROR(__xludf.DUMMYFUNCTION("""COMPUTED_VALUE"""),"Hit by hook to left side of head, stumbles, recovers")</f>
        <v>Hit by hook to left side of head, stumbles, recovers</v>
      </c>
      <c r="E98" s="15"/>
    </row>
    <row r="99" ht="15.0" customHeight="1">
      <c r="A99" s="16">
        <f>IFERROR(__xludf.DUMMYFUNCTION("""COMPUTED_VALUE"""),96.0)</f>
        <v>96</v>
      </c>
      <c r="B99" t="str">
        <f>IFERROR(__xludf.DUMMYFUNCTION("""COMPUTED_VALUE"""),"Hit_By_Hook_V3_Short")</f>
        <v>Hit_By_Hook_V3_Short</v>
      </c>
      <c r="C99" s="17" t="str">
        <f>IFERROR(__xludf.DUMMYFUNCTION("""COMPUTED_VALUE"""),"-")</f>
        <v>-</v>
      </c>
      <c r="D99" s="18" t="str">
        <f>IFERROR(__xludf.DUMMYFUNCTION("""COMPUTED_VALUE"""),"Hit by hook to left side of head, quick step back, recover")</f>
        <v>Hit by hook to left side of head, quick step back, recover</v>
      </c>
      <c r="E99" s="15"/>
    </row>
    <row r="100" ht="15.0" customHeight="1">
      <c r="A100" s="16">
        <f>IFERROR(__xludf.DUMMYFUNCTION("""COMPUTED_VALUE"""),97.0)</f>
        <v>97</v>
      </c>
      <c r="B100" t="str">
        <f>IFERROR(__xludf.DUMMYFUNCTION("""COMPUTED_VALUE"""),"Hit_By_Hook_V5")</f>
        <v>Hit_By_Hook_V5</v>
      </c>
      <c r="C100" s="17" t="str">
        <f>IFERROR(__xludf.DUMMYFUNCTION("""COMPUTED_VALUE"""),"-")</f>
        <v>-</v>
      </c>
      <c r="D100" s="18" t="str">
        <f>IFERROR(__xludf.DUMMYFUNCTION("""COMPUTED_VALUE"""),"Hit by hook to right side of head makes him lean in, recover")</f>
        <v>Hit by hook to right side of head makes him lean in, recover</v>
      </c>
      <c r="E100" s="15"/>
    </row>
    <row r="101" ht="15.0" customHeight="1">
      <c r="A101" s="16">
        <f>IFERROR(__xludf.DUMMYFUNCTION("""COMPUTED_VALUE"""),98.0)</f>
        <v>98</v>
      </c>
      <c r="B101" t="str">
        <f>IFERROR(__xludf.DUMMYFUNCTION("""COMPUTED_VALUE"""),"Hit_By_Hook_V6")</f>
        <v>Hit_By_Hook_V6</v>
      </c>
      <c r="C101" s="17" t="str">
        <f>IFERROR(__xludf.DUMMYFUNCTION("""COMPUTED_VALUE"""),"-")</f>
        <v>-</v>
      </c>
      <c r="D101" s="18" t="str">
        <f>IFERROR(__xludf.DUMMYFUNCTION("""COMPUTED_VALUE"""),"Hit to head from the right whipping head left and down, recover")</f>
        <v>Hit to head from the right whipping head left and down, recover</v>
      </c>
      <c r="E101" s="15"/>
    </row>
    <row r="102" ht="15.0" customHeight="1">
      <c r="A102" s="16">
        <f>IFERROR(__xludf.DUMMYFUNCTION("""COMPUTED_VALUE"""),99.0)</f>
        <v>99</v>
      </c>
      <c r="B102" t="str">
        <f>IFERROR(__xludf.DUMMYFUNCTION("""COMPUTED_VALUE"""),"Hit_By_Hook_V6_Short")</f>
        <v>Hit_By_Hook_V6_Short</v>
      </c>
      <c r="C102" s="17" t="str">
        <f>IFERROR(__xludf.DUMMYFUNCTION("""COMPUTED_VALUE"""),"-")</f>
        <v>-</v>
      </c>
      <c r="D102" s="18" t="str">
        <f>IFERROR(__xludf.DUMMYFUNCTION("""COMPUTED_VALUE"""),"Hit to head right whipping head left and down, quick recovery")</f>
        <v>Hit to head right whipping head left and down, quick recovery</v>
      </c>
      <c r="E102" s="15"/>
    </row>
    <row r="103" ht="15.0" customHeight="1">
      <c r="A103" s="16">
        <f>IFERROR(__xludf.DUMMYFUNCTION("""COMPUTED_VALUE"""),100.0)</f>
        <v>100</v>
      </c>
      <c r="B103" t="str">
        <f>IFERROR(__xludf.DUMMYFUNCTION("""COMPUTED_VALUE"""),"Hit_By_Hook_V7")</f>
        <v>Hit_By_Hook_V7</v>
      </c>
      <c r="C103" s="17" t="str">
        <f>IFERROR(__xludf.DUMMYFUNCTION("""COMPUTED_VALUE"""),"-")</f>
        <v>-</v>
      </c>
      <c r="D103" s="18" t="str">
        <f>IFERROR(__xludf.DUMMYFUNCTION("""COMPUTED_VALUE"""),"Hit hard by hook right, fall and lean left, recover")</f>
        <v>Hit hard by hook right, fall and lean left, recover</v>
      </c>
      <c r="E103" s="15"/>
    </row>
    <row r="104" ht="15.0" customHeight="1">
      <c r="A104" s="16">
        <f>IFERROR(__xludf.DUMMYFUNCTION("""COMPUTED_VALUE"""),101.0)</f>
        <v>101</v>
      </c>
      <c r="B104" t="str">
        <f>IFERROR(__xludf.DUMMYFUNCTION("""COMPUTED_VALUE"""),"Hit_By_Hook_V7_Short")</f>
        <v>Hit_By_Hook_V7_Short</v>
      </c>
      <c r="C104" s="17" t="str">
        <f>IFERROR(__xludf.DUMMYFUNCTION("""COMPUTED_VALUE"""),"-")</f>
        <v>-</v>
      </c>
      <c r="D104" s="18" t="str">
        <f>IFERROR(__xludf.DUMMYFUNCTION("""COMPUTED_VALUE"""),"Hit hard by hook right, fall and lean left, quick recovery")</f>
        <v>Hit hard by hook right, fall and lean left, quick recovery</v>
      </c>
      <c r="E104" s="15"/>
    </row>
    <row r="105" ht="15.0" customHeight="1">
      <c r="A105" s="16">
        <f>IFERROR(__xludf.DUMMYFUNCTION("""COMPUTED_VALUE"""),102.0)</f>
        <v>102</v>
      </c>
      <c r="B105" t="str">
        <f>IFERROR(__xludf.DUMMYFUNCTION("""COMPUTED_VALUE"""),"Hit_By_Hook_V8")</f>
        <v>Hit_By_Hook_V8</v>
      </c>
      <c r="C105" s="17" t="str">
        <f>IFERROR(__xludf.DUMMYFUNCTION("""COMPUTED_VALUE"""),"-")</f>
        <v>-</v>
      </c>
      <c r="D105" s="18" t="str">
        <f>IFERROR(__xludf.DUMMYFUNCTION("""COMPUTED_VALUE"""),"Hit hard by hook to the right, slow lean and recovery left")</f>
        <v>Hit hard by hook to the right, slow lean and recovery left</v>
      </c>
      <c r="E105" s="15"/>
    </row>
    <row r="106" ht="15.0" customHeight="1">
      <c r="A106" s="16">
        <f>IFERROR(__xludf.DUMMYFUNCTION("""COMPUTED_VALUE"""),103.0)</f>
        <v>103</v>
      </c>
      <c r="B106" t="str">
        <f>IFERROR(__xludf.DUMMYFUNCTION("""COMPUTED_VALUE"""),"Hit_By_Hook_V8_Short")</f>
        <v>Hit_By_Hook_V8_Short</v>
      </c>
      <c r="C106" s="17" t="str">
        <f>IFERROR(__xludf.DUMMYFUNCTION("""COMPUTED_VALUE"""),"-")</f>
        <v>-</v>
      </c>
      <c r="D106" s="18" t="str">
        <f>IFERROR(__xludf.DUMMYFUNCTION("""COMPUTED_VALUE"""),"Hit hard by hook to the right, slow lean, quick recovery left")</f>
        <v>Hit hard by hook to the right, slow lean, quick recovery left</v>
      </c>
      <c r="E106" s="15"/>
    </row>
    <row r="107" ht="15.0" customHeight="1">
      <c r="A107" s="16">
        <f>IFERROR(__xludf.DUMMYFUNCTION("""COMPUTED_VALUE"""),104.0)</f>
        <v>104</v>
      </c>
      <c r="B107" t="str">
        <f>IFERROR(__xludf.DUMMYFUNCTION("""COMPUTED_VALUE"""),"Hit_By_Jab_V1")</f>
        <v>Hit_By_Jab_V1</v>
      </c>
      <c r="C107" s="17" t="str">
        <f>IFERROR(__xludf.DUMMYFUNCTION("""COMPUTED_VALUE"""),"-")</f>
        <v>-</v>
      </c>
      <c r="D107" s="18" t="str">
        <f>IFERROR(__xludf.DUMMYFUNCTION("""COMPUTED_VALUE"""),"Hit by straight jab, reset hand position")</f>
        <v>Hit by straight jab, reset hand position</v>
      </c>
      <c r="E107" s="15"/>
    </row>
    <row r="108" ht="15.0" customHeight="1">
      <c r="A108" s="16">
        <f>IFERROR(__xludf.DUMMYFUNCTION("""COMPUTED_VALUE"""),105.0)</f>
        <v>105</v>
      </c>
      <c r="B108" t="str">
        <f>IFERROR(__xludf.DUMMYFUNCTION("""COMPUTED_VALUE"""),"Hit_By_Jab_V1_Short")</f>
        <v>Hit_By_Jab_V1_Short</v>
      </c>
      <c r="C108" s="17" t="str">
        <f>IFERROR(__xludf.DUMMYFUNCTION("""COMPUTED_VALUE"""),"-")</f>
        <v>-</v>
      </c>
      <c r="D108" s="18" t="str">
        <f>IFERROR(__xludf.DUMMYFUNCTION("""COMPUTED_VALUE"""),"Hit by straight jab, reset hand position, quick recovery")</f>
        <v>Hit by straight jab, reset hand position, quick recovery</v>
      </c>
      <c r="E108" s="15"/>
    </row>
    <row r="109" ht="15.0" customHeight="1">
      <c r="A109" s="16">
        <f>IFERROR(__xludf.DUMMYFUNCTION("""COMPUTED_VALUE"""),106.0)</f>
        <v>106</v>
      </c>
      <c r="B109" t="str">
        <f>IFERROR(__xludf.DUMMYFUNCTION("""COMPUTED_VALUE"""),"Hit_By_Jab_V2")</f>
        <v>Hit_By_Jab_V2</v>
      </c>
      <c r="C109" s="17" t="str">
        <f>IFERROR(__xludf.DUMMYFUNCTION("""COMPUTED_VALUE"""),"-")</f>
        <v>-</v>
      </c>
      <c r="D109" s="18" t="str">
        <f>IFERROR(__xludf.DUMMYFUNCTION("""COMPUTED_VALUE"""),"Hit by straight jab to face ")</f>
        <v>Hit by straight jab to face </v>
      </c>
      <c r="E109" s="15"/>
    </row>
    <row r="110" ht="15.0" customHeight="1">
      <c r="A110" s="16">
        <f>IFERROR(__xludf.DUMMYFUNCTION("""COMPUTED_VALUE"""),107.0)</f>
        <v>107</v>
      </c>
      <c r="B110" t="str">
        <f>IFERROR(__xludf.DUMMYFUNCTION("""COMPUTED_VALUE"""),"Hit_By_Jab_V2_Short")</f>
        <v>Hit_By_Jab_V2_Short</v>
      </c>
      <c r="C110" s="17" t="str">
        <f>IFERROR(__xludf.DUMMYFUNCTION("""COMPUTED_VALUE"""),"-")</f>
        <v>-</v>
      </c>
      <c r="D110" s="18" t="str">
        <f>IFERROR(__xludf.DUMMYFUNCTION("""COMPUTED_VALUE"""),"Hit by straight jab to face, quick recovery")</f>
        <v>Hit by straight jab to face, quick recovery</v>
      </c>
      <c r="E110" s="15"/>
    </row>
    <row r="111" ht="15.0" customHeight="1">
      <c r="A111" s="12">
        <f>IFERROR(__xludf.DUMMYFUNCTION("""COMPUTED_VALUE"""),108.0)</f>
        <v>108</v>
      </c>
      <c r="B111" t="str">
        <f>IFERROR(__xludf.DUMMYFUNCTION("""COMPUTED_VALUE"""),"Hit_By_Jab_V3")</f>
        <v>Hit_By_Jab_V3</v>
      </c>
      <c r="C111" s="17" t="str">
        <f>IFERROR(__xludf.DUMMYFUNCTION("""COMPUTED_VALUE"""),"-")</f>
        <v>-</v>
      </c>
      <c r="D111" s="18" t="str">
        <f>IFERROR(__xludf.DUMMYFUNCTION("""COMPUTED_VALUE"""),"Small flinch from straight jab to body")</f>
        <v>Small flinch from straight jab to body</v>
      </c>
      <c r="E111" s="15"/>
    </row>
    <row r="112" ht="15.0" customHeight="1">
      <c r="A112" s="16">
        <f>IFERROR(__xludf.DUMMYFUNCTION("""COMPUTED_VALUE"""),109.0)</f>
        <v>109</v>
      </c>
      <c r="B112" t="str">
        <f>IFERROR(__xludf.DUMMYFUNCTION("""COMPUTED_VALUE"""),"Hit_By_Jab_V4")</f>
        <v>Hit_By_Jab_V4</v>
      </c>
      <c r="C112" s="17" t="str">
        <f>IFERROR(__xludf.DUMMYFUNCTION("""COMPUTED_VALUE"""),"-")</f>
        <v>-</v>
      </c>
      <c r="D112" s="18" t="str">
        <f>IFERROR(__xludf.DUMMYFUNCTION("""COMPUTED_VALUE"""),"Head whipped back from straight jab to face")</f>
        <v>Head whipped back from straight jab to face</v>
      </c>
      <c r="E112" s="15"/>
    </row>
    <row r="113" ht="15.0" customHeight="1">
      <c r="A113" s="16">
        <f>IFERROR(__xludf.DUMMYFUNCTION("""COMPUTED_VALUE"""),110.0)</f>
        <v>110</v>
      </c>
      <c r="B113" t="str">
        <f>IFERROR(__xludf.DUMMYFUNCTION("""COMPUTED_VALUE"""),"Hit_By_Jab_V4_Short")</f>
        <v>Hit_By_Jab_V4_Short</v>
      </c>
      <c r="C113" s="17" t="str">
        <f>IFERROR(__xludf.DUMMYFUNCTION("""COMPUTED_VALUE"""),"-")</f>
        <v>-</v>
      </c>
      <c r="D113" s="18" t="str">
        <f>IFERROR(__xludf.DUMMYFUNCTION("""COMPUTED_VALUE"""),"Head whipped back from straight jab to face, quick recovery")</f>
        <v>Head whipped back from straight jab to face, quick recovery</v>
      </c>
      <c r="E113" s="15"/>
    </row>
    <row r="114" ht="15.0" customHeight="1">
      <c r="A114" s="16">
        <f>IFERROR(__xludf.DUMMYFUNCTION("""COMPUTED_VALUE"""),111.0)</f>
        <v>111</v>
      </c>
      <c r="B114" t="str">
        <f>IFERROR(__xludf.DUMMYFUNCTION("""COMPUTED_VALUE"""),"Hit_By_Jab_V5")</f>
        <v>Hit_By_Jab_V5</v>
      </c>
      <c r="C114" s="17" t="str">
        <f>IFERROR(__xludf.DUMMYFUNCTION("""COMPUTED_VALUE"""),"-")</f>
        <v>-</v>
      </c>
      <c r="D114" s="18" t="str">
        <f>IFERROR(__xludf.DUMMYFUNCTION("""COMPUTED_VALUE"""),"Head jostled back and left from jab to face")</f>
        <v>Head jostled back and left from jab to face</v>
      </c>
      <c r="E114" s="15"/>
    </row>
    <row r="115" ht="15.0" customHeight="1">
      <c r="A115" s="16">
        <f>IFERROR(__xludf.DUMMYFUNCTION("""COMPUTED_VALUE"""),112.0)</f>
        <v>112</v>
      </c>
      <c r="B115" t="str">
        <f>IFERROR(__xludf.DUMMYFUNCTION("""COMPUTED_VALUE"""),"Hit_By_Jab_V5_Short")</f>
        <v>Hit_By_Jab_V5_Short</v>
      </c>
      <c r="C115" s="17" t="str">
        <f>IFERROR(__xludf.DUMMYFUNCTION("""COMPUTED_VALUE"""),"-")</f>
        <v>-</v>
      </c>
      <c r="D115" s="18" t="str">
        <f>IFERROR(__xludf.DUMMYFUNCTION("""COMPUTED_VALUE"""),"Head jostled back and left from jab to face, quick recovery")</f>
        <v>Head jostled back and left from jab to face, quick recovery</v>
      </c>
      <c r="E115" s="15"/>
    </row>
    <row r="116" ht="15.0" customHeight="1">
      <c r="A116" s="16">
        <f>IFERROR(__xludf.DUMMYFUNCTION("""COMPUTED_VALUE"""),113.0)</f>
        <v>113</v>
      </c>
      <c r="B116" t="str">
        <f>IFERROR(__xludf.DUMMYFUNCTION("""COMPUTED_VALUE"""),"Hit_By_Kidneyshot_V1")</f>
        <v>Hit_By_Kidneyshot_V1</v>
      </c>
      <c r="C116" s="17" t="str">
        <f>IFERROR(__xludf.DUMMYFUNCTION("""COMPUTED_VALUE"""),"-")</f>
        <v>-</v>
      </c>
      <c r="D116" s="18" t="str">
        <f>IFERROR(__xludf.DUMMYFUNCTION("""COMPUTED_VALUE"""),"Stumbles right from hard shot to left kidney, recover")</f>
        <v>Stumbles right from hard shot to left kidney, recover</v>
      </c>
      <c r="E116" s="15"/>
    </row>
    <row r="117" ht="15.0" customHeight="1">
      <c r="A117" s="16">
        <f>IFERROR(__xludf.DUMMYFUNCTION("""COMPUTED_VALUE"""),114.0)</f>
        <v>114</v>
      </c>
      <c r="B117" t="str">
        <f>IFERROR(__xludf.DUMMYFUNCTION("""COMPUTED_VALUE"""),"Hit_By_Uppercut_V1")</f>
        <v>Hit_By_Uppercut_V1</v>
      </c>
      <c r="C117" s="17" t="str">
        <f>IFERROR(__xludf.DUMMYFUNCTION("""COMPUTED_VALUE"""),"-")</f>
        <v>-</v>
      </c>
      <c r="D117" s="18" t="str">
        <f>IFERROR(__xludf.DUMMYFUNCTION("""COMPUTED_VALUE"""),"Sent reeling backwards from uppercut to face, recover")</f>
        <v>Sent reeling backwards from uppercut to face, recover</v>
      </c>
      <c r="E117" s="15"/>
    </row>
    <row r="118" ht="15.0" customHeight="1">
      <c r="A118" s="16">
        <f>IFERROR(__xludf.DUMMYFUNCTION("""COMPUTED_VALUE"""),115.0)</f>
        <v>115</v>
      </c>
      <c r="B118" s="13" t="str">
        <f>IFERROR(__xludf.DUMMYFUNCTION("""COMPUTED_VALUE"""),"DEFENSE, BLOCKS, MISC.")</f>
        <v>DEFENSE, BLOCKS, MISC.</v>
      </c>
      <c r="C118" s="14"/>
      <c r="D118" s="14"/>
      <c r="E118" s="15"/>
    </row>
    <row r="119" ht="15.0" customHeight="1">
      <c r="A119" s="16">
        <f>IFERROR(__xludf.DUMMYFUNCTION("""COMPUTED_VALUE"""),116.0)</f>
        <v>116</v>
      </c>
      <c r="B119" t="str">
        <f>IFERROR(__xludf.DUMMYFUNCTION("""COMPUTED_VALUE"""),"Left_Dodge")</f>
        <v>Left_Dodge</v>
      </c>
      <c r="C119" s="17" t="str">
        <f>IFERROR(__xludf.DUMMYFUNCTION("""COMPUTED_VALUE"""),"-")</f>
        <v>-</v>
      </c>
      <c r="D119" s="18" t="str">
        <f>IFERROR(__xludf.DUMMYFUNCTION("""COMPUTED_VALUE"""),"Steps out to the left to dodge, returns to center")</f>
        <v>Steps out to the left to dodge, returns to center</v>
      </c>
      <c r="E119" s="15"/>
    </row>
    <row r="120" ht="15.0" customHeight="1">
      <c r="A120" s="19">
        <f>IFERROR(__xludf.DUMMYFUNCTION("""COMPUTED_VALUE"""),117.0)</f>
        <v>117</v>
      </c>
      <c r="B120" t="str">
        <f>IFERROR(__xludf.DUMMYFUNCTION("""COMPUTED_VALUE"""),"Right_Dodge")</f>
        <v>Right_Dodge</v>
      </c>
      <c r="C120" s="17" t="str">
        <f>IFERROR(__xludf.DUMMYFUNCTION("""COMPUTED_VALUE"""),"-")</f>
        <v>-</v>
      </c>
      <c r="D120" s="18" t="str">
        <f>IFERROR(__xludf.DUMMYFUNCTION("""COMPUTED_VALUE"""),"Steps out to the right to dodge, returns to center")</f>
        <v>Steps out to the right to dodge, returns to center</v>
      </c>
      <c r="E120" s="15"/>
    </row>
    <row r="121" ht="15.0" customHeight="1">
      <c r="A121" s="16">
        <f>IFERROR(__xludf.DUMMYFUNCTION("""COMPUTED_VALUE"""),118.0)</f>
        <v>118</v>
      </c>
      <c r="B121" t="str">
        <f>IFERROR(__xludf.DUMMYFUNCTION("""COMPUTED_VALUE"""),"Back_Dodge")</f>
        <v>Back_Dodge</v>
      </c>
      <c r="C121" s="17" t="str">
        <f>IFERROR(__xludf.DUMMYFUNCTION("""COMPUTED_VALUE"""),"-")</f>
        <v>-</v>
      </c>
      <c r="D121" s="18" t="str">
        <f>IFERROR(__xludf.DUMMYFUNCTION("""COMPUTED_VALUE"""),"Steps Back to dodge, returns to center")</f>
        <v>Steps Back to dodge, returns to center</v>
      </c>
      <c r="E121" s="15"/>
    </row>
    <row r="122" ht="15.0" customHeight="1">
      <c r="A122" s="16">
        <f>IFERROR(__xludf.DUMMYFUNCTION("""COMPUTED_VALUE"""),119.0)</f>
        <v>119</v>
      </c>
      <c r="B122" t="str">
        <f>IFERROR(__xludf.DUMMYFUNCTION("""COMPUTED_VALUE"""),"Left_Weave")</f>
        <v>Left_Weave</v>
      </c>
      <c r="C122" s="17" t="str">
        <f>IFERROR(__xludf.DUMMYFUNCTION("""COMPUTED_VALUE"""),"-")</f>
        <v>-</v>
      </c>
      <c r="D122" s="18" t="str">
        <f>IFERROR(__xludf.DUMMYFUNCTION("""COMPUTED_VALUE"""),"Leans to the left to dodge punch")</f>
        <v>Leans to the left to dodge punch</v>
      </c>
      <c r="E122" s="15"/>
    </row>
    <row r="123" ht="15.0" customHeight="1">
      <c r="A123" s="16">
        <f>IFERROR(__xludf.DUMMYFUNCTION("""COMPUTED_VALUE"""),120.0)</f>
        <v>120</v>
      </c>
      <c r="B123" t="str">
        <f>IFERROR(__xludf.DUMMYFUNCTION("""COMPUTED_VALUE"""),"Right_Weave")</f>
        <v>Right_Weave</v>
      </c>
      <c r="C123" s="17" t="str">
        <f>IFERROR(__xludf.DUMMYFUNCTION("""COMPUTED_VALUE"""),"-")</f>
        <v>-</v>
      </c>
      <c r="D123" s="18" t="str">
        <f>IFERROR(__xludf.DUMMYFUNCTION("""COMPUTED_VALUE"""),"Leans to the right to dodge punch")</f>
        <v>Leans to the right to dodge punch</v>
      </c>
      <c r="E123" s="15"/>
    </row>
    <row r="124" ht="15.0" customHeight="1">
      <c r="A124" s="16">
        <f>IFERROR(__xludf.DUMMYFUNCTION("""COMPUTED_VALUE"""),121.0)</f>
        <v>121</v>
      </c>
      <c r="B124" t="str">
        <f>IFERROR(__xludf.DUMMYFUNCTION("""COMPUTED_VALUE"""),"Back_Weave")</f>
        <v>Back_Weave</v>
      </c>
      <c r="C124" s="17" t="str">
        <f>IFERROR(__xludf.DUMMYFUNCTION("""COMPUTED_VALUE"""),"-")</f>
        <v>-</v>
      </c>
      <c r="D124" s="18" t="str">
        <f>IFERROR(__xludf.DUMMYFUNCTION("""COMPUTED_VALUE"""),"Leans back to dodge punch")</f>
        <v>Leans back to dodge punch</v>
      </c>
      <c r="E124" s="15"/>
    </row>
    <row r="125" ht="15.0" customHeight="1">
      <c r="A125" s="16">
        <f>IFERROR(__xludf.DUMMYFUNCTION("""COMPUTED_VALUE"""),122.0)</f>
        <v>122</v>
      </c>
      <c r="B125" t="str">
        <f>IFERROR(__xludf.DUMMYFUNCTION("""COMPUTED_VALUE"""),"Combo_LH_RU")</f>
        <v>Combo_LH_RU</v>
      </c>
      <c r="C125" s="17" t="str">
        <f>IFERROR(__xludf.DUMMYFUNCTION("""COMPUTED_VALUE"""),"-")</f>
        <v>-</v>
      </c>
      <c r="D125" s="18" t="str">
        <f>IFERROR(__xludf.DUMMYFUNCTION("""COMPUTED_VALUE"""),"Throws left hook, right uppercut")</f>
        <v>Throws left hook, right uppercut</v>
      </c>
      <c r="E125" s="15"/>
    </row>
    <row r="126" ht="15.0" customHeight="1">
      <c r="A126" s="16">
        <f>IFERROR(__xludf.DUMMYFUNCTION("""COMPUTED_VALUE"""),123.0)</f>
        <v>123</v>
      </c>
      <c r="B126" t="str">
        <f>IFERROR(__xludf.DUMMYFUNCTION("""COMPUTED_VALUE"""),"Combo_Punch")</f>
        <v>Combo_Punch</v>
      </c>
      <c r="C126" s="17" t="str">
        <f>IFERROR(__xludf.DUMMYFUNCTION("""COMPUTED_VALUE"""),"-")</f>
        <v>-</v>
      </c>
      <c r="D126" s="18" t="str">
        <f>IFERROR(__xludf.DUMMYFUNCTION("""COMPUTED_VALUE"""),"Throws left jab, right cross, left hook")</f>
        <v>Throws left jab, right cross, left hook</v>
      </c>
      <c r="E126" s="15"/>
    </row>
    <row r="127" ht="15.0" customHeight="1">
      <c r="A127" s="16">
        <f>IFERROR(__xludf.DUMMYFUNCTION("""COMPUTED_VALUE"""),124.0)</f>
        <v>124</v>
      </c>
      <c r="B127" t="str">
        <f>IFERROR(__xludf.DUMMYFUNCTION("""COMPUTED_VALUE"""),"Body_Shot")</f>
        <v>Body_Shot</v>
      </c>
      <c r="C127" s="17" t="str">
        <f>IFERROR(__xludf.DUMMYFUNCTION("""COMPUTED_VALUE"""),"-")</f>
        <v>-</v>
      </c>
      <c r="D127" s="18" t="str">
        <f>IFERROR(__xludf.DUMMYFUNCTION("""COMPUTED_VALUE"""),"Drops low to throw a strong right cross to the lower body")</f>
        <v>Drops low to throw a strong right cross to the lower body</v>
      </c>
      <c r="E127" s="15"/>
    </row>
    <row r="128" ht="15.0" customHeight="1">
      <c r="A128" s="16">
        <f>IFERROR(__xludf.DUMMYFUNCTION("""COMPUTED_VALUE"""),125.0)</f>
        <v>125</v>
      </c>
      <c r="B128" t="str">
        <f>IFERROR(__xludf.DUMMYFUNCTION("""COMPUTED_VALUE"""),"Quick_Weave")</f>
        <v>Quick_Weave</v>
      </c>
      <c r="C128" s="17" t="str">
        <f>IFERROR(__xludf.DUMMYFUNCTION("""COMPUTED_VALUE"""),"-")</f>
        <v>-</v>
      </c>
      <c r="D128" s="18" t="str">
        <f>IFERROR(__xludf.DUMMYFUNCTION("""COMPUTED_VALUE"""),"Pulls back and to the right to dodge punch")</f>
        <v>Pulls back and to the right to dodge punch</v>
      </c>
      <c r="E128" s="15"/>
    </row>
    <row r="129" ht="15.0" customHeight="1">
      <c r="A129" s="16">
        <f>IFERROR(__xludf.DUMMYFUNCTION("""COMPUTED_VALUE"""),126.0)</f>
        <v>126</v>
      </c>
      <c r="B129" t="str">
        <f>IFERROR(__xludf.DUMMYFUNCTION("""COMPUTED_VALUE"""),"Block_Loop")</f>
        <v>Block_Loop</v>
      </c>
      <c r="C129" s="17" t="str">
        <f>IFERROR(__xludf.DUMMYFUNCTION("""COMPUTED_VALUE"""),"-")</f>
        <v>-</v>
      </c>
      <c r="D129" s="18" t="str">
        <f>IFERROR(__xludf.DUMMYFUNCTION("""COMPUTED_VALUE"""),"Idle Loop of holding arms to cover face")</f>
        <v>Idle Loop of holding arms to cover face</v>
      </c>
      <c r="E129" s="15"/>
    </row>
    <row r="130" ht="15.0" customHeight="1">
      <c r="A130" s="16">
        <f>IFERROR(__xludf.DUMMYFUNCTION("""COMPUTED_VALUE"""),127.0)</f>
        <v>127</v>
      </c>
      <c r="B130" t="str">
        <f>IFERROR(__xludf.DUMMYFUNCTION("""COMPUTED_VALUE"""),"Block_To_Idle")</f>
        <v>Block_To_Idle</v>
      </c>
      <c r="C130" s="17" t="str">
        <f>IFERROR(__xludf.DUMMYFUNCTION("""COMPUTED_VALUE"""),"-")</f>
        <v>-</v>
      </c>
      <c r="D130" s="18" t="str">
        <f>IFERROR(__xludf.DUMMYFUNCTION("""COMPUTED_VALUE"""),"Transition from blocking pose to fight stance")</f>
        <v>Transition from blocking pose to fight stance</v>
      </c>
      <c r="E130" s="15"/>
    </row>
    <row r="131" ht="15.0" customHeight="1">
      <c r="A131" s="16">
        <f>IFERROR(__xludf.DUMMYFUNCTION("""COMPUTED_VALUE"""),128.0)</f>
        <v>128</v>
      </c>
      <c r="B131" t="str">
        <f>IFERROR(__xludf.DUMMYFUNCTION("""COMPUTED_VALUE"""),"Idle_To_Block")</f>
        <v>Idle_To_Block</v>
      </c>
      <c r="C131" s="17" t="str">
        <f>IFERROR(__xludf.DUMMYFUNCTION("""COMPUTED_VALUE"""),"-")</f>
        <v>-</v>
      </c>
      <c r="D131" s="18" t="str">
        <f>IFERROR(__xludf.DUMMYFUNCTION("""COMPUTED_VALUE"""),"Fight Stance Transition to arms covering face")</f>
        <v>Fight Stance Transition to arms covering face</v>
      </c>
      <c r="E131" s="15"/>
    </row>
    <row r="132" ht="15.0" customHeight="1">
      <c r="A132" s="16">
        <f>IFERROR(__xludf.DUMMYFUNCTION("""COMPUTED_VALUE"""),129.0)</f>
        <v>129</v>
      </c>
      <c r="B132" t="str">
        <f>IFERROR(__xludf.DUMMYFUNCTION("""COMPUTED_VALUE"""),"Block_Straight_Hit_V1")</f>
        <v>Block_Straight_Hit_V1</v>
      </c>
      <c r="C132" s="17" t="str">
        <f>IFERROR(__xludf.DUMMYFUNCTION("""COMPUTED_VALUE"""),"-")</f>
        <v>-</v>
      </c>
      <c r="D132" s="18" t="str">
        <f>IFERROR(__xludf.DUMMYFUNCTION("""COMPUTED_VALUE"""),"Blocks hit while covered with a slight step back, recovers")</f>
        <v>Blocks hit while covered with a slight step back, recovers</v>
      </c>
      <c r="E132" s="15"/>
    </row>
    <row r="133" ht="15.0" customHeight="1">
      <c r="A133" s="16">
        <f>IFERROR(__xludf.DUMMYFUNCTION("""COMPUTED_VALUE"""),130.0)</f>
        <v>130</v>
      </c>
      <c r="B133" t="str">
        <f>IFERROR(__xludf.DUMMYFUNCTION("""COMPUTED_VALUE"""),"Block_Straight_Hit_V2")</f>
        <v>Block_Straight_Hit_V2</v>
      </c>
      <c r="C133" s="17" t="str">
        <f>IFERROR(__xludf.DUMMYFUNCTION("""COMPUTED_VALUE"""),"-")</f>
        <v>-</v>
      </c>
      <c r="D133" s="18" t="str">
        <f>IFERROR(__xludf.DUMMYFUNCTION("""COMPUTED_VALUE"""),"Blocks hits while covered up, mostly absorbs hit")</f>
        <v>Blocks hits while covered up, mostly absorbs hit</v>
      </c>
      <c r="E133" s="15"/>
    </row>
    <row r="134" ht="15.0" customHeight="1">
      <c r="A134" s="16">
        <f>IFERROR(__xludf.DUMMYFUNCTION("""COMPUTED_VALUE"""),131.0)</f>
        <v>131</v>
      </c>
      <c r="B134" t="str">
        <f>IFERROR(__xludf.DUMMYFUNCTION("""COMPUTED_VALUE"""),"Block_Straight_Hit_V3")</f>
        <v>Block_Straight_Hit_V3</v>
      </c>
      <c r="C134" s="17" t="str">
        <f>IFERROR(__xludf.DUMMYFUNCTION("""COMPUTED_VALUE"""),"-")</f>
        <v>-</v>
      </c>
      <c r="D134" s="18" t="str">
        <f>IFERROR(__xludf.DUMMYFUNCTION("""COMPUTED_VALUE"""),"Blocks hard hit while covered up, stumbles back,recovers")</f>
        <v>Blocks hard hit while covered up, stumbles back,recovers</v>
      </c>
      <c r="E134" s="15"/>
    </row>
    <row r="135" ht="15.0" customHeight="1">
      <c r="A135" s="16">
        <f>IFERROR(__xludf.DUMMYFUNCTION("""COMPUTED_VALUE"""),132.0)</f>
        <v>132</v>
      </c>
      <c r="B135" t="str">
        <f>IFERROR(__xludf.DUMMYFUNCTION("""COMPUTED_VALUE"""),"Kidney_Shot")</f>
        <v>Kidney_Shot</v>
      </c>
      <c r="C135" s="17" t="str">
        <f>IFERROR(__xludf.DUMMYFUNCTION("""COMPUTED_VALUE"""),"-")</f>
        <v>-</v>
      </c>
      <c r="D135" s="18" t="str">
        <f>IFERROR(__xludf.DUMMYFUNCTION("""COMPUTED_VALUE"""),"Steps in low to the left and throws strong hook to the kidney ")</f>
        <v>Steps in low to the left and throws strong hook to the kidney </v>
      </c>
      <c r="E135" s="15"/>
    </row>
    <row r="136" ht="15.0" customHeight="1">
      <c r="A136" s="16">
        <f>IFERROR(__xludf.DUMMYFUNCTION("""COMPUTED_VALUE"""),133.0)</f>
        <v>133</v>
      </c>
      <c r="B136" s="13" t="str">
        <f>IFERROR(__xludf.DUMMYFUNCTION("""COMPUTED_VALUE"""),"KNOCKOUTS, CELEBRATIONS")</f>
        <v>KNOCKOUTS, CELEBRATIONS</v>
      </c>
      <c r="C136" s="14"/>
      <c r="D136" s="14"/>
      <c r="E136" s="15"/>
    </row>
    <row r="137" ht="15.0" customHeight="1">
      <c r="A137" s="16">
        <f>IFERROR(__xludf.DUMMYFUNCTION("""COMPUTED_VALUE"""),134.0)</f>
        <v>134</v>
      </c>
      <c r="B137" t="str">
        <f>IFERROR(__xludf.DUMMYFUNCTION("""COMPUTED_VALUE"""),"Knockout_Countdown_V1")</f>
        <v>Knockout_Countdown_V1</v>
      </c>
      <c r="C137" s="17" t="str">
        <f>IFERROR(__xludf.DUMMYFUNCTION("""COMPUTED_VALUE"""),"-")</f>
        <v>-</v>
      </c>
      <c r="D137" s="18" t="str">
        <f>IFERROR(__xludf.DUMMYFUNCTION("""COMPUTED_VALUE"""),"Gets knocked out cold then struggles to get back up")</f>
        <v>Gets knocked out cold then struggles to get back up</v>
      </c>
      <c r="E137" s="15"/>
    </row>
    <row r="138" ht="15.0" customHeight="1">
      <c r="A138" s="16">
        <f>IFERROR(__xludf.DUMMYFUNCTION("""COMPUTED_VALUE"""),135.0)</f>
        <v>135</v>
      </c>
      <c r="B138" t="str">
        <f>IFERROR(__xludf.DUMMYFUNCTION("""COMPUTED_VALUE"""),"Knockout_Countdown_V2")</f>
        <v>Knockout_Countdown_V2</v>
      </c>
      <c r="C138" s="17" t="str">
        <f>IFERROR(__xludf.DUMMYFUNCTION("""COMPUTED_VALUE"""),"-")</f>
        <v>-</v>
      </c>
      <c r="D138" s="18" t="str">
        <f>IFERROR(__xludf.DUMMYFUNCTION("""COMPUTED_VALUE"""),"Gets knocked out cold then struggles to get back up")</f>
        <v>Gets knocked out cold then struggles to get back up</v>
      </c>
      <c r="E138" s="15"/>
    </row>
    <row r="139" ht="15.0" customHeight="1">
      <c r="A139" s="16">
        <f>IFERROR(__xludf.DUMMYFUNCTION("""COMPUTED_VALUE"""),136.0)</f>
        <v>136</v>
      </c>
      <c r="B139" t="str">
        <f>IFERROR(__xludf.DUMMYFUNCTION("""COMPUTED_VALUE"""),"Knockout_Countdown_V3")</f>
        <v>Knockout_Countdown_V3</v>
      </c>
      <c r="C139" s="17" t="str">
        <f>IFERROR(__xludf.DUMMYFUNCTION("""COMPUTED_VALUE"""),"-")</f>
        <v>-</v>
      </c>
      <c r="D139" s="18" t="str">
        <f>IFERROR(__xludf.DUMMYFUNCTION("""COMPUTED_VALUE"""),"Gets knocked out cold then struggles to get back up")</f>
        <v>Gets knocked out cold then struggles to get back up</v>
      </c>
      <c r="E139" s="15"/>
    </row>
    <row r="140" ht="15.0" customHeight="1">
      <c r="A140" s="16">
        <f>IFERROR(__xludf.DUMMYFUNCTION("""COMPUTED_VALUE"""),137.0)</f>
        <v>137</v>
      </c>
      <c r="B140" t="str">
        <f>IFERROR(__xludf.DUMMYFUNCTION("""COMPUTED_VALUE"""),"Knockout_V1")</f>
        <v>Knockout_V1</v>
      </c>
      <c r="C140" s="17" t="str">
        <f>IFERROR(__xludf.DUMMYFUNCTION("""COMPUTED_VALUE"""),"-")</f>
        <v>-</v>
      </c>
      <c r="D140" s="18" t="str">
        <f>IFERROR(__xludf.DUMMYFUNCTION("""COMPUTED_VALUE"""),"Hit to left side of head and knocked out cold, falling right")</f>
        <v>Hit to left side of head and knocked out cold, falling right</v>
      </c>
      <c r="E140" s="15"/>
    </row>
    <row r="141" ht="15.0" customHeight="1">
      <c r="A141" s="16">
        <f>IFERROR(__xludf.DUMMYFUNCTION("""COMPUTED_VALUE"""),138.0)</f>
        <v>138</v>
      </c>
      <c r="B141" t="str">
        <f>IFERROR(__xludf.DUMMYFUNCTION("""COMPUTED_VALUE"""),"Knockout_V2")</f>
        <v>Knockout_V2</v>
      </c>
      <c r="C141" s="17" t="str">
        <f>IFERROR(__xludf.DUMMYFUNCTION("""COMPUTED_VALUE"""),"-")</f>
        <v>-</v>
      </c>
      <c r="D141" s="18" t="str">
        <f>IFERROR(__xludf.DUMMYFUNCTION("""COMPUTED_VALUE"""),"Hit to left side of head and knocked out cold, fallingt right")</f>
        <v>Hit to left side of head and knocked out cold, fallingt right</v>
      </c>
      <c r="E141" s="15"/>
    </row>
    <row r="142" ht="15.0" customHeight="1">
      <c r="A142" s="16">
        <f>IFERROR(__xludf.DUMMYFUNCTION("""COMPUTED_VALUE"""),139.0)</f>
        <v>139</v>
      </c>
      <c r="B142" t="str">
        <f>IFERROR(__xludf.DUMMYFUNCTION("""COMPUTED_VALUE"""),"Knockout_V3")</f>
        <v>Knockout_V3</v>
      </c>
      <c r="C142" s="17" t="str">
        <f>IFERROR(__xludf.DUMMYFUNCTION("""COMPUTED_VALUE"""),"-")</f>
        <v>-</v>
      </c>
      <c r="D142" s="18" t="str">
        <f>IFERROR(__xludf.DUMMYFUNCTION("""COMPUTED_VALUE"""),"Hit to right side of head and knocked out cold, falling left")</f>
        <v>Hit to right side of head and knocked out cold, falling left</v>
      </c>
      <c r="E142" s="15"/>
    </row>
    <row r="143" ht="15.0" customHeight="1">
      <c r="A143" s="19">
        <f>IFERROR(__xludf.DUMMYFUNCTION("""COMPUTED_VALUE"""),140.0)</f>
        <v>140</v>
      </c>
      <c r="B143" t="str">
        <f>IFERROR(__xludf.DUMMYFUNCTION("""COMPUTED_VALUE"""),"Knockout_V4")</f>
        <v>Knockout_V4</v>
      </c>
      <c r="C143" s="17" t="str">
        <f>IFERROR(__xludf.DUMMYFUNCTION("""COMPUTED_VALUE"""),"-")</f>
        <v>-</v>
      </c>
      <c r="D143" s="18" t="str">
        <f>IFERROR(__xludf.DUMMYFUNCTION("""COMPUTED_VALUE"""),"Hit with uppercut and knocked out cold, falling backwards")</f>
        <v>Hit with uppercut and knocked out cold, falling backwards</v>
      </c>
      <c r="E143" s="15"/>
    </row>
    <row r="144" ht="15.0" customHeight="1">
      <c r="A144" s="19">
        <f>IFERROR(__xludf.DUMMYFUNCTION("""COMPUTED_VALUE"""),141.0)</f>
        <v>141</v>
      </c>
      <c r="B144" t="str">
        <f>IFERROR(__xludf.DUMMYFUNCTION("""COMPUTED_VALUE"""),"Knockout_V5")</f>
        <v>Knockout_V5</v>
      </c>
      <c r="C144" s="17" t="str">
        <f>IFERROR(__xludf.DUMMYFUNCTION("""COMPUTED_VALUE"""),"-")</f>
        <v>-</v>
      </c>
      <c r="D144" s="18" t="str">
        <f>IFERROR(__xludf.DUMMYFUNCTION("""COMPUTED_VALUE"""),"Hit to the gut then face and falling backwards, knocked out")</f>
        <v>Hit to the gut then face and falling backwards, knocked out</v>
      </c>
      <c r="E144" s="15"/>
    </row>
    <row r="145" ht="15.0" customHeight="1">
      <c r="A145" s="16">
        <f>IFERROR(__xludf.DUMMYFUNCTION("""COMPUTED_VALUE"""),142.0)</f>
        <v>142</v>
      </c>
      <c r="B145" t="str">
        <f>IFERROR(__xludf.DUMMYFUNCTION("""COMPUTED_VALUE"""),"Knockout_V6")</f>
        <v>Knockout_V6</v>
      </c>
      <c r="C145" s="17" t="str">
        <f>IFERROR(__xludf.DUMMYFUNCTION("""COMPUTED_VALUE"""),"-")</f>
        <v>-</v>
      </c>
      <c r="D145" s="18" t="str">
        <f>IFERROR(__xludf.DUMMYFUNCTION("""COMPUTED_VALUE"""),"Hit to gut falls to knee in pain, slowly gets back up")</f>
        <v>Hit to gut falls to knee in pain, slowly gets back up</v>
      </c>
      <c r="E145" s="15"/>
    </row>
    <row r="146" ht="15.0" customHeight="1">
      <c r="A146" s="16">
        <f>IFERROR(__xludf.DUMMYFUNCTION("""COMPUTED_VALUE"""),143.0)</f>
        <v>143</v>
      </c>
      <c r="B146" t="str">
        <f>IFERROR(__xludf.DUMMYFUNCTION("""COMPUTED_VALUE"""),"Knockout_V7")</f>
        <v>Knockout_V7</v>
      </c>
      <c r="C146" s="17" t="str">
        <f>IFERROR(__xludf.DUMMYFUNCTION("""COMPUTED_VALUE"""),"-")</f>
        <v>-</v>
      </c>
      <c r="D146" s="18" t="str">
        <f>IFERROR(__xludf.DUMMYFUNCTION("""COMPUTED_VALUE"""),"Hit in the face ringing his bell. Wobbly stumbles right, falls")</f>
        <v>Hit in the face ringing his bell. Wobbly stumbles right, falls</v>
      </c>
      <c r="E146" s="15"/>
    </row>
    <row r="147" ht="15.0" customHeight="1">
      <c r="A147" s="16">
        <f>IFERROR(__xludf.DUMMYFUNCTION("""COMPUTED_VALUE"""),144.0)</f>
        <v>144</v>
      </c>
      <c r="B147" s="20" t="str">
        <f>IFERROR(__xludf.DUMMYFUNCTION("""COMPUTED_VALUE"""),"Knockout_V8")</f>
        <v>Knockout_V8</v>
      </c>
      <c r="C147" s="17" t="str">
        <f>IFERROR(__xludf.DUMMYFUNCTION("""COMPUTED_VALUE"""),"-")</f>
        <v>-</v>
      </c>
      <c r="D147" s="21" t="str">
        <f>IFERROR(__xludf.DUMMYFUNCTION("""COMPUTED_VALUE"""),"Hook to right side of the face, falls left onto back, knocked out")</f>
        <v>Hook to right side of the face, falls left onto back, knocked out</v>
      </c>
      <c r="E147" s="15"/>
    </row>
    <row r="148" ht="15.0" customHeight="1">
      <c r="A148" s="16">
        <f>IFERROR(__xludf.DUMMYFUNCTION("""COMPUTED_VALUE"""),145.0)</f>
        <v>145</v>
      </c>
      <c r="B148" s="22" t="str">
        <f>IFERROR(__xludf.DUMMYFUNCTION("""COMPUTED_VALUE"""),"Win_V1")</f>
        <v>Win_V1</v>
      </c>
      <c r="C148" s="17" t="str">
        <f>IFERROR(__xludf.DUMMYFUNCTION("""COMPUTED_VALUE"""),"-")</f>
        <v>-</v>
      </c>
      <c r="D148" s="18" t="str">
        <f>IFERROR(__xludf.DUMMYFUNCTION("""COMPUTED_VALUE"""),"Walking around with hands held high, returns to center")</f>
        <v>Walking around with hands held high, returns to center</v>
      </c>
      <c r="E148" s="15"/>
    </row>
    <row r="149" ht="15.0" customHeight="1">
      <c r="A149" s="16">
        <f>IFERROR(__xludf.DUMMYFUNCTION("""COMPUTED_VALUE"""),146.0)</f>
        <v>146</v>
      </c>
      <c r="B149" t="str">
        <f>IFERROR(__xludf.DUMMYFUNCTION("""COMPUTED_VALUE"""),"Win_V2")</f>
        <v>Win_V2</v>
      </c>
      <c r="C149" s="17" t="str">
        <f>IFERROR(__xludf.DUMMYFUNCTION("""COMPUTED_VALUE"""),"-")</f>
        <v>-</v>
      </c>
      <c r="D149" s="18" t="str">
        <f>IFERROR(__xludf.DUMMYFUNCTION("""COMPUTED_VALUE"""),"Jumping around with hands held over head ")</f>
        <v>Jumping around with hands held over head </v>
      </c>
      <c r="E149" s="15"/>
    </row>
    <row r="150" ht="15.0" customHeight="1">
      <c r="A150" s="16">
        <f>IFERROR(__xludf.DUMMYFUNCTION("""COMPUTED_VALUE"""),147.0)</f>
        <v>147</v>
      </c>
      <c r="B150" t="str">
        <f>IFERROR(__xludf.DUMMYFUNCTION("""COMPUTED_VALUE"""),"Win_V3")</f>
        <v>Win_V3</v>
      </c>
      <c r="C150" s="17" t="str">
        <f>IFERROR(__xludf.DUMMYFUNCTION("""COMPUTED_VALUE"""),"-")</f>
        <v>-</v>
      </c>
      <c r="D150" s="18" t="str">
        <f>IFERROR(__xludf.DUMMYFUNCTION("""COMPUTED_VALUE"""),"Jumping around fist pumping over head")</f>
        <v>Jumping around fist pumping over head</v>
      </c>
      <c r="E150" s="15"/>
    </row>
    <row r="151" ht="15.0" customHeight="1">
      <c r="A151" s="16">
        <f>IFERROR(__xludf.DUMMYFUNCTION("""COMPUTED_VALUE"""),148.0)</f>
        <v>148</v>
      </c>
      <c r="B151" t="str">
        <f>IFERROR(__xludf.DUMMYFUNCTION("""COMPUTED_VALUE"""),"Win_V4")</f>
        <v>Win_V4</v>
      </c>
      <c r="C151" s="17" t="str">
        <f>IFERROR(__xludf.DUMMYFUNCTION("""COMPUTED_VALUE"""),"-")</f>
        <v>-</v>
      </c>
      <c r="D151" s="18" t="str">
        <f>IFERROR(__xludf.DUMMYFUNCTION("""COMPUTED_VALUE"""),"Air pummeling with his fist then hands over head, returns center")</f>
        <v>Air pummeling with his fist then hands over head, returns center</v>
      </c>
      <c r="E151" s="15"/>
    </row>
    <row r="152" ht="15.0" customHeight="1">
      <c r="A152" s="16">
        <f>IFERROR(__xludf.DUMMYFUNCTION("""COMPUTED_VALUE"""),149.0)</f>
        <v>149</v>
      </c>
      <c r="B152" t="str">
        <f>IFERROR(__xludf.DUMMYFUNCTION("""COMPUTED_VALUE"""),"Win_V5")</f>
        <v>Win_V5</v>
      </c>
      <c r="C152" s="17" t="str">
        <f>IFERROR(__xludf.DUMMYFUNCTION("""COMPUTED_VALUE"""),"-")</f>
        <v>-</v>
      </c>
      <c r="D152" s="18" t="str">
        <f>IFERROR(__xludf.DUMMYFUNCTION("""COMPUTED_VALUE"""),"Points to chest, holds arms out playing to crowd, returns center")</f>
        <v>Points to chest, holds arms out playing to crowd, returns center</v>
      </c>
      <c r="E152" s="15"/>
    </row>
    <row r="153" ht="15.0" customHeight="1">
      <c r="A153" s="16">
        <f>IFERROR(__xludf.DUMMYFUNCTION("""COMPUTED_VALUE"""),150.0)</f>
        <v>150</v>
      </c>
      <c r="B153" t="str">
        <f>IFERROR(__xludf.DUMMYFUNCTION("""COMPUTED_VALUE"""),"Win_V6")</f>
        <v>Win_V6</v>
      </c>
      <c r="C153" s="17" t="str">
        <f>IFERROR(__xludf.DUMMYFUNCTION("""COMPUTED_VALUE"""),"-")</f>
        <v>-</v>
      </c>
      <c r="D153" s="18" t="str">
        <f>IFERROR(__xludf.DUMMYFUNCTION("""COMPUTED_VALUE"""),"Relaxed saunter, gestures to stay down, returns to center")</f>
        <v>Relaxed saunter, gestures to stay down, returns to center</v>
      </c>
      <c r="E153" s="15"/>
    </row>
    <row r="154" ht="15.0" customHeight="1">
      <c r="A154" s="16">
        <f>IFERROR(__xludf.DUMMYFUNCTION("""COMPUTED_VALUE"""),151.0)</f>
        <v>151</v>
      </c>
      <c r="B154" s="23" t="str">
        <f>IFERROR(__xludf.DUMMYFUNCTION("""COMPUTED_VALUE"""),"Win_V7")</f>
        <v>Win_V7</v>
      </c>
      <c r="C154" s="17" t="str">
        <f>IFERROR(__xludf.DUMMYFUNCTION("""COMPUTED_VALUE"""),"-")</f>
        <v>-</v>
      </c>
      <c r="D154" s="18" t="str">
        <f>IFERROR(__xludf.DUMMYFUNCTION("""COMPUTED_VALUE"""),"Walking around blowing kisses to crowd, arms over head")</f>
        <v>Walking around blowing kisses to crowd, arms over head</v>
      </c>
      <c r="E154" s="15"/>
    </row>
    <row r="155" ht="15.0" customHeight="1">
      <c r="A155" s="16">
        <f>IFERROR(__xludf.DUMMYFUNCTION("""COMPUTED_VALUE"""),152.0)</f>
        <v>152</v>
      </c>
      <c r="B155" s="23"/>
      <c r="C155" s="17"/>
      <c r="D155" s="18"/>
      <c r="E155" s="15"/>
    </row>
    <row r="156" ht="15.0" customHeight="1">
      <c r="A156" s="16">
        <f>IFERROR(__xludf.DUMMYFUNCTION("""COMPUTED_VALUE"""),153.0)</f>
        <v>153</v>
      </c>
      <c r="B156" s="24"/>
      <c r="C156" s="24"/>
      <c r="D156" s="24"/>
      <c r="E156" s="25"/>
    </row>
    <row r="157" ht="15.0" customHeight="1">
      <c r="A157" s="26">
        <f>IFERROR(__xludf.DUMMYFUNCTION("""COMPUTED_VALUE"""),154.0)</f>
        <v>154</v>
      </c>
      <c r="B157" s="27" t="str">
        <f>IFERROR(__xludf.DUMMYFUNCTION("""COMPUTED_VALUE"""),"MOCAP ONLINE / MOTUS DIGITAL")</f>
        <v>MOCAP ONLINE / MOTUS DIGITAL</v>
      </c>
      <c r="D157" s="28"/>
      <c r="E157" s="29"/>
    </row>
    <row r="158" ht="15.0" customHeight="1">
      <c r="A158" s="26">
        <f>IFERROR(__xludf.DUMMYFUNCTION("""COMPUTED_VALUE"""),155.0)</f>
        <v>155</v>
      </c>
      <c r="B158" s="30" t="str">
        <f>IFERROR(__xludf.DUMMYFUNCTION("""COMPUTED_VALUE"""),"https://mocaponline.com/products/punch")</f>
        <v>https://mocaponline.com/products/punch</v>
      </c>
      <c r="D158" s="28"/>
      <c r="E158" s="29"/>
    </row>
    <row r="159" ht="15.0" customHeight="1">
      <c r="A159" s="16">
        <f>IFERROR(__xludf.DUMMYFUNCTION("""COMPUTED_VALUE"""),156.0)</f>
        <v>156</v>
      </c>
      <c r="B159" s="30" t="str">
        <f>IFERROR(__xludf.DUMMYFUNCTION("""COMPUTED_VALUE"""),"Mocap@MotusDigital.com")</f>
        <v>Mocap@MotusDigital.com</v>
      </c>
      <c r="D159" s="28"/>
      <c r="E159" s="25"/>
    </row>
    <row r="160" ht="15.0" customHeight="1">
      <c r="A160" s="26">
        <f>IFERROR(__xludf.DUMMYFUNCTION("""COMPUTED_VALUE"""),157.0)</f>
        <v>157</v>
      </c>
      <c r="B160" s="31"/>
      <c r="C160" s="31"/>
      <c r="D160" s="31"/>
      <c r="E160" s="29"/>
    </row>
    <row r="161" ht="15.0" customHeight="1">
      <c r="A161" s="32">
        <f>IFERROR(__xludf.DUMMYFUNCTION("""COMPUTED_VALUE"""),158.0)</f>
        <v>158</v>
      </c>
      <c r="B161" s="31"/>
      <c r="C161" s="31"/>
      <c r="D161" s="31"/>
      <c r="E161" s="29"/>
    </row>
    <row r="162" ht="15.0" customHeight="1">
      <c r="A162" s="32"/>
      <c r="B162" s="31"/>
      <c r="C162" s="31"/>
      <c r="D162" s="31"/>
      <c r="E162" s="29"/>
    </row>
    <row r="163" ht="15.0" customHeight="1">
      <c r="A163" s="32"/>
      <c r="B163" s="31"/>
      <c r="C163" s="31"/>
      <c r="D163" s="31"/>
      <c r="E163" s="29"/>
    </row>
    <row r="164" ht="15.0" customHeight="1">
      <c r="A164" s="32"/>
      <c r="B164" s="31"/>
      <c r="C164" s="31"/>
      <c r="D164" s="31"/>
      <c r="E164" s="29"/>
    </row>
    <row r="165" ht="15.0" customHeight="1">
      <c r="A165" s="32"/>
      <c r="B165" s="31"/>
      <c r="C165" s="31"/>
      <c r="D165" s="31"/>
      <c r="E165" s="29"/>
    </row>
    <row r="166" ht="15.0" customHeight="1">
      <c r="A166" s="32"/>
      <c r="B166" s="31"/>
      <c r="C166" s="31"/>
      <c r="D166" s="31"/>
      <c r="E166" s="29"/>
    </row>
    <row r="167" ht="15.0" customHeight="1">
      <c r="A167" s="32"/>
      <c r="B167" s="31"/>
      <c r="C167" s="31"/>
      <c r="D167" s="31"/>
      <c r="E167" s="29"/>
    </row>
    <row r="168" ht="15.0" customHeight="1">
      <c r="A168" s="32"/>
      <c r="B168" s="31"/>
      <c r="C168" s="31"/>
      <c r="D168" s="31"/>
      <c r="E168" s="29"/>
    </row>
    <row r="169" ht="15.0" customHeight="1">
      <c r="A169" s="32"/>
      <c r="B169" s="31"/>
      <c r="C169" s="31"/>
      <c r="D169" s="31"/>
      <c r="E169" s="29"/>
    </row>
    <row r="170" ht="15.0" customHeight="1">
      <c r="A170" s="32"/>
      <c r="B170" s="31"/>
      <c r="C170" s="31"/>
      <c r="D170" s="31"/>
      <c r="E170" s="29"/>
    </row>
    <row r="171" ht="15.0" customHeight="1">
      <c r="A171" s="32"/>
      <c r="B171" s="31"/>
      <c r="C171" s="31"/>
      <c r="D171" s="31"/>
      <c r="E171" s="29"/>
    </row>
    <row r="172" ht="15.0" customHeight="1">
      <c r="A172" s="32"/>
      <c r="B172" s="31"/>
      <c r="C172" s="31"/>
      <c r="D172" s="31"/>
      <c r="E172" s="29"/>
    </row>
    <row r="173" ht="15.0" customHeight="1">
      <c r="A173" s="32"/>
      <c r="B173" s="31"/>
      <c r="C173" s="31"/>
      <c r="D173" s="31"/>
      <c r="E173" s="29"/>
    </row>
    <row r="174" ht="15.0" customHeight="1">
      <c r="A174" s="32"/>
      <c r="B174" s="31"/>
      <c r="C174" s="31"/>
      <c r="D174" s="31"/>
      <c r="E174" s="29"/>
    </row>
    <row r="175" ht="15.0" customHeight="1">
      <c r="A175" s="32"/>
      <c r="B175" s="31"/>
      <c r="C175" s="31"/>
      <c r="D175" s="31"/>
      <c r="E175" s="29"/>
    </row>
    <row r="176" ht="15.0" customHeight="1">
      <c r="A176" s="32"/>
      <c r="B176" s="31"/>
      <c r="C176" s="31"/>
      <c r="D176" s="31"/>
      <c r="E176" s="29"/>
    </row>
    <row r="177" ht="15.0" customHeight="1">
      <c r="A177" s="32"/>
      <c r="B177" s="31"/>
      <c r="C177" s="31"/>
      <c r="D177" s="31"/>
      <c r="E177" s="29"/>
    </row>
    <row r="178" ht="15.0" customHeight="1">
      <c r="A178" s="32"/>
      <c r="B178" s="31"/>
      <c r="C178" s="31"/>
      <c r="D178" s="31"/>
      <c r="E178" s="29"/>
    </row>
    <row r="179" ht="15.0" customHeight="1">
      <c r="A179" s="32"/>
      <c r="B179" s="31"/>
      <c r="C179" s="31"/>
      <c r="D179" s="31"/>
      <c r="E179" s="29"/>
    </row>
    <row r="180" ht="15.0" customHeight="1">
      <c r="A180" s="32"/>
      <c r="B180" s="31"/>
      <c r="C180" s="31"/>
      <c r="D180" s="31"/>
      <c r="E180" s="29"/>
    </row>
    <row r="181" ht="15.0" customHeight="1">
      <c r="A181" s="32"/>
      <c r="B181" s="31"/>
      <c r="C181" s="31"/>
      <c r="D181" s="31"/>
      <c r="E181" s="29"/>
    </row>
    <row r="182" ht="15.0" customHeight="1">
      <c r="A182" s="32"/>
      <c r="B182" s="31"/>
      <c r="C182" s="31"/>
      <c r="D182" s="31"/>
      <c r="E182" s="29"/>
    </row>
    <row r="183" ht="15.0" customHeight="1">
      <c r="A183" s="32"/>
      <c r="B183" s="31"/>
      <c r="C183" s="31"/>
      <c r="D183" s="31"/>
      <c r="E183" s="29"/>
    </row>
    <row r="184" ht="15.0" customHeight="1">
      <c r="A184" s="32"/>
      <c r="B184" s="31"/>
      <c r="C184" s="31"/>
      <c r="D184" s="31"/>
      <c r="E184" s="29"/>
    </row>
    <row r="185" ht="15.0" customHeight="1">
      <c r="A185" s="32"/>
      <c r="B185" s="31"/>
      <c r="C185" s="31"/>
      <c r="D185" s="31"/>
      <c r="E185" s="29"/>
    </row>
    <row r="186" ht="15.0" customHeight="1">
      <c r="A186" s="32"/>
      <c r="B186" s="31"/>
      <c r="C186" s="31"/>
      <c r="D186" s="31"/>
      <c r="E186" s="29"/>
    </row>
    <row r="187" ht="15.0" customHeight="1">
      <c r="A187" s="32"/>
      <c r="B187" s="31"/>
      <c r="C187" s="31"/>
      <c r="D187" s="31"/>
      <c r="E187" s="29"/>
    </row>
    <row r="188" ht="15.0" customHeight="1">
      <c r="A188" s="32"/>
      <c r="B188" s="31"/>
      <c r="C188" s="31"/>
      <c r="D188" s="31"/>
      <c r="E188" s="29"/>
    </row>
    <row r="189" ht="15.0" customHeight="1">
      <c r="A189" s="32"/>
      <c r="B189" s="31"/>
      <c r="C189" s="31"/>
      <c r="D189" s="31"/>
      <c r="E189" s="29"/>
    </row>
    <row r="190" ht="15.0" customHeight="1">
      <c r="A190" s="32"/>
      <c r="B190" s="31"/>
      <c r="C190" s="31"/>
      <c r="D190" s="31"/>
      <c r="E190" s="29"/>
    </row>
    <row r="191" ht="15.0" customHeight="1">
      <c r="A191" s="32"/>
      <c r="B191" s="31"/>
      <c r="C191" s="31"/>
      <c r="D191" s="31"/>
      <c r="E191" s="29"/>
    </row>
    <row r="192" ht="15.0" customHeight="1">
      <c r="A192" s="32"/>
      <c r="B192" s="31"/>
      <c r="C192" s="31"/>
      <c r="D192" s="31"/>
      <c r="E192" s="29"/>
    </row>
    <row r="193" ht="15.0" customHeight="1">
      <c r="A193" s="32"/>
      <c r="B193" s="31"/>
      <c r="C193" s="31"/>
      <c r="D193" s="31"/>
      <c r="E193" s="29"/>
    </row>
    <row r="194" ht="15.0" customHeight="1">
      <c r="A194" s="32"/>
      <c r="B194" s="31"/>
      <c r="C194" s="31"/>
      <c r="D194" s="31"/>
      <c r="E194" s="29"/>
    </row>
    <row r="195" ht="15.0" customHeight="1">
      <c r="A195" s="32"/>
      <c r="B195" s="31"/>
      <c r="C195" s="31"/>
      <c r="D195" s="31"/>
      <c r="E195" s="29"/>
    </row>
    <row r="196" ht="15.0" customHeight="1">
      <c r="A196" s="32"/>
      <c r="B196" s="31"/>
      <c r="C196" s="31"/>
      <c r="D196" s="31"/>
      <c r="E196" s="29"/>
    </row>
    <row r="197" ht="15.0" customHeight="1">
      <c r="A197" s="32"/>
      <c r="B197" s="31"/>
      <c r="C197" s="31"/>
      <c r="D197" s="31"/>
      <c r="E197" s="29"/>
    </row>
    <row r="198" ht="15.0" customHeight="1">
      <c r="A198" s="32"/>
      <c r="B198" s="31"/>
      <c r="C198" s="31"/>
      <c r="D198" s="31"/>
      <c r="E198" s="29"/>
    </row>
    <row r="199" ht="15.0" customHeight="1">
      <c r="A199" s="32"/>
      <c r="B199" s="31"/>
      <c r="C199" s="31"/>
      <c r="D199" s="31"/>
      <c r="E199" s="29"/>
    </row>
    <row r="200" ht="15.0" customHeight="1">
      <c r="A200" s="32"/>
      <c r="B200" s="31"/>
      <c r="C200" s="31"/>
      <c r="D200" s="31"/>
      <c r="E200" s="29"/>
    </row>
    <row r="201" ht="15.0" customHeight="1">
      <c r="A201" s="32"/>
      <c r="B201" s="31"/>
      <c r="C201" s="31"/>
      <c r="D201" s="31"/>
      <c r="E201" s="29"/>
    </row>
    <row r="202" ht="15.0" customHeight="1">
      <c r="A202" s="32"/>
      <c r="B202" s="31"/>
      <c r="C202" s="31"/>
      <c r="D202" s="31"/>
      <c r="E202" s="29"/>
    </row>
    <row r="203" ht="15.0" customHeight="1">
      <c r="A203" s="32"/>
      <c r="B203" s="31"/>
      <c r="C203" s="31"/>
      <c r="D203" s="31"/>
      <c r="E203" s="29"/>
    </row>
    <row r="204" ht="15.0" customHeight="1">
      <c r="A204" s="32"/>
      <c r="B204" s="31"/>
      <c r="C204" s="31"/>
      <c r="D204" s="31"/>
      <c r="E204" s="29"/>
    </row>
    <row r="205" ht="15.0" customHeight="1">
      <c r="A205" s="32"/>
      <c r="B205" s="31"/>
      <c r="C205" s="31"/>
      <c r="D205" s="31"/>
      <c r="E205" s="29"/>
    </row>
    <row r="206" ht="15.0" customHeight="1">
      <c r="A206" s="32"/>
      <c r="B206" s="31"/>
      <c r="C206" s="31"/>
      <c r="D206" s="31"/>
      <c r="E206" s="29"/>
    </row>
    <row r="207" ht="15.0" customHeight="1">
      <c r="A207" s="32"/>
      <c r="B207" s="31"/>
      <c r="C207" s="31"/>
      <c r="D207" s="31"/>
      <c r="E207" s="29"/>
    </row>
    <row r="208" ht="15.0" customHeight="1">
      <c r="A208" s="32"/>
      <c r="B208" s="31"/>
      <c r="C208" s="31"/>
      <c r="D208" s="31"/>
      <c r="E208" s="29"/>
    </row>
    <row r="209" ht="15.0" customHeight="1">
      <c r="A209" s="32"/>
      <c r="B209" s="31"/>
      <c r="C209" s="31"/>
      <c r="D209" s="31"/>
      <c r="E209" s="29"/>
    </row>
    <row r="210" ht="15.0" customHeight="1">
      <c r="A210" s="32"/>
      <c r="B210" s="31"/>
      <c r="C210" s="31"/>
      <c r="D210" s="31"/>
      <c r="E210" s="29"/>
    </row>
    <row r="211" ht="15.0" customHeight="1">
      <c r="A211" s="32"/>
      <c r="B211" s="31"/>
      <c r="C211" s="31"/>
      <c r="D211" s="31"/>
      <c r="E211" s="29"/>
    </row>
    <row r="212" ht="15.0" customHeight="1">
      <c r="A212" s="32"/>
      <c r="B212" s="31"/>
      <c r="C212" s="31"/>
      <c r="D212" s="31"/>
      <c r="E212" s="29"/>
    </row>
    <row r="213" ht="15.0" customHeight="1">
      <c r="A213" s="32"/>
      <c r="B213" s="31"/>
      <c r="C213" s="31"/>
      <c r="D213" s="31"/>
      <c r="E213" s="29"/>
    </row>
    <row r="214" ht="15.0" customHeight="1">
      <c r="A214" s="32"/>
      <c r="B214" s="31"/>
      <c r="C214" s="31"/>
      <c r="D214" s="31"/>
      <c r="E214" s="29"/>
    </row>
    <row r="215" ht="15.0" customHeight="1">
      <c r="A215" s="32"/>
      <c r="B215" s="31"/>
      <c r="C215" s="31"/>
      <c r="D215" s="31"/>
      <c r="E215" s="29"/>
    </row>
    <row r="216" ht="15.0" customHeight="1">
      <c r="A216" s="32"/>
      <c r="B216" s="31"/>
      <c r="C216" s="31"/>
      <c r="D216" s="31"/>
      <c r="E216" s="29"/>
    </row>
    <row r="217" ht="15.0" customHeight="1">
      <c r="A217" s="32"/>
      <c r="B217" s="31"/>
      <c r="C217" s="31"/>
      <c r="D217" s="31"/>
      <c r="E217" s="29"/>
    </row>
    <row r="218" ht="15.0" customHeight="1">
      <c r="A218" s="32"/>
      <c r="B218" s="31"/>
      <c r="C218" s="31"/>
      <c r="D218" s="31"/>
      <c r="E218" s="29"/>
    </row>
    <row r="219" ht="15.0" customHeight="1">
      <c r="A219" s="32"/>
      <c r="B219" s="31"/>
      <c r="C219" s="31"/>
      <c r="D219" s="31"/>
      <c r="E219" s="29"/>
    </row>
    <row r="220" ht="15.0" customHeight="1">
      <c r="A220" s="32"/>
      <c r="B220" s="31"/>
      <c r="C220" s="31"/>
      <c r="D220" s="31"/>
      <c r="E220" s="29"/>
    </row>
    <row r="221" ht="15.0" customHeight="1">
      <c r="A221" s="32"/>
      <c r="B221" s="31"/>
      <c r="C221" s="31"/>
      <c r="D221" s="31"/>
      <c r="E221" s="29"/>
    </row>
    <row r="222" ht="15.0" customHeight="1">
      <c r="A222" s="32"/>
      <c r="B222" s="31"/>
      <c r="C222" s="31"/>
      <c r="D222" s="31"/>
      <c r="E222" s="29"/>
    </row>
    <row r="223" ht="15.0" customHeight="1">
      <c r="A223" s="32"/>
      <c r="B223" s="31"/>
      <c r="C223" s="31"/>
      <c r="D223" s="31"/>
      <c r="E223" s="29"/>
    </row>
    <row r="224" ht="15.0" customHeight="1">
      <c r="A224" s="32"/>
      <c r="B224" s="31"/>
      <c r="C224" s="31"/>
      <c r="D224" s="31"/>
      <c r="E224" s="29"/>
    </row>
    <row r="225" ht="15.0" customHeight="1">
      <c r="A225" s="32"/>
      <c r="B225" s="31"/>
      <c r="C225" s="31"/>
      <c r="D225" s="31"/>
      <c r="E225" s="29"/>
    </row>
    <row r="226" ht="15.0" customHeight="1">
      <c r="A226" s="32"/>
      <c r="B226" s="31"/>
      <c r="C226" s="31"/>
      <c r="D226" s="31"/>
      <c r="E226" s="29"/>
    </row>
    <row r="227" ht="15.0" customHeight="1">
      <c r="A227" s="32"/>
      <c r="B227" s="31"/>
      <c r="C227" s="31"/>
      <c r="D227" s="31"/>
      <c r="E227" s="29"/>
    </row>
    <row r="228" ht="15.0" customHeight="1">
      <c r="A228" s="32"/>
      <c r="B228" s="31"/>
      <c r="C228" s="31"/>
      <c r="D228" s="31"/>
      <c r="E228" s="29"/>
    </row>
    <row r="229" ht="15.0" customHeight="1">
      <c r="A229" s="32"/>
      <c r="B229" s="31"/>
      <c r="C229" s="31"/>
      <c r="D229" s="31"/>
      <c r="E229" s="29"/>
    </row>
    <row r="230" ht="15.0" customHeight="1">
      <c r="A230" s="32"/>
      <c r="B230" s="31"/>
      <c r="C230" s="31"/>
      <c r="D230" s="31"/>
      <c r="E230" s="29"/>
    </row>
    <row r="231" ht="15.0" customHeight="1">
      <c r="A231" s="32"/>
      <c r="B231" s="31"/>
      <c r="C231" s="31"/>
      <c r="D231" s="31"/>
      <c r="E231" s="29"/>
    </row>
    <row r="232" ht="15.0" customHeight="1">
      <c r="A232" s="32"/>
      <c r="B232" s="31"/>
      <c r="C232" s="31"/>
      <c r="D232" s="31"/>
      <c r="E232" s="29"/>
    </row>
    <row r="233" ht="15.0" customHeight="1">
      <c r="A233" s="32"/>
      <c r="B233" s="31"/>
      <c r="C233" s="31"/>
      <c r="D233" s="31"/>
      <c r="E233" s="29"/>
    </row>
    <row r="234" ht="15.0" customHeight="1">
      <c r="A234" s="32"/>
      <c r="B234" s="31"/>
      <c r="C234" s="31"/>
      <c r="D234" s="31"/>
      <c r="E234" s="29"/>
    </row>
    <row r="235" ht="15.0" customHeight="1">
      <c r="A235" s="32"/>
      <c r="B235" s="31"/>
      <c r="C235" s="31"/>
      <c r="D235" s="31"/>
      <c r="E235" s="29"/>
    </row>
    <row r="236" ht="15.0" customHeight="1">
      <c r="A236" s="32"/>
      <c r="B236" s="31"/>
      <c r="C236" s="31"/>
      <c r="D236" s="31"/>
      <c r="E236" s="29"/>
    </row>
    <row r="237" ht="15.0" customHeight="1">
      <c r="A237" s="32"/>
      <c r="B237" s="31"/>
      <c r="C237" s="31"/>
      <c r="D237" s="31"/>
      <c r="E237" s="29"/>
    </row>
    <row r="238" ht="15.0" customHeight="1">
      <c r="A238" s="32"/>
      <c r="B238" s="31"/>
      <c r="C238" s="31"/>
      <c r="D238" s="31"/>
      <c r="E238" s="29"/>
    </row>
    <row r="239" ht="15.0" customHeight="1">
      <c r="A239" s="32"/>
      <c r="B239" s="31"/>
      <c r="C239" s="31"/>
      <c r="D239" s="31"/>
      <c r="E239" s="29"/>
    </row>
    <row r="240" ht="15.0" customHeight="1">
      <c r="A240" s="32"/>
      <c r="B240" s="31"/>
      <c r="C240" s="31"/>
      <c r="D240" s="31"/>
      <c r="E240" s="29"/>
    </row>
    <row r="241" ht="15.0" customHeight="1">
      <c r="A241" s="32"/>
      <c r="B241" s="31"/>
      <c r="C241" s="31"/>
      <c r="D241" s="31"/>
      <c r="E241" s="29"/>
    </row>
    <row r="242" ht="15.0" customHeight="1">
      <c r="A242" s="32"/>
      <c r="B242" s="31"/>
      <c r="C242" s="31"/>
      <c r="D242" s="31"/>
      <c r="E242" s="29"/>
    </row>
    <row r="243" ht="15.0" customHeight="1">
      <c r="A243" s="32"/>
      <c r="B243" s="31"/>
      <c r="C243" s="31"/>
      <c r="D243" s="31"/>
      <c r="E243" s="29"/>
    </row>
    <row r="244" ht="15.0" customHeight="1">
      <c r="A244" s="32"/>
      <c r="B244" s="31"/>
      <c r="C244" s="31"/>
      <c r="D244" s="31"/>
      <c r="E244" s="29"/>
    </row>
    <row r="245" ht="15.0" customHeight="1">
      <c r="A245" s="32"/>
      <c r="B245" s="31"/>
      <c r="C245" s="31"/>
      <c r="D245" s="31"/>
      <c r="E245" s="29"/>
    </row>
    <row r="246" ht="15.0" customHeight="1">
      <c r="A246" s="32"/>
      <c r="B246" s="31"/>
      <c r="C246" s="31"/>
      <c r="D246" s="31"/>
      <c r="E246" s="29"/>
    </row>
    <row r="247" ht="15.0" customHeight="1">
      <c r="A247" s="32"/>
      <c r="B247" s="31"/>
      <c r="C247" s="31"/>
      <c r="D247" s="31"/>
      <c r="E247" s="29"/>
    </row>
    <row r="248" ht="15.0" customHeight="1">
      <c r="A248" s="32"/>
      <c r="B248" s="31"/>
      <c r="C248" s="31"/>
      <c r="D248" s="31"/>
      <c r="E248" s="29"/>
    </row>
    <row r="249" ht="15.0" customHeight="1">
      <c r="A249" s="32"/>
      <c r="B249" s="31"/>
      <c r="C249" s="31"/>
      <c r="D249" s="31"/>
      <c r="E249" s="29"/>
    </row>
    <row r="250" ht="15.0" customHeight="1">
      <c r="A250" s="32"/>
      <c r="B250" s="31"/>
      <c r="C250" s="31"/>
      <c r="D250" s="31"/>
      <c r="E250" s="29"/>
    </row>
    <row r="251" ht="15.0" customHeight="1">
      <c r="A251" s="32"/>
      <c r="B251" s="31"/>
      <c r="C251" s="31"/>
      <c r="D251" s="31"/>
      <c r="E251" s="29"/>
    </row>
    <row r="252" ht="15.0" customHeight="1">
      <c r="A252" s="32"/>
      <c r="B252" s="31"/>
      <c r="C252" s="31"/>
      <c r="D252" s="31"/>
      <c r="E252" s="29"/>
    </row>
    <row r="253" ht="15.0" customHeight="1">
      <c r="A253" s="32"/>
      <c r="B253" s="31"/>
      <c r="C253" s="31"/>
      <c r="D253" s="31"/>
      <c r="E253" s="29"/>
    </row>
    <row r="254" ht="15.0" customHeight="1">
      <c r="A254" s="32"/>
      <c r="B254" s="31"/>
      <c r="C254" s="31"/>
      <c r="D254" s="31"/>
      <c r="E254" s="29"/>
    </row>
    <row r="255" ht="15.0" customHeight="1">
      <c r="A255" s="32"/>
      <c r="B255" s="31"/>
      <c r="C255" s="31"/>
      <c r="D255" s="31"/>
      <c r="E255" s="29"/>
    </row>
    <row r="256" ht="15.0" customHeight="1">
      <c r="A256" s="32"/>
      <c r="B256" s="31"/>
      <c r="C256" s="31"/>
      <c r="D256" s="31"/>
      <c r="E256" s="29"/>
    </row>
    <row r="257" ht="15.0" customHeight="1">
      <c r="A257" s="32"/>
      <c r="B257" s="31"/>
      <c r="C257" s="31"/>
      <c r="D257" s="31"/>
      <c r="E257" s="29"/>
    </row>
    <row r="258" ht="15.0" customHeight="1">
      <c r="A258" s="32"/>
      <c r="B258" s="31"/>
      <c r="C258" s="31"/>
      <c r="D258" s="31"/>
      <c r="E258" s="29"/>
    </row>
    <row r="259" ht="15.0" customHeight="1">
      <c r="A259" s="32"/>
      <c r="B259" s="31"/>
      <c r="C259" s="31"/>
      <c r="D259" s="31"/>
      <c r="E259" s="29"/>
    </row>
    <row r="260" ht="15.0" customHeight="1">
      <c r="A260" s="32"/>
      <c r="B260" s="31"/>
      <c r="C260" s="31"/>
      <c r="D260" s="31"/>
      <c r="E260" s="29"/>
    </row>
    <row r="261" ht="15.0" customHeight="1">
      <c r="A261" s="32"/>
      <c r="B261" s="31"/>
      <c r="C261" s="31"/>
      <c r="D261" s="31"/>
      <c r="E261" s="29"/>
    </row>
    <row r="262" ht="15.0" customHeight="1">
      <c r="A262" s="32"/>
      <c r="B262" s="31"/>
      <c r="C262" s="31"/>
      <c r="D262" s="31"/>
      <c r="E262" s="29"/>
    </row>
    <row r="263" ht="15.0" customHeight="1">
      <c r="A263" s="32"/>
      <c r="B263" s="31"/>
      <c r="C263" s="31"/>
      <c r="D263" s="31"/>
      <c r="E263" s="29"/>
    </row>
    <row r="264" ht="15.0" customHeight="1">
      <c r="A264" s="32"/>
      <c r="B264" s="31"/>
      <c r="C264" s="31"/>
      <c r="D264" s="31"/>
      <c r="E264" s="29"/>
    </row>
    <row r="265" ht="15.0" customHeight="1">
      <c r="A265" s="32"/>
      <c r="B265" s="31"/>
      <c r="C265" s="31"/>
      <c r="D265" s="31"/>
      <c r="E265" s="29"/>
    </row>
    <row r="266" ht="15.0" customHeight="1">
      <c r="A266" s="32"/>
      <c r="B266" s="31"/>
      <c r="C266" s="31"/>
      <c r="D266" s="31"/>
      <c r="E266" s="29"/>
    </row>
    <row r="267" ht="15.0" customHeight="1">
      <c r="A267" s="32"/>
      <c r="B267" s="31"/>
      <c r="C267" s="31"/>
      <c r="D267" s="31"/>
      <c r="E267" s="29"/>
    </row>
    <row r="268" ht="15.0" customHeight="1">
      <c r="A268" s="32"/>
      <c r="B268" s="31"/>
      <c r="C268" s="31"/>
      <c r="D268" s="31"/>
      <c r="E268" s="29"/>
    </row>
    <row r="269" ht="15.0" customHeight="1">
      <c r="A269" s="32"/>
      <c r="B269" s="31"/>
      <c r="C269" s="31"/>
      <c r="D269" s="31"/>
      <c r="E269" s="29"/>
    </row>
    <row r="270" ht="15.0" customHeight="1">
      <c r="A270" s="32"/>
      <c r="B270" s="31"/>
      <c r="C270" s="31"/>
      <c r="D270" s="31"/>
      <c r="E270" s="29"/>
    </row>
    <row r="271" ht="15.0" customHeight="1">
      <c r="A271" s="32"/>
      <c r="B271" s="31"/>
      <c r="C271" s="31"/>
      <c r="D271" s="31"/>
      <c r="E271" s="29"/>
    </row>
    <row r="272" ht="15.0" customHeight="1">
      <c r="A272" s="32"/>
      <c r="B272" s="31"/>
      <c r="C272" s="31"/>
      <c r="D272" s="31"/>
      <c r="E272" s="29"/>
    </row>
    <row r="273" ht="15.0" customHeight="1">
      <c r="A273" s="32"/>
      <c r="B273" s="31"/>
      <c r="C273" s="31"/>
      <c r="D273" s="31"/>
      <c r="E273" s="29"/>
    </row>
    <row r="274" ht="15.0" customHeight="1">
      <c r="A274" s="32"/>
      <c r="B274" s="31"/>
      <c r="C274" s="31"/>
      <c r="D274" s="31"/>
      <c r="E274" s="29"/>
    </row>
    <row r="275" ht="15.0" customHeight="1">
      <c r="A275" s="32"/>
      <c r="B275" s="31"/>
      <c r="C275" s="31"/>
      <c r="D275" s="31"/>
      <c r="E275" s="29"/>
    </row>
    <row r="276" ht="15.0" customHeight="1">
      <c r="A276" s="32"/>
      <c r="B276" s="31"/>
      <c r="C276" s="31"/>
      <c r="D276" s="31"/>
      <c r="E276" s="29"/>
    </row>
    <row r="277" ht="15.0" customHeight="1">
      <c r="A277" s="32"/>
      <c r="B277" s="31"/>
      <c r="C277" s="31"/>
      <c r="D277" s="31"/>
      <c r="E277" s="29"/>
    </row>
    <row r="278" ht="15.0" customHeight="1">
      <c r="A278" s="32"/>
      <c r="B278" s="31"/>
      <c r="C278" s="31"/>
      <c r="D278" s="31"/>
      <c r="E278" s="29"/>
    </row>
    <row r="279" ht="15.0" customHeight="1">
      <c r="A279" s="32"/>
      <c r="B279" s="31"/>
      <c r="C279" s="31"/>
      <c r="D279" s="31"/>
      <c r="E279" s="29"/>
    </row>
    <row r="280" ht="15.0" customHeight="1">
      <c r="A280" s="32"/>
      <c r="B280" s="31"/>
      <c r="C280" s="31"/>
      <c r="D280" s="31"/>
      <c r="E280" s="29"/>
    </row>
    <row r="281" ht="15.0" customHeight="1">
      <c r="A281" s="32"/>
      <c r="B281" s="31"/>
      <c r="C281" s="31"/>
      <c r="D281" s="31"/>
      <c r="E281" s="29"/>
    </row>
    <row r="282" ht="15.0" customHeight="1">
      <c r="A282" s="32"/>
      <c r="B282" s="31"/>
      <c r="C282" s="31"/>
      <c r="D282" s="31"/>
      <c r="E282" s="29"/>
    </row>
    <row r="283" ht="15.0" customHeight="1">
      <c r="A283" s="32"/>
      <c r="B283" s="31"/>
      <c r="C283" s="31"/>
      <c r="D283" s="31"/>
      <c r="E283" s="29"/>
    </row>
    <row r="284" ht="15.0" customHeight="1">
      <c r="A284" s="32"/>
      <c r="B284" s="31"/>
      <c r="C284" s="31"/>
      <c r="D284" s="31"/>
      <c r="E284" s="29"/>
    </row>
    <row r="285" ht="15.0" customHeight="1">
      <c r="A285" s="32"/>
      <c r="B285" s="31"/>
      <c r="C285" s="31"/>
      <c r="D285" s="31"/>
      <c r="E285" s="29"/>
    </row>
    <row r="286" ht="15.0" customHeight="1">
      <c r="A286" s="32"/>
      <c r="B286" s="31"/>
      <c r="C286" s="31"/>
      <c r="D286" s="31"/>
      <c r="E286" s="29"/>
    </row>
    <row r="287" ht="15.0" customHeight="1">
      <c r="A287" s="32"/>
      <c r="B287" s="31"/>
      <c r="C287" s="31"/>
      <c r="D287" s="31"/>
      <c r="E287" s="29"/>
    </row>
    <row r="288" ht="15.0" customHeight="1">
      <c r="A288" s="32"/>
      <c r="B288" s="31"/>
      <c r="C288" s="31"/>
      <c r="D288" s="31"/>
      <c r="E288" s="29"/>
    </row>
    <row r="289" ht="15.0" customHeight="1">
      <c r="A289" s="32"/>
      <c r="B289" s="31"/>
      <c r="C289" s="31"/>
      <c r="D289" s="31"/>
      <c r="E289" s="29"/>
    </row>
    <row r="290" ht="15.0" customHeight="1">
      <c r="A290" s="32"/>
      <c r="B290" s="31"/>
      <c r="C290" s="31"/>
      <c r="D290" s="31"/>
      <c r="E290" s="29"/>
    </row>
    <row r="291" ht="15.0" customHeight="1">
      <c r="A291" s="32"/>
      <c r="B291" s="31"/>
      <c r="C291" s="31"/>
      <c r="D291" s="31"/>
      <c r="E291" s="29"/>
    </row>
    <row r="292" ht="15.0" customHeight="1">
      <c r="A292" s="32"/>
      <c r="B292" s="31"/>
      <c r="C292" s="31"/>
      <c r="D292" s="31"/>
      <c r="E292" s="29"/>
    </row>
    <row r="293" ht="15.0" customHeight="1">
      <c r="A293" s="32"/>
      <c r="B293" s="31"/>
      <c r="C293" s="31"/>
      <c r="D293" s="31"/>
      <c r="E293" s="29"/>
    </row>
    <row r="294" ht="15.0" customHeight="1">
      <c r="A294" s="32"/>
      <c r="B294" s="31"/>
      <c r="C294" s="31"/>
      <c r="D294" s="31"/>
      <c r="E294" s="29"/>
    </row>
    <row r="295" ht="15.0" customHeight="1">
      <c r="A295" s="32"/>
      <c r="B295" s="31"/>
      <c r="C295" s="31"/>
      <c r="D295" s="31"/>
      <c r="E295" s="29"/>
    </row>
    <row r="296" ht="15.0" customHeight="1">
      <c r="A296" s="32"/>
      <c r="B296" s="31"/>
      <c r="C296" s="31"/>
      <c r="D296" s="31"/>
      <c r="E296" s="29"/>
    </row>
    <row r="297" ht="15.0" customHeight="1">
      <c r="A297" s="32"/>
      <c r="B297" s="31"/>
      <c r="C297" s="31"/>
      <c r="D297" s="31"/>
      <c r="E297" s="29"/>
    </row>
    <row r="298" ht="15.0" customHeight="1">
      <c r="A298" s="32"/>
      <c r="B298" s="31"/>
      <c r="C298" s="31"/>
      <c r="D298" s="31"/>
      <c r="E298" s="29"/>
    </row>
    <row r="299" ht="15.0" customHeight="1">
      <c r="A299" s="32"/>
      <c r="B299" s="31"/>
      <c r="C299" s="31"/>
      <c r="D299" s="31"/>
      <c r="E299" s="29"/>
    </row>
    <row r="300" ht="15.0" customHeight="1">
      <c r="A300" s="32"/>
      <c r="B300" s="31"/>
      <c r="C300" s="31"/>
      <c r="D300" s="31"/>
      <c r="E300" s="29"/>
    </row>
    <row r="301" ht="15.0" customHeight="1">
      <c r="A301" s="32"/>
      <c r="B301" s="31"/>
      <c r="C301" s="31"/>
      <c r="D301" s="31"/>
      <c r="E301" s="29"/>
    </row>
    <row r="302" ht="15.0" customHeight="1">
      <c r="A302" s="32"/>
      <c r="B302" s="31"/>
      <c r="C302" s="31"/>
      <c r="D302" s="31"/>
      <c r="E302" s="29"/>
    </row>
    <row r="303" ht="15.0" customHeight="1">
      <c r="A303" s="32"/>
      <c r="B303" s="31"/>
      <c r="C303" s="31"/>
      <c r="D303" s="31"/>
      <c r="E303" s="29"/>
    </row>
    <row r="304" ht="15.0" customHeight="1">
      <c r="A304" s="32"/>
      <c r="B304" s="31"/>
      <c r="C304" s="31"/>
      <c r="D304" s="31"/>
      <c r="E304" s="29"/>
    </row>
    <row r="305" ht="15.0" customHeight="1">
      <c r="A305" s="32"/>
      <c r="B305" s="31"/>
      <c r="C305" s="31"/>
      <c r="D305" s="31"/>
      <c r="E305" s="29"/>
    </row>
    <row r="306" ht="15.0" customHeight="1">
      <c r="A306" s="32"/>
      <c r="B306" s="31"/>
      <c r="C306" s="31"/>
      <c r="D306" s="31"/>
      <c r="E306" s="29"/>
    </row>
    <row r="307" ht="15.0" customHeight="1">
      <c r="A307" s="32"/>
      <c r="B307" s="31"/>
      <c r="C307" s="31"/>
      <c r="D307" s="31"/>
      <c r="E307" s="29"/>
    </row>
    <row r="308" ht="15.0" customHeight="1">
      <c r="A308" s="32"/>
      <c r="B308" s="31"/>
      <c r="C308" s="31"/>
      <c r="D308" s="31"/>
      <c r="E308" s="29"/>
    </row>
    <row r="309" ht="15.0" customHeight="1">
      <c r="A309" s="32"/>
      <c r="B309" s="31"/>
      <c r="C309" s="31"/>
      <c r="D309" s="31"/>
      <c r="E309" s="29"/>
    </row>
    <row r="310" ht="15.0" customHeight="1">
      <c r="A310" s="32"/>
      <c r="B310" s="31"/>
      <c r="C310" s="31"/>
      <c r="D310" s="31"/>
      <c r="E310" s="29"/>
    </row>
    <row r="311" ht="15.0" customHeight="1">
      <c r="A311" s="32"/>
      <c r="B311" s="31"/>
      <c r="C311" s="31"/>
      <c r="D311" s="31"/>
      <c r="E311" s="29"/>
    </row>
    <row r="312" ht="15.0" customHeight="1">
      <c r="A312" s="32"/>
      <c r="B312" s="31"/>
      <c r="C312" s="31"/>
      <c r="D312" s="31"/>
      <c r="E312" s="29"/>
    </row>
    <row r="313" ht="15.0" customHeight="1">
      <c r="A313" s="32"/>
      <c r="B313" s="31"/>
      <c r="C313" s="31"/>
      <c r="D313" s="31"/>
      <c r="E313" s="29"/>
    </row>
    <row r="314" ht="15.0" customHeight="1">
      <c r="A314" s="32"/>
      <c r="B314" s="31"/>
      <c r="C314" s="31"/>
      <c r="D314" s="31"/>
      <c r="E314" s="29"/>
    </row>
    <row r="315" ht="15.0" customHeight="1">
      <c r="A315" s="32"/>
      <c r="B315" s="31"/>
      <c r="C315" s="31"/>
      <c r="D315" s="31"/>
      <c r="E315" s="29"/>
    </row>
    <row r="316" ht="15.0" customHeight="1">
      <c r="A316" s="32"/>
      <c r="B316" s="31"/>
      <c r="C316" s="31"/>
      <c r="D316" s="31"/>
      <c r="E316" s="29"/>
    </row>
    <row r="317" ht="15.0" customHeight="1">
      <c r="A317" s="32"/>
      <c r="B317" s="31"/>
      <c r="C317" s="31"/>
      <c r="D317" s="31"/>
      <c r="E317" s="29"/>
    </row>
    <row r="318" ht="15.0" customHeight="1">
      <c r="A318" s="32"/>
      <c r="B318" s="31"/>
      <c r="C318" s="31"/>
      <c r="D318" s="31"/>
      <c r="E318" s="29"/>
    </row>
    <row r="319" ht="15.0" customHeight="1">
      <c r="A319" s="32"/>
      <c r="B319" s="31"/>
      <c r="C319" s="31"/>
      <c r="D319" s="31"/>
      <c r="E319" s="29"/>
    </row>
    <row r="320" ht="15.0" customHeight="1">
      <c r="A320" s="32"/>
      <c r="B320" s="31"/>
      <c r="C320" s="31"/>
      <c r="D320" s="31"/>
      <c r="E320" s="29"/>
    </row>
    <row r="321" ht="15.0" customHeight="1">
      <c r="A321" s="32"/>
      <c r="B321" s="31"/>
      <c r="C321" s="31"/>
      <c r="D321" s="31"/>
      <c r="E321" s="29"/>
    </row>
    <row r="322" ht="15.0" customHeight="1">
      <c r="A322" s="32"/>
      <c r="B322" s="31"/>
      <c r="C322" s="31"/>
      <c r="D322" s="31"/>
      <c r="E322" s="29"/>
    </row>
    <row r="323" ht="15.0" customHeight="1">
      <c r="A323" s="32"/>
      <c r="B323" s="31"/>
      <c r="C323" s="31"/>
      <c r="D323" s="31"/>
      <c r="E323" s="29"/>
    </row>
    <row r="324" ht="15.0" customHeight="1">
      <c r="A324" s="32"/>
      <c r="B324" s="31"/>
      <c r="C324" s="31"/>
      <c r="D324" s="31"/>
      <c r="E324" s="29"/>
    </row>
    <row r="325" ht="15.0" customHeight="1">
      <c r="A325" s="32"/>
      <c r="B325" s="31"/>
      <c r="C325" s="31"/>
      <c r="D325" s="31"/>
      <c r="E325" s="29"/>
    </row>
    <row r="326" ht="15.0" customHeight="1">
      <c r="A326" s="32"/>
      <c r="B326" s="31"/>
      <c r="C326" s="31"/>
      <c r="D326" s="31"/>
      <c r="E326" s="29"/>
    </row>
    <row r="327" ht="15.0" customHeight="1">
      <c r="A327" s="32"/>
      <c r="B327" s="31"/>
      <c r="C327" s="31"/>
      <c r="D327" s="31"/>
      <c r="E327" s="29"/>
    </row>
    <row r="328" ht="15.0" customHeight="1">
      <c r="A328" s="32"/>
      <c r="B328" s="31"/>
      <c r="C328" s="31"/>
      <c r="D328" s="31"/>
      <c r="E328" s="29"/>
    </row>
    <row r="329" ht="15.0" customHeight="1">
      <c r="A329" s="32"/>
      <c r="B329" s="31"/>
      <c r="C329" s="31"/>
      <c r="D329" s="31"/>
      <c r="E329" s="29"/>
    </row>
    <row r="330" ht="15.0" customHeight="1">
      <c r="A330" s="32"/>
      <c r="B330" s="31"/>
      <c r="C330" s="31"/>
      <c r="D330" s="31"/>
      <c r="E330" s="29"/>
    </row>
    <row r="331" ht="15.0" customHeight="1">
      <c r="A331" s="32"/>
      <c r="B331" s="31"/>
      <c r="C331" s="31"/>
      <c r="D331" s="31"/>
      <c r="E331" s="29"/>
    </row>
    <row r="332" ht="15.0" customHeight="1">
      <c r="A332" s="32"/>
      <c r="B332" s="31"/>
      <c r="C332" s="31"/>
      <c r="D332" s="31"/>
      <c r="E332" s="29"/>
    </row>
    <row r="333" ht="15.0" customHeight="1">
      <c r="A333" s="32"/>
      <c r="B333" s="31"/>
      <c r="C333" s="31"/>
      <c r="D333" s="31"/>
      <c r="E333" s="29"/>
    </row>
    <row r="334" ht="15.0" customHeight="1">
      <c r="A334" s="32"/>
      <c r="B334" s="31"/>
      <c r="C334" s="31"/>
      <c r="D334" s="31"/>
      <c r="E334" s="29"/>
    </row>
    <row r="335" ht="15.0" customHeight="1">
      <c r="A335" s="32"/>
      <c r="B335" s="31"/>
      <c r="C335" s="31"/>
      <c r="D335" s="31"/>
      <c r="E335" s="29"/>
    </row>
    <row r="336" ht="15.0" customHeight="1">
      <c r="A336" s="32"/>
      <c r="B336" s="31"/>
      <c r="C336" s="31"/>
      <c r="D336" s="31"/>
      <c r="E336" s="29"/>
    </row>
    <row r="337" ht="15.0" customHeight="1">
      <c r="A337" s="32"/>
      <c r="B337" s="31"/>
      <c r="C337" s="31"/>
      <c r="D337" s="31"/>
      <c r="E337" s="29"/>
    </row>
    <row r="338" ht="15.0" customHeight="1">
      <c r="A338" s="32"/>
      <c r="B338" s="31"/>
      <c r="C338" s="31"/>
      <c r="D338" s="31"/>
      <c r="E338" s="29"/>
    </row>
    <row r="339" ht="15.0" customHeight="1">
      <c r="A339" s="32"/>
      <c r="B339" s="31"/>
      <c r="C339" s="31"/>
      <c r="D339" s="31"/>
      <c r="E339" s="29"/>
    </row>
    <row r="340" ht="15.0" customHeight="1">
      <c r="A340" s="32"/>
      <c r="B340" s="31"/>
      <c r="C340" s="31"/>
      <c r="D340" s="31"/>
      <c r="E340" s="29"/>
    </row>
    <row r="341" ht="15.0" customHeight="1">
      <c r="A341" s="32"/>
      <c r="B341" s="31"/>
      <c r="C341" s="31"/>
      <c r="D341" s="31"/>
      <c r="E341" s="29"/>
    </row>
    <row r="342" ht="15.0" customHeight="1">
      <c r="A342" s="32"/>
      <c r="B342" s="31"/>
      <c r="C342" s="31"/>
      <c r="D342" s="31"/>
      <c r="E342" s="29"/>
    </row>
    <row r="343" ht="15.0" customHeight="1">
      <c r="A343" s="32"/>
      <c r="B343" s="31"/>
      <c r="C343" s="31"/>
      <c r="D343" s="31"/>
      <c r="E343" s="29"/>
    </row>
    <row r="344" ht="15.0" customHeight="1">
      <c r="A344" s="32"/>
      <c r="B344" s="31"/>
      <c r="C344" s="31"/>
      <c r="D344" s="31"/>
      <c r="E344" s="29"/>
    </row>
    <row r="345" ht="15.0" customHeight="1">
      <c r="A345" s="32"/>
      <c r="B345" s="31"/>
      <c r="C345" s="31"/>
      <c r="D345" s="31"/>
      <c r="E345" s="29"/>
    </row>
    <row r="346" ht="15.0" customHeight="1">
      <c r="A346" s="32"/>
      <c r="B346" s="31"/>
      <c r="C346" s="31"/>
      <c r="D346" s="31"/>
      <c r="E346" s="29"/>
    </row>
    <row r="347" ht="15.0" customHeight="1">
      <c r="A347" s="32"/>
      <c r="B347" s="31"/>
      <c r="C347" s="31"/>
      <c r="D347" s="31"/>
      <c r="E347" s="29"/>
    </row>
    <row r="348" ht="15.0" customHeight="1">
      <c r="A348" s="32"/>
      <c r="B348" s="31"/>
      <c r="C348" s="31"/>
      <c r="D348" s="31"/>
      <c r="E348" s="29"/>
    </row>
    <row r="349" ht="15.0" customHeight="1">
      <c r="A349" s="32"/>
      <c r="B349" s="31"/>
      <c r="C349" s="31"/>
      <c r="D349" s="31"/>
      <c r="E349" s="29"/>
    </row>
    <row r="350" ht="15.0" customHeight="1">
      <c r="A350" s="32"/>
      <c r="B350" s="31"/>
      <c r="C350" s="31"/>
      <c r="D350" s="31"/>
      <c r="E350" s="29"/>
    </row>
    <row r="351" ht="15.0" customHeight="1">
      <c r="A351" s="32"/>
      <c r="B351" s="31"/>
      <c r="C351" s="31"/>
      <c r="D351" s="31"/>
      <c r="E351" s="29"/>
    </row>
    <row r="352" ht="15.0" customHeight="1">
      <c r="A352" s="32"/>
      <c r="B352" s="31"/>
      <c r="C352" s="31"/>
      <c r="D352" s="31"/>
      <c r="E352" s="29"/>
    </row>
    <row r="353" ht="15.0" customHeight="1">
      <c r="A353" s="32"/>
      <c r="B353" s="31"/>
      <c r="C353" s="31"/>
      <c r="D353" s="31"/>
      <c r="E353" s="29"/>
    </row>
    <row r="354" ht="15.0" customHeight="1">
      <c r="A354" s="32"/>
      <c r="B354" s="31"/>
      <c r="C354" s="31"/>
      <c r="D354" s="31"/>
      <c r="E354" s="29"/>
    </row>
    <row r="355" ht="15.0" customHeight="1">
      <c r="A355" s="32"/>
      <c r="B355" s="31"/>
      <c r="C355" s="31"/>
      <c r="D355" s="31"/>
      <c r="E355" s="29"/>
    </row>
    <row r="356" ht="15.0" customHeight="1">
      <c r="A356" s="32"/>
      <c r="B356" s="31"/>
      <c r="C356" s="31"/>
      <c r="D356" s="31"/>
      <c r="E356" s="29"/>
    </row>
    <row r="357" ht="15.0" customHeight="1">
      <c r="A357" s="32"/>
      <c r="B357" s="31"/>
      <c r="C357" s="31"/>
      <c r="D357" s="31"/>
      <c r="E357" s="29"/>
    </row>
    <row r="358" ht="15.0" customHeight="1">
      <c r="A358" s="32"/>
      <c r="B358" s="31"/>
      <c r="C358" s="31"/>
      <c r="D358" s="31"/>
      <c r="E358" s="29"/>
    </row>
    <row r="359" ht="15.0" customHeight="1">
      <c r="A359" s="32"/>
      <c r="B359" s="31"/>
      <c r="C359" s="31"/>
      <c r="D359" s="31"/>
      <c r="E359" s="29"/>
    </row>
    <row r="360" ht="15.0" customHeight="1">
      <c r="A360" s="32"/>
      <c r="B360" s="31"/>
      <c r="C360" s="31"/>
      <c r="D360" s="31"/>
      <c r="E360" s="29"/>
    </row>
    <row r="361" ht="15.0" customHeight="1">
      <c r="A361" s="32"/>
      <c r="B361" s="31"/>
      <c r="C361" s="31"/>
      <c r="D361" s="31"/>
      <c r="E361" s="29"/>
    </row>
    <row r="362" ht="15.0" customHeight="1">
      <c r="A362" s="32"/>
      <c r="B362" s="31"/>
      <c r="C362" s="31"/>
      <c r="D362" s="31"/>
      <c r="E362" s="29"/>
    </row>
    <row r="363" ht="15.0" customHeight="1">
      <c r="A363" s="32"/>
      <c r="B363" s="31"/>
      <c r="C363" s="31"/>
      <c r="D363" s="31"/>
      <c r="E363" s="29"/>
    </row>
    <row r="364" ht="15.0" customHeight="1">
      <c r="A364" s="32"/>
      <c r="B364" s="31"/>
      <c r="C364" s="31"/>
      <c r="D364" s="31"/>
      <c r="E364" s="29"/>
    </row>
    <row r="365" ht="15.0" customHeight="1">
      <c r="A365" s="32"/>
      <c r="B365" s="31"/>
      <c r="C365" s="31"/>
      <c r="D365" s="31"/>
      <c r="E365" s="29"/>
    </row>
    <row r="366" ht="15.0" customHeight="1">
      <c r="A366" s="32"/>
      <c r="B366" s="31"/>
      <c r="C366" s="31"/>
      <c r="D366" s="31"/>
      <c r="E366" s="29"/>
    </row>
    <row r="367" ht="15.0" customHeight="1">
      <c r="A367" s="32"/>
      <c r="B367" s="31"/>
      <c r="C367" s="31"/>
      <c r="D367" s="31"/>
      <c r="E367" s="29"/>
    </row>
    <row r="368" ht="15.0" customHeight="1">
      <c r="A368" s="32"/>
      <c r="B368" s="31"/>
      <c r="C368" s="31"/>
      <c r="D368" s="31"/>
      <c r="E368" s="29"/>
    </row>
    <row r="369" ht="15.0" customHeight="1">
      <c r="A369" s="32"/>
      <c r="B369" s="31"/>
      <c r="C369" s="31"/>
      <c r="D369" s="31"/>
      <c r="E369" s="29"/>
    </row>
    <row r="370" ht="15.0" customHeight="1">
      <c r="A370" s="32"/>
      <c r="B370" s="31"/>
      <c r="C370" s="31"/>
      <c r="D370" s="31"/>
      <c r="E370" s="29"/>
    </row>
    <row r="371" ht="15.0" customHeight="1">
      <c r="A371" s="32"/>
      <c r="B371" s="31"/>
      <c r="C371" s="31"/>
      <c r="D371" s="31"/>
      <c r="E371" s="29"/>
    </row>
    <row r="372" ht="15.0" customHeight="1">
      <c r="A372" s="32"/>
      <c r="B372" s="31"/>
      <c r="C372" s="31"/>
      <c r="D372" s="31"/>
      <c r="E372" s="29"/>
    </row>
    <row r="373" ht="15.0" customHeight="1">
      <c r="A373" s="32"/>
      <c r="B373" s="31"/>
      <c r="C373" s="31"/>
      <c r="D373" s="31"/>
      <c r="E373" s="29"/>
    </row>
    <row r="374" ht="15.0" customHeight="1">
      <c r="A374" s="32"/>
      <c r="B374" s="31"/>
      <c r="C374" s="31"/>
      <c r="D374" s="31"/>
      <c r="E374" s="29"/>
    </row>
    <row r="375" ht="15.0" customHeight="1">
      <c r="A375" s="32"/>
      <c r="B375" s="31"/>
      <c r="C375" s="31"/>
      <c r="D375" s="31"/>
      <c r="E375" s="29"/>
    </row>
    <row r="376" ht="15.0" customHeight="1">
      <c r="A376" s="32"/>
      <c r="B376" s="31"/>
      <c r="C376" s="31"/>
      <c r="D376" s="31"/>
      <c r="E376" s="29"/>
    </row>
    <row r="377" ht="15.0" customHeight="1">
      <c r="A377" s="32"/>
      <c r="B377" s="31"/>
      <c r="C377" s="31"/>
      <c r="D377" s="31"/>
      <c r="E377" s="29"/>
    </row>
    <row r="378" ht="15.0" customHeight="1">
      <c r="A378" s="32"/>
      <c r="B378" s="31"/>
      <c r="C378" s="31"/>
      <c r="D378" s="31"/>
      <c r="E378" s="29"/>
    </row>
    <row r="379" ht="15.0" customHeight="1">
      <c r="A379" s="32"/>
      <c r="B379" s="31"/>
      <c r="C379" s="31"/>
      <c r="D379" s="31"/>
      <c r="E379" s="29"/>
    </row>
    <row r="380" ht="15.0" customHeight="1">
      <c r="A380" s="32"/>
      <c r="B380" s="31"/>
      <c r="C380" s="31"/>
      <c r="D380" s="31"/>
      <c r="E380" s="29"/>
    </row>
    <row r="381" ht="15.0" customHeight="1">
      <c r="A381" s="32"/>
      <c r="B381" s="31"/>
      <c r="C381" s="31"/>
      <c r="D381" s="31"/>
      <c r="E381" s="29"/>
    </row>
    <row r="382" ht="15.0" customHeight="1">
      <c r="A382" s="32"/>
      <c r="B382" s="31"/>
      <c r="C382" s="31"/>
      <c r="D382" s="31"/>
      <c r="E382" s="29"/>
    </row>
    <row r="383" ht="15.0" customHeight="1">
      <c r="A383" s="32"/>
      <c r="B383" s="31"/>
      <c r="C383" s="31"/>
      <c r="D383" s="31"/>
      <c r="E383" s="29"/>
    </row>
    <row r="384" ht="15.0" customHeight="1">
      <c r="A384" s="32"/>
      <c r="B384" s="31"/>
      <c r="C384" s="31"/>
      <c r="D384" s="31"/>
      <c r="E384" s="29"/>
    </row>
    <row r="385" ht="15.0" customHeight="1">
      <c r="A385" s="32"/>
      <c r="B385" s="31"/>
      <c r="C385" s="31"/>
      <c r="D385" s="31"/>
      <c r="E385" s="29"/>
    </row>
    <row r="386" ht="15.0" customHeight="1">
      <c r="A386" s="32"/>
      <c r="B386" s="31"/>
      <c r="C386" s="31"/>
      <c r="D386" s="31"/>
      <c r="E386" s="29"/>
    </row>
    <row r="387" ht="15.0" customHeight="1">
      <c r="A387" s="32"/>
      <c r="B387" s="31"/>
      <c r="C387" s="31"/>
      <c r="D387" s="31"/>
      <c r="E387" s="29"/>
    </row>
    <row r="388" ht="15.0" customHeight="1">
      <c r="A388" s="32"/>
      <c r="B388" s="31"/>
      <c r="C388" s="31"/>
      <c r="D388" s="31"/>
      <c r="E388" s="29"/>
    </row>
    <row r="389" ht="15.0" customHeight="1">
      <c r="A389" s="32"/>
      <c r="B389" s="31"/>
      <c r="C389" s="31"/>
      <c r="D389" s="31"/>
      <c r="E389" s="29"/>
    </row>
    <row r="390" ht="15.0" customHeight="1">
      <c r="A390" s="32"/>
      <c r="B390" s="31"/>
      <c r="C390" s="31"/>
      <c r="D390" s="31"/>
      <c r="E390" s="29"/>
    </row>
    <row r="391" ht="15.0" customHeight="1">
      <c r="A391" s="32"/>
      <c r="B391" s="31"/>
      <c r="C391" s="31"/>
      <c r="D391" s="31"/>
      <c r="E391" s="29"/>
    </row>
    <row r="392" ht="15.0" customHeight="1">
      <c r="A392" s="32"/>
      <c r="B392" s="31"/>
      <c r="C392" s="31"/>
      <c r="D392" s="31"/>
      <c r="E392" s="29"/>
    </row>
    <row r="393" ht="15.0" customHeight="1">
      <c r="A393" s="32"/>
      <c r="B393" s="31"/>
      <c r="C393" s="31"/>
      <c r="D393" s="31"/>
      <c r="E393" s="29"/>
    </row>
    <row r="394" ht="15.0" customHeight="1">
      <c r="A394" s="32"/>
      <c r="B394" s="31"/>
      <c r="C394" s="31"/>
      <c r="D394" s="31"/>
      <c r="E394" s="29"/>
    </row>
    <row r="395" ht="15.0" customHeight="1">
      <c r="A395" s="32"/>
      <c r="B395" s="31"/>
      <c r="C395" s="31"/>
      <c r="D395" s="31"/>
      <c r="E395" s="29"/>
    </row>
    <row r="396" ht="15.0" customHeight="1">
      <c r="A396" s="32"/>
      <c r="B396" s="31"/>
      <c r="C396" s="31"/>
      <c r="D396" s="31"/>
      <c r="E396" s="29"/>
    </row>
    <row r="397" ht="15.0" customHeight="1">
      <c r="A397" s="32"/>
      <c r="B397" s="31"/>
      <c r="C397" s="31"/>
      <c r="D397" s="31"/>
      <c r="E397" s="29"/>
    </row>
    <row r="398" ht="15.0" customHeight="1">
      <c r="A398" s="32"/>
      <c r="B398" s="31"/>
      <c r="C398" s="31"/>
      <c r="D398" s="31"/>
      <c r="E398" s="29"/>
    </row>
    <row r="399" ht="15.0" customHeight="1">
      <c r="A399" s="32"/>
      <c r="B399" s="31"/>
      <c r="C399" s="31"/>
      <c r="D399" s="31"/>
      <c r="E399" s="29"/>
    </row>
    <row r="400" ht="15.0" customHeight="1">
      <c r="A400" s="32"/>
      <c r="B400" s="31"/>
      <c r="C400" s="31"/>
      <c r="D400" s="31"/>
      <c r="E400" s="29"/>
    </row>
    <row r="401" ht="15.0" customHeight="1">
      <c r="A401" s="32"/>
      <c r="B401" s="31"/>
      <c r="C401" s="31"/>
      <c r="D401" s="31"/>
      <c r="E401" s="29"/>
    </row>
    <row r="402" ht="15.0" customHeight="1">
      <c r="A402" s="32"/>
      <c r="B402" s="31"/>
      <c r="C402" s="31"/>
      <c r="D402" s="31"/>
      <c r="E402" s="29"/>
    </row>
    <row r="403" ht="15.0" customHeight="1">
      <c r="A403" s="32"/>
      <c r="B403" s="31"/>
      <c r="C403" s="31"/>
      <c r="D403" s="31"/>
      <c r="E403" s="29"/>
    </row>
    <row r="404" ht="15.0" customHeight="1">
      <c r="A404" s="32"/>
      <c r="B404" s="31"/>
      <c r="C404" s="31"/>
      <c r="D404" s="31"/>
      <c r="E404" s="29"/>
    </row>
    <row r="405" ht="15.0" customHeight="1">
      <c r="A405" s="32"/>
      <c r="B405" s="31"/>
      <c r="C405" s="31"/>
      <c r="D405" s="31"/>
      <c r="E405" s="29"/>
    </row>
    <row r="406" ht="15.0" customHeight="1">
      <c r="A406" s="32"/>
      <c r="B406" s="31"/>
      <c r="C406" s="31"/>
      <c r="D406" s="31"/>
      <c r="E406" s="29"/>
    </row>
    <row r="407" ht="15.0" customHeight="1">
      <c r="A407" s="32"/>
      <c r="B407" s="31"/>
      <c r="C407" s="31"/>
      <c r="D407" s="31"/>
      <c r="E407" s="29"/>
    </row>
    <row r="408" ht="15.0" customHeight="1">
      <c r="A408" s="32"/>
      <c r="B408" s="31"/>
      <c r="C408" s="31"/>
      <c r="D408" s="31"/>
      <c r="E408" s="29"/>
    </row>
    <row r="409" ht="15.0" customHeight="1">
      <c r="A409" s="32"/>
      <c r="B409" s="31"/>
      <c r="C409" s="31"/>
      <c r="D409" s="31"/>
      <c r="E409" s="29"/>
    </row>
    <row r="410" ht="15.0" customHeight="1">
      <c r="A410" s="32"/>
      <c r="B410" s="31"/>
      <c r="C410" s="31"/>
      <c r="D410" s="31"/>
      <c r="E410" s="29"/>
    </row>
    <row r="411" ht="15.0" customHeight="1">
      <c r="A411" s="32"/>
      <c r="B411" s="31"/>
      <c r="C411" s="31"/>
      <c r="D411" s="31"/>
      <c r="E411" s="29"/>
    </row>
    <row r="412" ht="15.0" customHeight="1">
      <c r="A412" s="32"/>
      <c r="B412" s="31"/>
      <c r="C412" s="31"/>
      <c r="D412" s="31"/>
      <c r="E412" s="29"/>
    </row>
    <row r="413" ht="15.0" customHeight="1">
      <c r="A413" s="32"/>
      <c r="B413" s="31"/>
      <c r="C413" s="31"/>
      <c r="D413" s="31"/>
      <c r="E413" s="29"/>
    </row>
    <row r="414" ht="15.0" customHeight="1">
      <c r="A414" s="32"/>
      <c r="B414" s="31"/>
      <c r="C414" s="31"/>
      <c r="D414" s="31"/>
      <c r="E414" s="29"/>
    </row>
    <row r="415" ht="15.0" customHeight="1">
      <c r="A415" s="32"/>
      <c r="B415" s="31"/>
      <c r="C415" s="31"/>
      <c r="D415" s="31"/>
      <c r="E415" s="29"/>
    </row>
    <row r="416" ht="15.0" customHeight="1">
      <c r="A416" s="32"/>
      <c r="B416" s="31"/>
      <c r="C416" s="31"/>
      <c r="D416" s="31"/>
      <c r="E416" s="29"/>
    </row>
    <row r="417" ht="15.0" customHeight="1">
      <c r="A417" s="32"/>
      <c r="B417" s="31"/>
      <c r="C417" s="31"/>
      <c r="D417" s="31"/>
      <c r="E417" s="29"/>
    </row>
    <row r="418" ht="15.0" customHeight="1">
      <c r="A418" s="32"/>
      <c r="B418" s="31"/>
      <c r="C418" s="31"/>
      <c r="D418" s="31"/>
      <c r="E418" s="29"/>
    </row>
    <row r="419" ht="15.0" customHeight="1">
      <c r="A419" s="32"/>
      <c r="B419" s="31"/>
      <c r="C419" s="31"/>
      <c r="D419" s="31"/>
      <c r="E419" s="29"/>
    </row>
    <row r="420" ht="15.0" customHeight="1">
      <c r="A420" s="32"/>
      <c r="B420" s="31"/>
      <c r="C420" s="31"/>
      <c r="D420" s="31"/>
      <c r="E420" s="29"/>
    </row>
    <row r="421" ht="15.0" customHeight="1">
      <c r="A421" s="32"/>
      <c r="B421" s="31"/>
      <c r="C421" s="31"/>
      <c r="D421" s="31"/>
      <c r="E421" s="29"/>
    </row>
    <row r="422" ht="15.0" customHeight="1">
      <c r="A422" s="32"/>
      <c r="B422" s="31"/>
      <c r="C422" s="31"/>
      <c r="D422" s="31"/>
      <c r="E422" s="29"/>
    </row>
    <row r="423" ht="15.0" customHeight="1">
      <c r="A423" s="32"/>
      <c r="B423" s="31"/>
      <c r="C423" s="31"/>
      <c r="D423" s="31"/>
      <c r="E423" s="29"/>
    </row>
    <row r="424" ht="15.0" customHeight="1">
      <c r="A424" s="32"/>
      <c r="B424" s="31"/>
      <c r="C424" s="31"/>
      <c r="D424" s="31"/>
      <c r="E424" s="29"/>
    </row>
    <row r="425" ht="15.0" customHeight="1">
      <c r="A425" s="32"/>
      <c r="B425" s="31"/>
      <c r="C425" s="31"/>
      <c r="D425" s="31"/>
      <c r="E425" s="29"/>
    </row>
    <row r="426" ht="15.0" customHeight="1">
      <c r="A426" s="32"/>
      <c r="B426" s="31"/>
      <c r="C426" s="31"/>
      <c r="D426" s="31"/>
      <c r="E426" s="29"/>
    </row>
    <row r="427" ht="15.0" customHeight="1">
      <c r="A427" s="32"/>
      <c r="B427" s="31"/>
      <c r="C427" s="31"/>
      <c r="D427" s="31"/>
      <c r="E427" s="29"/>
    </row>
    <row r="428" ht="15.0" customHeight="1">
      <c r="A428" s="32"/>
      <c r="B428" s="31"/>
      <c r="C428" s="31"/>
      <c r="D428" s="31"/>
      <c r="E428" s="29"/>
    </row>
    <row r="429" ht="15.0" customHeight="1">
      <c r="A429" s="32"/>
      <c r="B429" s="31"/>
      <c r="C429" s="31"/>
      <c r="D429" s="31"/>
      <c r="E429" s="29"/>
    </row>
    <row r="430" ht="15.0" customHeight="1">
      <c r="A430" s="32"/>
      <c r="B430" s="31"/>
      <c r="C430" s="31"/>
      <c r="D430" s="31"/>
      <c r="E430" s="29"/>
    </row>
    <row r="431" ht="15.0" customHeight="1">
      <c r="A431" s="32"/>
      <c r="B431" s="31"/>
      <c r="C431" s="31"/>
      <c r="D431" s="31"/>
      <c r="E431" s="29"/>
    </row>
    <row r="432" ht="15.0" customHeight="1">
      <c r="A432" s="32"/>
      <c r="B432" s="31"/>
      <c r="C432" s="31"/>
      <c r="D432" s="31"/>
      <c r="E432" s="29"/>
    </row>
    <row r="433" ht="15.0" customHeight="1">
      <c r="A433" s="32"/>
      <c r="B433" s="31"/>
      <c r="C433" s="31"/>
      <c r="D433" s="31"/>
      <c r="E433" s="29"/>
    </row>
    <row r="434" ht="15.0" customHeight="1">
      <c r="A434" s="32"/>
      <c r="B434" s="31"/>
      <c r="C434" s="31"/>
      <c r="D434" s="31"/>
      <c r="E434" s="29"/>
    </row>
    <row r="435" ht="15.0" customHeight="1">
      <c r="A435" s="32"/>
      <c r="B435" s="31"/>
      <c r="C435" s="31"/>
      <c r="D435" s="31"/>
      <c r="E435" s="29"/>
    </row>
    <row r="436" ht="15.0" customHeight="1">
      <c r="A436" s="32"/>
      <c r="B436" s="31"/>
      <c r="C436" s="31"/>
      <c r="D436" s="31"/>
      <c r="E436" s="29"/>
    </row>
    <row r="437" ht="15.0" customHeight="1">
      <c r="A437" s="32"/>
      <c r="B437" s="31"/>
      <c r="C437" s="31"/>
      <c r="D437" s="31"/>
      <c r="E437" s="29"/>
    </row>
    <row r="438" ht="15.0" customHeight="1">
      <c r="A438" s="32"/>
      <c r="B438" s="31"/>
      <c r="C438" s="31"/>
      <c r="D438" s="31"/>
      <c r="E438" s="29"/>
    </row>
    <row r="439" ht="15.0" customHeight="1">
      <c r="A439" s="32"/>
      <c r="B439" s="31"/>
      <c r="C439" s="31"/>
      <c r="D439" s="31"/>
      <c r="E439" s="29"/>
    </row>
    <row r="440" ht="15.0" customHeight="1">
      <c r="A440" s="32"/>
      <c r="B440" s="31"/>
      <c r="C440" s="31"/>
      <c r="D440" s="31"/>
      <c r="E440" s="29"/>
    </row>
    <row r="441" ht="15.0" customHeight="1">
      <c r="A441" s="32"/>
      <c r="B441" s="31"/>
      <c r="C441" s="31"/>
      <c r="D441" s="31"/>
      <c r="E441" s="29"/>
    </row>
    <row r="442" ht="15.0" customHeight="1">
      <c r="A442" s="32"/>
      <c r="B442" s="31"/>
      <c r="C442" s="31"/>
      <c r="D442" s="31"/>
      <c r="E442" s="29"/>
    </row>
    <row r="443" ht="15.0" customHeight="1">
      <c r="A443" s="32"/>
      <c r="B443" s="31"/>
      <c r="C443" s="31"/>
      <c r="D443" s="31"/>
      <c r="E443" s="29"/>
    </row>
    <row r="444" ht="15.0" customHeight="1">
      <c r="A444" s="32"/>
      <c r="B444" s="31"/>
      <c r="C444" s="31"/>
      <c r="D444" s="31"/>
      <c r="E444" s="29"/>
    </row>
    <row r="445" ht="15.0" customHeight="1">
      <c r="A445" s="32"/>
      <c r="B445" s="31"/>
      <c r="C445" s="31"/>
      <c r="D445" s="31"/>
      <c r="E445" s="29"/>
    </row>
    <row r="446" ht="15.0" customHeight="1">
      <c r="A446" s="32"/>
      <c r="B446" s="31"/>
      <c r="C446" s="31"/>
      <c r="D446" s="31"/>
      <c r="E446" s="29"/>
    </row>
    <row r="447" ht="15.0" customHeight="1">
      <c r="A447" s="32"/>
      <c r="B447" s="31"/>
      <c r="C447" s="31"/>
      <c r="D447" s="31"/>
      <c r="E447" s="29"/>
    </row>
    <row r="448" ht="15.0" customHeight="1">
      <c r="A448" s="32"/>
      <c r="B448" s="31"/>
      <c r="C448" s="31"/>
      <c r="D448" s="31"/>
      <c r="E448" s="29"/>
    </row>
    <row r="449" ht="15.0" customHeight="1">
      <c r="A449" s="32"/>
      <c r="B449" s="31"/>
      <c r="C449" s="31"/>
      <c r="D449" s="31"/>
      <c r="E449" s="29"/>
    </row>
    <row r="450" ht="15.0" customHeight="1">
      <c r="A450" s="32"/>
      <c r="B450" s="31"/>
      <c r="C450" s="31"/>
      <c r="D450" s="31"/>
      <c r="E450" s="29"/>
    </row>
    <row r="451" ht="15.0" customHeight="1">
      <c r="A451" s="32"/>
      <c r="B451" s="31"/>
      <c r="C451" s="31"/>
      <c r="D451" s="31"/>
      <c r="E451" s="29"/>
    </row>
    <row r="452" ht="15.0" customHeight="1">
      <c r="A452" s="32"/>
      <c r="B452" s="31"/>
      <c r="C452" s="31"/>
      <c r="D452" s="31"/>
      <c r="E452" s="29"/>
    </row>
    <row r="453" ht="15.0" customHeight="1">
      <c r="A453" s="32"/>
      <c r="B453" s="31"/>
      <c r="C453" s="31"/>
      <c r="D453" s="31"/>
      <c r="E453" s="29"/>
    </row>
    <row r="454" ht="15.0" customHeight="1">
      <c r="A454" s="32"/>
      <c r="B454" s="31"/>
      <c r="C454" s="31"/>
      <c r="D454" s="31"/>
      <c r="E454" s="29"/>
    </row>
    <row r="455" ht="15.0" customHeight="1">
      <c r="A455" s="32"/>
      <c r="B455" s="31"/>
      <c r="C455" s="31"/>
      <c r="D455" s="31"/>
      <c r="E455" s="29"/>
    </row>
    <row r="456" ht="15.0" customHeight="1">
      <c r="A456" s="32"/>
      <c r="B456" s="31"/>
      <c r="C456" s="31"/>
      <c r="D456" s="31"/>
      <c r="E456" s="29"/>
    </row>
    <row r="457" ht="15.0" customHeight="1">
      <c r="A457" s="32"/>
      <c r="B457" s="31"/>
      <c r="C457" s="31"/>
      <c r="D457" s="31"/>
      <c r="E457" s="29"/>
    </row>
    <row r="458" ht="15.0" customHeight="1">
      <c r="A458" s="32"/>
      <c r="B458" s="31"/>
      <c r="C458" s="31"/>
      <c r="D458" s="31"/>
      <c r="E458" s="29"/>
    </row>
    <row r="459" ht="15.0" customHeight="1">
      <c r="A459" s="32"/>
      <c r="B459" s="31"/>
      <c r="C459" s="31"/>
      <c r="D459" s="31"/>
      <c r="E459" s="29"/>
    </row>
    <row r="460" ht="15.0" customHeight="1">
      <c r="A460" s="32"/>
      <c r="B460" s="31"/>
      <c r="C460" s="31"/>
      <c r="D460" s="31"/>
      <c r="E460" s="29"/>
    </row>
    <row r="461" ht="15.0" customHeight="1">
      <c r="A461" s="32"/>
      <c r="B461" s="31"/>
      <c r="C461" s="31"/>
      <c r="D461" s="31"/>
      <c r="E461" s="29"/>
    </row>
    <row r="462" ht="15.0" customHeight="1">
      <c r="A462" s="32"/>
      <c r="B462" s="31"/>
      <c r="C462" s="31"/>
      <c r="D462" s="31"/>
      <c r="E462" s="29"/>
    </row>
    <row r="463" ht="15.0" customHeight="1">
      <c r="A463" s="32"/>
      <c r="B463" s="31"/>
      <c r="C463" s="31"/>
      <c r="D463" s="31"/>
      <c r="E463" s="29"/>
    </row>
    <row r="464" ht="15.0" customHeight="1">
      <c r="A464" s="32"/>
      <c r="B464" s="31"/>
      <c r="C464" s="31"/>
      <c r="D464" s="31"/>
      <c r="E464" s="29"/>
    </row>
    <row r="465" ht="15.0" customHeight="1">
      <c r="A465" s="32"/>
      <c r="B465" s="31"/>
      <c r="C465" s="31"/>
      <c r="D465" s="31"/>
      <c r="E465" s="29"/>
    </row>
    <row r="466" ht="15.0" customHeight="1">
      <c r="A466" s="32"/>
      <c r="B466" s="31"/>
      <c r="C466" s="31"/>
      <c r="D466" s="31"/>
      <c r="E466" s="29"/>
    </row>
    <row r="467" ht="15.0" customHeight="1">
      <c r="A467" s="32"/>
      <c r="B467" s="31"/>
      <c r="C467" s="31"/>
      <c r="D467" s="31"/>
      <c r="E467" s="29"/>
    </row>
    <row r="468" ht="15.0" customHeight="1">
      <c r="A468" s="32"/>
      <c r="B468" s="31"/>
      <c r="C468" s="31"/>
      <c r="D468" s="31"/>
      <c r="E468" s="29"/>
    </row>
    <row r="469" ht="15.0" customHeight="1">
      <c r="A469" s="32"/>
      <c r="B469" s="31"/>
      <c r="C469" s="31"/>
      <c r="D469" s="31"/>
      <c r="E469" s="29"/>
    </row>
    <row r="470" ht="15.0" customHeight="1">
      <c r="A470" s="32"/>
      <c r="B470" s="31"/>
      <c r="C470" s="31"/>
      <c r="D470" s="31"/>
      <c r="E470" s="29"/>
    </row>
    <row r="471" ht="15.0" customHeight="1">
      <c r="A471" s="32"/>
      <c r="B471" s="31"/>
      <c r="C471" s="31"/>
      <c r="D471" s="31"/>
      <c r="E471" s="29"/>
    </row>
    <row r="472" ht="15.0" customHeight="1">
      <c r="A472" s="32"/>
      <c r="B472" s="31"/>
      <c r="C472" s="31"/>
      <c r="D472" s="31"/>
      <c r="E472" s="29"/>
    </row>
    <row r="473" ht="15.0" customHeight="1">
      <c r="A473" s="32"/>
      <c r="B473" s="31"/>
      <c r="C473" s="31"/>
      <c r="D473" s="31"/>
      <c r="E473" s="29"/>
    </row>
    <row r="474" ht="15.0" customHeight="1">
      <c r="A474" s="32"/>
      <c r="B474" s="31"/>
      <c r="C474" s="31"/>
      <c r="D474" s="31"/>
      <c r="E474" s="29"/>
    </row>
    <row r="475" ht="15.0" customHeight="1">
      <c r="A475" s="32"/>
      <c r="B475" s="31"/>
      <c r="C475" s="31"/>
      <c r="D475" s="31"/>
      <c r="E475" s="29"/>
    </row>
    <row r="476" ht="15.0" customHeight="1">
      <c r="A476" s="32"/>
      <c r="B476" s="31"/>
      <c r="C476" s="31"/>
      <c r="D476" s="31"/>
      <c r="E476" s="29"/>
    </row>
    <row r="477" ht="15.0" customHeight="1">
      <c r="A477" s="32"/>
      <c r="B477" s="31"/>
      <c r="C477" s="31"/>
      <c r="D477" s="31"/>
      <c r="E477" s="29"/>
    </row>
    <row r="478" ht="15.0" customHeight="1">
      <c r="A478" s="32"/>
      <c r="B478" s="31"/>
      <c r="C478" s="31"/>
      <c r="D478" s="31"/>
      <c r="E478" s="29"/>
    </row>
    <row r="479" ht="15.0" customHeight="1">
      <c r="A479" s="32"/>
      <c r="B479" s="31"/>
      <c r="C479" s="31"/>
      <c r="D479" s="31"/>
      <c r="E479" s="29"/>
    </row>
    <row r="480" ht="15.0" customHeight="1">
      <c r="A480" s="32"/>
      <c r="B480" s="31"/>
      <c r="C480" s="31"/>
      <c r="D480" s="31"/>
      <c r="E480" s="29"/>
    </row>
    <row r="481" ht="15.0" customHeight="1">
      <c r="A481" s="32"/>
      <c r="B481" s="31"/>
      <c r="C481" s="31"/>
      <c r="D481" s="31"/>
      <c r="E481" s="29"/>
    </row>
    <row r="482" ht="15.0" customHeight="1">
      <c r="A482" s="32"/>
      <c r="B482" s="31"/>
      <c r="C482" s="31"/>
      <c r="D482" s="31"/>
      <c r="E482" s="29"/>
    </row>
    <row r="483" ht="15.0" customHeight="1">
      <c r="A483" s="32"/>
      <c r="B483" s="31"/>
      <c r="C483" s="31"/>
      <c r="D483" s="31"/>
      <c r="E483" s="29"/>
    </row>
    <row r="484" ht="15.0" customHeight="1">
      <c r="A484" s="32"/>
      <c r="B484" s="31"/>
      <c r="C484" s="31"/>
      <c r="D484" s="31"/>
      <c r="E484" s="29"/>
    </row>
    <row r="485" ht="15.0" customHeight="1">
      <c r="A485" s="32"/>
      <c r="B485" s="31"/>
      <c r="C485" s="31"/>
      <c r="D485" s="31"/>
      <c r="E485" s="29"/>
    </row>
    <row r="486" ht="15.0" customHeight="1">
      <c r="A486" s="32"/>
      <c r="B486" s="31"/>
      <c r="C486" s="31"/>
      <c r="D486" s="31"/>
      <c r="E486" s="29"/>
    </row>
    <row r="487" ht="15.0" customHeight="1">
      <c r="A487" s="32"/>
      <c r="B487" s="31"/>
      <c r="C487" s="31"/>
      <c r="D487" s="31"/>
      <c r="E487" s="29"/>
    </row>
    <row r="488" ht="15.0" customHeight="1">
      <c r="A488" s="32"/>
      <c r="B488" s="31"/>
      <c r="C488" s="31"/>
      <c r="D488" s="31"/>
      <c r="E488" s="29"/>
    </row>
    <row r="489" ht="15.0" customHeight="1">
      <c r="A489" s="32"/>
      <c r="B489" s="31"/>
      <c r="C489" s="31"/>
      <c r="D489" s="31"/>
      <c r="E489" s="29"/>
    </row>
    <row r="490" ht="15.0" customHeight="1">
      <c r="A490" s="32"/>
      <c r="B490" s="31"/>
      <c r="C490" s="31"/>
      <c r="D490" s="31"/>
      <c r="E490" s="29"/>
    </row>
    <row r="491" ht="15.0" customHeight="1">
      <c r="A491" s="32"/>
      <c r="B491" s="31"/>
      <c r="C491" s="31"/>
      <c r="D491" s="31"/>
      <c r="E491" s="29"/>
    </row>
    <row r="492" ht="15.0" customHeight="1">
      <c r="A492" s="32"/>
      <c r="B492" s="31"/>
      <c r="C492" s="31"/>
      <c r="D492" s="31"/>
      <c r="E492" s="29"/>
    </row>
    <row r="493" ht="15.0" customHeight="1">
      <c r="A493" s="32"/>
      <c r="B493" s="31"/>
      <c r="C493" s="31"/>
      <c r="D493" s="31"/>
      <c r="E493" s="29"/>
    </row>
    <row r="494" ht="15.0" customHeight="1">
      <c r="A494" s="32"/>
      <c r="B494" s="31"/>
      <c r="C494" s="31"/>
      <c r="D494" s="31"/>
      <c r="E494" s="29"/>
    </row>
    <row r="495" ht="15.0" customHeight="1">
      <c r="A495" s="32"/>
      <c r="B495" s="31"/>
      <c r="C495" s="31"/>
      <c r="D495" s="31"/>
      <c r="E495" s="29"/>
    </row>
    <row r="496" ht="15.0" customHeight="1">
      <c r="A496" s="32"/>
      <c r="B496" s="31"/>
      <c r="C496" s="31"/>
      <c r="D496" s="31"/>
      <c r="E496" s="29"/>
    </row>
    <row r="497" ht="15.0" customHeight="1">
      <c r="A497" s="32"/>
      <c r="B497" s="31"/>
      <c r="C497" s="31"/>
      <c r="D497" s="31"/>
      <c r="E497" s="29"/>
    </row>
    <row r="498" ht="15.0" customHeight="1">
      <c r="A498" s="32"/>
      <c r="B498" s="31"/>
      <c r="C498" s="31"/>
      <c r="D498" s="31"/>
      <c r="E498" s="29"/>
    </row>
    <row r="499" ht="15.0" customHeight="1">
      <c r="A499" s="32"/>
      <c r="B499" s="31"/>
      <c r="C499" s="31"/>
      <c r="D499" s="31"/>
      <c r="E499" s="29"/>
    </row>
    <row r="500" ht="15.0" customHeight="1">
      <c r="A500" s="32"/>
      <c r="B500" s="31"/>
      <c r="C500" s="31"/>
      <c r="D500" s="31"/>
      <c r="E500" s="29"/>
    </row>
    <row r="501" ht="15.0" customHeight="1">
      <c r="A501" s="32"/>
      <c r="B501" s="31"/>
      <c r="C501" s="31"/>
      <c r="D501" s="31"/>
      <c r="E501" s="29"/>
    </row>
    <row r="502" ht="15.0" customHeight="1">
      <c r="A502" s="32"/>
      <c r="B502" s="31"/>
      <c r="C502" s="31"/>
      <c r="D502" s="31"/>
      <c r="E502" s="29"/>
    </row>
    <row r="503" ht="15.0" customHeight="1">
      <c r="A503" s="32"/>
      <c r="B503" s="31"/>
      <c r="C503" s="31"/>
      <c r="D503" s="31"/>
      <c r="E503" s="29"/>
    </row>
    <row r="504" ht="15.0" customHeight="1">
      <c r="A504" s="32"/>
      <c r="B504" s="31"/>
      <c r="C504" s="31"/>
      <c r="D504" s="31"/>
      <c r="E504" s="29"/>
    </row>
    <row r="505" ht="15.0" customHeight="1">
      <c r="A505" s="32"/>
      <c r="B505" s="31"/>
      <c r="C505" s="31"/>
      <c r="D505" s="31"/>
      <c r="E505" s="29"/>
    </row>
    <row r="506" ht="15.0" customHeight="1">
      <c r="A506" s="32"/>
      <c r="B506" s="31"/>
      <c r="C506" s="31"/>
      <c r="D506" s="31"/>
      <c r="E506" s="29"/>
    </row>
    <row r="507" ht="15.0" customHeight="1">
      <c r="A507" s="32"/>
      <c r="B507" s="31"/>
      <c r="C507" s="31"/>
      <c r="D507" s="31"/>
      <c r="E507" s="29"/>
    </row>
    <row r="508" ht="15.0" customHeight="1">
      <c r="A508" s="32"/>
      <c r="B508" s="31"/>
      <c r="C508" s="31"/>
      <c r="D508" s="31"/>
      <c r="E508" s="29"/>
    </row>
    <row r="509" ht="15.0" customHeight="1">
      <c r="A509" s="32"/>
      <c r="B509" s="31"/>
      <c r="C509" s="31"/>
      <c r="D509" s="31"/>
      <c r="E509" s="29"/>
    </row>
    <row r="510" ht="15.0" customHeight="1">
      <c r="A510" s="32"/>
      <c r="B510" s="31"/>
      <c r="C510" s="31"/>
      <c r="D510" s="31"/>
      <c r="E510" s="29"/>
    </row>
    <row r="511" ht="15.0" customHeight="1">
      <c r="A511" s="32"/>
      <c r="B511" s="31"/>
      <c r="C511" s="31"/>
      <c r="D511" s="31"/>
      <c r="E511" s="29"/>
    </row>
    <row r="512" ht="15.0" customHeight="1">
      <c r="A512" s="32"/>
      <c r="B512" s="31"/>
      <c r="C512" s="31"/>
      <c r="D512" s="31"/>
      <c r="E512" s="29"/>
    </row>
    <row r="513" ht="15.0" customHeight="1">
      <c r="A513" s="32"/>
      <c r="B513" s="31"/>
      <c r="C513" s="31"/>
      <c r="D513" s="31"/>
      <c r="E513" s="29"/>
    </row>
    <row r="514" ht="15.0" customHeight="1">
      <c r="A514" s="32"/>
      <c r="B514" s="31"/>
      <c r="C514" s="31"/>
      <c r="D514" s="31"/>
      <c r="E514" s="29"/>
    </row>
    <row r="515" ht="15.0" customHeight="1">
      <c r="A515" s="32"/>
      <c r="B515" s="31"/>
      <c r="C515" s="31"/>
      <c r="D515" s="31"/>
      <c r="E515" s="29"/>
    </row>
    <row r="516" ht="15.0" customHeight="1">
      <c r="A516" s="32"/>
      <c r="B516" s="31"/>
      <c r="C516" s="31"/>
      <c r="D516" s="31"/>
      <c r="E516" s="29"/>
    </row>
    <row r="517" ht="15.0" customHeight="1">
      <c r="A517" s="32"/>
      <c r="B517" s="31"/>
      <c r="C517" s="31"/>
      <c r="D517" s="31"/>
      <c r="E517" s="29"/>
    </row>
    <row r="518" ht="15.0" customHeight="1">
      <c r="A518" s="32"/>
      <c r="B518" s="31"/>
      <c r="C518" s="31"/>
      <c r="D518" s="31"/>
      <c r="E518" s="29"/>
    </row>
    <row r="519" ht="15.0" customHeight="1">
      <c r="A519" s="32"/>
      <c r="B519" s="31"/>
      <c r="C519" s="31"/>
      <c r="D519" s="31"/>
      <c r="E519" s="29"/>
    </row>
    <row r="520" ht="15.0" customHeight="1">
      <c r="A520" s="32"/>
      <c r="B520" s="31"/>
      <c r="C520" s="31"/>
      <c r="D520" s="31"/>
      <c r="E520" s="29"/>
    </row>
    <row r="521" ht="15.0" customHeight="1">
      <c r="A521" s="32"/>
      <c r="B521" s="31"/>
      <c r="C521" s="31"/>
      <c r="D521" s="31"/>
      <c r="E521" s="29"/>
    </row>
    <row r="522" ht="15.0" customHeight="1">
      <c r="A522" s="32"/>
      <c r="B522" s="31"/>
      <c r="C522" s="31"/>
      <c r="D522" s="31"/>
      <c r="E522" s="29"/>
    </row>
    <row r="523" ht="15.0" customHeight="1">
      <c r="A523" s="32"/>
      <c r="B523" s="31"/>
      <c r="C523" s="31"/>
      <c r="D523" s="31"/>
      <c r="E523" s="29"/>
    </row>
    <row r="524" ht="15.0" customHeight="1">
      <c r="A524" s="32"/>
      <c r="B524" s="31"/>
      <c r="C524" s="31"/>
      <c r="D524" s="31"/>
      <c r="E524" s="29"/>
    </row>
    <row r="525" ht="15.0" customHeight="1">
      <c r="A525" s="32"/>
      <c r="B525" s="31"/>
      <c r="C525" s="31"/>
      <c r="D525" s="31"/>
      <c r="E525" s="29"/>
    </row>
    <row r="526" ht="15.0" customHeight="1">
      <c r="A526" s="32"/>
      <c r="B526" s="31"/>
      <c r="C526" s="31"/>
      <c r="D526" s="31"/>
      <c r="E526" s="29"/>
    </row>
    <row r="527" ht="15.0" customHeight="1">
      <c r="A527" s="32"/>
      <c r="B527" s="31"/>
      <c r="C527" s="31"/>
      <c r="D527" s="31"/>
      <c r="E527" s="29"/>
    </row>
    <row r="528" ht="15.0" customHeight="1">
      <c r="A528" s="32"/>
      <c r="B528" s="31"/>
      <c r="C528" s="31"/>
      <c r="D528" s="31"/>
      <c r="E528" s="29"/>
    </row>
    <row r="529" ht="15.0" customHeight="1">
      <c r="A529" s="32"/>
      <c r="B529" s="31"/>
      <c r="C529" s="31"/>
      <c r="D529" s="31"/>
      <c r="E529" s="29"/>
    </row>
    <row r="530" ht="15.0" customHeight="1">
      <c r="A530" s="32"/>
      <c r="B530" s="31"/>
      <c r="C530" s="31"/>
      <c r="D530" s="31"/>
      <c r="E530" s="29"/>
    </row>
    <row r="531" ht="15.0" customHeight="1">
      <c r="A531" s="32"/>
      <c r="B531" s="31"/>
      <c r="C531" s="31"/>
      <c r="D531" s="31"/>
      <c r="E531" s="29"/>
    </row>
    <row r="532" ht="15.0" customHeight="1">
      <c r="A532" s="32"/>
      <c r="B532" s="31"/>
      <c r="C532" s="31"/>
      <c r="D532" s="31"/>
      <c r="E532" s="29"/>
    </row>
    <row r="533" ht="15.0" customHeight="1">
      <c r="A533" s="32"/>
      <c r="B533" s="31"/>
      <c r="C533" s="31"/>
      <c r="D533" s="31"/>
      <c r="E533" s="29"/>
    </row>
    <row r="534" ht="15.0" customHeight="1">
      <c r="A534" s="32"/>
      <c r="B534" s="31"/>
      <c r="C534" s="31"/>
      <c r="D534" s="31"/>
      <c r="E534" s="29"/>
    </row>
    <row r="535" ht="15.0" customHeight="1">
      <c r="A535" s="32"/>
      <c r="B535" s="31"/>
      <c r="C535" s="31"/>
      <c r="D535" s="31"/>
      <c r="E535" s="29"/>
    </row>
    <row r="536" ht="15.0" customHeight="1">
      <c r="A536" s="32"/>
      <c r="B536" s="31"/>
      <c r="C536" s="31"/>
      <c r="D536" s="31"/>
      <c r="E536" s="29"/>
    </row>
    <row r="537" ht="15.0" customHeight="1">
      <c r="A537" s="32"/>
      <c r="B537" s="31"/>
      <c r="C537" s="31"/>
      <c r="D537" s="31"/>
      <c r="E537" s="29"/>
    </row>
    <row r="538" ht="15.0" customHeight="1">
      <c r="A538" s="32"/>
      <c r="B538" s="31"/>
      <c r="C538" s="31"/>
      <c r="D538" s="31"/>
      <c r="E538" s="29"/>
    </row>
    <row r="539" ht="15.0" customHeight="1">
      <c r="A539" s="32"/>
      <c r="B539" s="31"/>
      <c r="C539" s="31"/>
      <c r="D539" s="31"/>
      <c r="E539" s="29"/>
    </row>
    <row r="540" ht="15.0" customHeight="1">
      <c r="A540" s="32"/>
      <c r="B540" s="31"/>
      <c r="C540" s="31"/>
      <c r="D540" s="31"/>
      <c r="E540" s="29"/>
    </row>
    <row r="541" ht="15.0" customHeight="1">
      <c r="A541" s="32"/>
      <c r="B541" s="31"/>
      <c r="C541" s="31"/>
      <c r="D541" s="31"/>
      <c r="E541" s="29"/>
    </row>
    <row r="542" ht="15.0" customHeight="1">
      <c r="A542" s="32"/>
      <c r="B542" s="31"/>
      <c r="C542" s="31"/>
      <c r="D542" s="31"/>
      <c r="E542" s="29"/>
    </row>
    <row r="543" ht="15.0" customHeight="1">
      <c r="A543" s="32"/>
      <c r="B543" s="31"/>
      <c r="C543" s="31"/>
      <c r="D543" s="31"/>
      <c r="E543" s="29"/>
    </row>
    <row r="544" ht="15.0" customHeight="1">
      <c r="A544" s="32"/>
      <c r="B544" s="31"/>
      <c r="C544" s="31"/>
      <c r="D544" s="31"/>
      <c r="E544" s="29"/>
    </row>
    <row r="545" ht="15.0" customHeight="1">
      <c r="A545" s="32"/>
      <c r="B545" s="31"/>
      <c r="C545" s="31"/>
      <c r="D545" s="31"/>
      <c r="E545" s="29"/>
    </row>
    <row r="546" ht="15.0" customHeight="1">
      <c r="A546" s="32"/>
      <c r="B546" s="31"/>
      <c r="C546" s="31"/>
      <c r="D546" s="31"/>
      <c r="E546" s="29"/>
    </row>
    <row r="547" ht="15.0" customHeight="1">
      <c r="A547" s="32"/>
      <c r="B547" s="31"/>
      <c r="C547" s="31"/>
      <c r="D547" s="31"/>
      <c r="E547" s="29"/>
    </row>
    <row r="548" ht="15.0" customHeight="1">
      <c r="A548" s="32"/>
      <c r="B548" s="31"/>
      <c r="C548" s="31"/>
      <c r="D548" s="31"/>
      <c r="E548" s="29"/>
    </row>
    <row r="549" ht="15.0" customHeight="1">
      <c r="A549" s="32"/>
      <c r="B549" s="31"/>
      <c r="C549" s="31"/>
      <c r="D549" s="31"/>
      <c r="E549" s="29"/>
    </row>
    <row r="550" ht="15.0" customHeight="1">
      <c r="A550" s="32"/>
      <c r="B550" s="31"/>
      <c r="C550" s="31"/>
      <c r="D550" s="31"/>
      <c r="E550" s="29"/>
    </row>
    <row r="551" ht="15.0" customHeight="1">
      <c r="A551" s="32"/>
      <c r="B551" s="31"/>
      <c r="C551" s="31"/>
      <c r="D551" s="31"/>
      <c r="E551" s="29"/>
    </row>
    <row r="552" ht="15.0" customHeight="1">
      <c r="A552" s="32"/>
      <c r="B552" s="31"/>
      <c r="C552" s="31"/>
      <c r="D552" s="31"/>
      <c r="E552" s="29"/>
    </row>
    <row r="553" ht="15.0" customHeight="1">
      <c r="A553" s="32"/>
      <c r="B553" s="31"/>
      <c r="C553" s="31"/>
      <c r="D553" s="31"/>
      <c r="E553" s="29"/>
    </row>
    <row r="554" ht="15.0" customHeight="1">
      <c r="A554" s="32"/>
      <c r="B554" s="31"/>
      <c r="C554" s="31"/>
      <c r="D554" s="31"/>
      <c r="E554" s="29"/>
    </row>
    <row r="555" ht="15.0" customHeight="1">
      <c r="A555" s="32"/>
      <c r="B555" s="31"/>
      <c r="C555" s="31"/>
      <c r="D555" s="31"/>
      <c r="E555" s="29"/>
    </row>
    <row r="556" ht="15.0" customHeight="1">
      <c r="A556" s="32"/>
      <c r="B556" s="31"/>
      <c r="C556" s="31"/>
      <c r="D556" s="31"/>
      <c r="E556" s="29"/>
    </row>
    <row r="557" ht="15.0" customHeight="1">
      <c r="A557" s="32"/>
      <c r="B557" s="31"/>
      <c r="C557" s="31"/>
      <c r="D557" s="31"/>
      <c r="E557" s="29"/>
    </row>
    <row r="558" ht="15.0" customHeight="1">
      <c r="A558" s="32"/>
      <c r="B558" s="31"/>
      <c r="C558" s="31"/>
      <c r="D558" s="31"/>
      <c r="E558" s="29"/>
    </row>
    <row r="559" ht="15.0" customHeight="1">
      <c r="A559" s="32"/>
      <c r="B559" s="31"/>
      <c r="C559" s="31"/>
      <c r="D559" s="31"/>
      <c r="E559" s="29"/>
    </row>
    <row r="560" ht="15.0" customHeight="1">
      <c r="A560" s="32"/>
      <c r="B560" s="31"/>
      <c r="C560" s="31"/>
      <c r="D560" s="31"/>
      <c r="E560" s="29"/>
    </row>
    <row r="561" ht="15.0" customHeight="1">
      <c r="A561" s="32"/>
      <c r="B561" s="31"/>
      <c r="C561" s="31"/>
      <c r="D561" s="31"/>
      <c r="E561" s="29"/>
    </row>
    <row r="562" ht="15.0" customHeight="1">
      <c r="A562" s="32"/>
      <c r="B562" s="31"/>
      <c r="C562" s="31"/>
      <c r="D562" s="31"/>
      <c r="E562" s="29"/>
    </row>
    <row r="563" ht="15.0" customHeight="1">
      <c r="A563" s="32"/>
      <c r="B563" s="31"/>
      <c r="C563" s="31"/>
      <c r="D563" s="31"/>
      <c r="E563" s="29"/>
    </row>
    <row r="564" ht="15.0" customHeight="1">
      <c r="A564" s="32"/>
      <c r="B564" s="31"/>
      <c r="C564" s="31"/>
      <c r="D564" s="31"/>
      <c r="E564" s="29"/>
    </row>
    <row r="565" ht="15.0" customHeight="1">
      <c r="A565" s="32"/>
      <c r="B565" s="31"/>
      <c r="C565" s="31"/>
      <c r="D565" s="31"/>
      <c r="E565" s="29"/>
    </row>
    <row r="566" ht="15.0" customHeight="1">
      <c r="A566" s="32"/>
      <c r="B566" s="31"/>
      <c r="C566" s="31"/>
      <c r="D566" s="31"/>
      <c r="E566" s="29"/>
    </row>
    <row r="567" ht="15.0" customHeight="1">
      <c r="A567" s="32"/>
      <c r="B567" s="31"/>
      <c r="C567" s="31"/>
      <c r="D567" s="31"/>
      <c r="E567" s="29"/>
    </row>
    <row r="568" ht="15.0" customHeight="1">
      <c r="A568" s="32"/>
      <c r="B568" s="31"/>
      <c r="C568" s="31"/>
      <c r="D568" s="31"/>
      <c r="E568" s="29"/>
    </row>
    <row r="569" ht="15.0" customHeight="1">
      <c r="A569" s="32"/>
      <c r="B569" s="31"/>
      <c r="C569" s="31"/>
      <c r="D569" s="31"/>
      <c r="E569" s="29"/>
    </row>
    <row r="570" ht="15.0" customHeight="1">
      <c r="A570" s="32"/>
      <c r="B570" s="31"/>
      <c r="C570" s="31"/>
      <c r="D570" s="31"/>
      <c r="E570" s="29"/>
    </row>
    <row r="571" ht="15.0" customHeight="1">
      <c r="A571" s="32"/>
      <c r="B571" s="31"/>
      <c r="C571" s="31"/>
      <c r="D571" s="31"/>
      <c r="E571" s="29"/>
    </row>
    <row r="572" ht="15.0" customHeight="1">
      <c r="A572" s="32"/>
      <c r="B572" s="31"/>
      <c r="C572" s="31"/>
      <c r="D572" s="31"/>
      <c r="E572" s="29"/>
    </row>
    <row r="573" ht="15.0" customHeight="1">
      <c r="A573" s="32"/>
      <c r="B573" s="31"/>
      <c r="C573" s="31"/>
      <c r="D573" s="31"/>
      <c r="E573" s="29"/>
    </row>
    <row r="574" ht="15.0" customHeight="1">
      <c r="A574" s="32"/>
      <c r="B574" s="31"/>
      <c r="C574" s="31"/>
      <c r="D574" s="31"/>
      <c r="E574" s="29"/>
    </row>
    <row r="575" ht="15.0" customHeight="1">
      <c r="A575" s="32"/>
      <c r="B575" s="31"/>
      <c r="C575" s="31"/>
      <c r="D575" s="31"/>
      <c r="E575" s="29"/>
    </row>
    <row r="576" ht="15.0" customHeight="1">
      <c r="A576" s="32"/>
      <c r="B576" s="31"/>
      <c r="C576" s="31"/>
      <c r="D576" s="31"/>
      <c r="E576" s="29"/>
    </row>
    <row r="577" ht="15.0" customHeight="1">
      <c r="A577" s="32"/>
      <c r="B577" s="31"/>
      <c r="C577" s="31"/>
      <c r="D577" s="31"/>
      <c r="E577" s="29"/>
    </row>
    <row r="578" ht="15.0" customHeight="1">
      <c r="A578" s="32"/>
      <c r="B578" s="31"/>
      <c r="C578" s="31"/>
      <c r="D578" s="31"/>
      <c r="E578" s="29"/>
    </row>
    <row r="579" ht="15.0" customHeight="1">
      <c r="A579" s="32"/>
      <c r="B579" s="31"/>
      <c r="C579" s="31"/>
      <c r="D579" s="31"/>
      <c r="E579" s="29"/>
    </row>
    <row r="580" ht="15.0" customHeight="1">
      <c r="A580" s="32"/>
      <c r="B580" s="31"/>
      <c r="C580" s="31"/>
      <c r="D580" s="31"/>
      <c r="E580" s="29"/>
    </row>
    <row r="581" ht="15.0" customHeight="1">
      <c r="A581" s="32"/>
      <c r="B581" s="31"/>
      <c r="C581" s="31"/>
      <c r="D581" s="31"/>
      <c r="E581" s="29"/>
    </row>
    <row r="582" ht="15.0" customHeight="1">
      <c r="A582" s="32"/>
      <c r="B582" s="31"/>
      <c r="C582" s="31"/>
      <c r="D582" s="31"/>
      <c r="E582" s="29"/>
    </row>
    <row r="583" ht="15.0" customHeight="1">
      <c r="A583" s="32"/>
      <c r="B583" s="31"/>
      <c r="C583" s="31"/>
      <c r="D583" s="31"/>
      <c r="E583" s="29"/>
    </row>
    <row r="584" ht="15.0" customHeight="1">
      <c r="A584" s="32"/>
      <c r="B584" s="31"/>
      <c r="C584" s="31"/>
      <c r="D584" s="31"/>
      <c r="E584" s="29"/>
    </row>
    <row r="585" ht="15.0" customHeight="1">
      <c r="A585" s="32"/>
      <c r="B585" s="31"/>
      <c r="C585" s="31"/>
      <c r="D585" s="31"/>
      <c r="E585" s="29"/>
    </row>
    <row r="586" ht="15.0" customHeight="1">
      <c r="A586" s="32"/>
      <c r="B586" s="31"/>
      <c r="C586" s="31"/>
      <c r="D586" s="31"/>
      <c r="E586" s="29"/>
    </row>
    <row r="587" ht="15.0" customHeight="1">
      <c r="A587" s="32"/>
      <c r="B587" s="31"/>
      <c r="C587" s="31"/>
      <c r="D587" s="31"/>
      <c r="E587" s="29"/>
    </row>
    <row r="588" ht="15.0" customHeight="1">
      <c r="A588" s="32"/>
      <c r="B588" s="31"/>
      <c r="C588" s="31"/>
      <c r="D588" s="31"/>
      <c r="E588" s="29"/>
    </row>
    <row r="589" ht="15.0" customHeight="1">
      <c r="A589" s="32"/>
      <c r="B589" s="31"/>
      <c r="C589" s="31"/>
      <c r="D589" s="31"/>
      <c r="E589" s="29"/>
    </row>
    <row r="590" ht="15.0" customHeight="1">
      <c r="A590" s="32"/>
      <c r="B590" s="31"/>
      <c r="C590" s="31"/>
      <c r="D590" s="31"/>
      <c r="E590" s="29"/>
    </row>
    <row r="591" ht="15.0" customHeight="1">
      <c r="A591" s="32"/>
      <c r="B591" s="31"/>
      <c r="C591" s="31"/>
      <c r="D591" s="31"/>
      <c r="E591" s="29"/>
    </row>
    <row r="592" ht="15.0" customHeight="1">
      <c r="A592" s="32"/>
      <c r="B592" s="31"/>
      <c r="C592" s="31"/>
      <c r="D592" s="31"/>
      <c r="E592" s="29"/>
    </row>
    <row r="593" ht="15.0" customHeight="1">
      <c r="A593" s="32"/>
      <c r="B593" s="31"/>
      <c r="C593" s="31"/>
      <c r="D593" s="31"/>
      <c r="E593" s="29"/>
    </row>
    <row r="594" ht="15.0" customHeight="1">
      <c r="A594" s="32"/>
      <c r="B594" s="31"/>
      <c r="C594" s="31"/>
      <c r="D594" s="31"/>
      <c r="E594" s="29"/>
    </row>
    <row r="595" ht="15.0" customHeight="1">
      <c r="A595" s="32"/>
      <c r="B595" s="31"/>
      <c r="C595" s="31"/>
      <c r="D595" s="31"/>
      <c r="E595" s="29"/>
    </row>
    <row r="596" ht="15.0" customHeight="1">
      <c r="A596" s="32"/>
      <c r="B596" s="31"/>
      <c r="C596" s="31"/>
      <c r="D596" s="31"/>
      <c r="E596" s="29"/>
    </row>
    <row r="597" ht="15.0" customHeight="1">
      <c r="A597" s="32"/>
      <c r="B597" s="31"/>
      <c r="C597" s="31"/>
      <c r="D597" s="31"/>
      <c r="E597" s="29"/>
    </row>
    <row r="598" ht="15.0" customHeight="1">
      <c r="A598" s="32"/>
      <c r="B598" s="31"/>
      <c r="C598" s="31"/>
      <c r="D598" s="31"/>
      <c r="E598" s="29"/>
    </row>
    <row r="599" ht="15.0" customHeight="1">
      <c r="A599" s="32"/>
      <c r="B599" s="31"/>
      <c r="C599" s="31"/>
      <c r="D599" s="31"/>
      <c r="E599" s="29"/>
    </row>
    <row r="600" ht="15.0" customHeight="1">
      <c r="A600" s="32"/>
      <c r="B600" s="31"/>
      <c r="C600" s="31"/>
      <c r="D600" s="31"/>
      <c r="E600" s="29"/>
    </row>
    <row r="601" ht="15.0" customHeight="1">
      <c r="A601" s="32"/>
      <c r="B601" s="31"/>
      <c r="C601" s="31"/>
      <c r="D601" s="31"/>
      <c r="E601" s="29"/>
    </row>
    <row r="602" ht="15.0" customHeight="1">
      <c r="A602" s="32"/>
      <c r="B602" s="31"/>
      <c r="C602" s="31"/>
      <c r="D602" s="31"/>
      <c r="E602" s="29"/>
    </row>
    <row r="603" ht="15.0" customHeight="1">
      <c r="A603" s="32"/>
      <c r="B603" s="31"/>
      <c r="C603" s="31"/>
      <c r="D603" s="31"/>
      <c r="E603" s="29"/>
    </row>
    <row r="604" ht="15.0" customHeight="1">
      <c r="A604" s="32"/>
      <c r="B604" s="31"/>
      <c r="C604" s="31"/>
      <c r="D604" s="31"/>
      <c r="E604" s="29"/>
    </row>
    <row r="605" ht="15.0" customHeight="1">
      <c r="A605" s="32"/>
      <c r="B605" s="31"/>
      <c r="C605" s="31"/>
      <c r="D605" s="31"/>
      <c r="E605" s="29"/>
    </row>
    <row r="606" ht="15.0" customHeight="1">
      <c r="A606" s="32"/>
      <c r="B606" s="31"/>
      <c r="C606" s="31"/>
      <c r="D606" s="31"/>
      <c r="E606" s="29"/>
    </row>
    <row r="607" ht="15.0" customHeight="1">
      <c r="A607" s="32"/>
      <c r="B607" s="31"/>
      <c r="C607" s="31"/>
      <c r="D607" s="31"/>
      <c r="E607" s="29"/>
    </row>
    <row r="608" ht="15.0" customHeight="1">
      <c r="A608" s="32"/>
      <c r="B608" s="31"/>
      <c r="C608" s="31"/>
      <c r="D608" s="31"/>
      <c r="E608" s="29"/>
    </row>
    <row r="609" ht="15.0" customHeight="1">
      <c r="A609" s="32"/>
      <c r="B609" s="31"/>
      <c r="C609" s="31"/>
      <c r="D609" s="31"/>
      <c r="E609" s="29"/>
    </row>
    <row r="610" ht="15.0" customHeight="1">
      <c r="A610" s="32"/>
      <c r="B610" s="31"/>
      <c r="C610" s="31"/>
      <c r="D610" s="31"/>
      <c r="E610" s="29"/>
    </row>
    <row r="611" ht="15.0" customHeight="1">
      <c r="A611" s="32"/>
      <c r="B611" s="31"/>
      <c r="C611" s="31"/>
      <c r="D611" s="31"/>
      <c r="E611" s="29"/>
    </row>
    <row r="612" ht="15.0" customHeight="1">
      <c r="A612" s="32"/>
      <c r="B612" s="31"/>
      <c r="C612" s="31"/>
      <c r="D612" s="31"/>
      <c r="E612" s="29"/>
    </row>
    <row r="613" ht="15.0" customHeight="1">
      <c r="A613" s="32"/>
      <c r="B613" s="31"/>
      <c r="C613" s="31"/>
      <c r="D613" s="31"/>
      <c r="E613" s="29"/>
    </row>
    <row r="614" ht="15.0" customHeight="1">
      <c r="A614" s="32"/>
      <c r="B614" s="31"/>
      <c r="C614" s="31"/>
      <c r="D614" s="31"/>
      <c r="E614" s="29"/>
    </row>
    <row r="615" ht="15.0" customHeight="1">
      <c r="A615" s="32"/>
      <c r="B615" s="31"/>
      <c r="C615" s="31"/>
      <c r="D615" s="31"/>
      <c r="E615" s="29"/>
    </row>
    <row r="616" ht="15.0" customHeight="1">
      <c r="A616" s="32"/>
      <c r="B616" s="31"/>
      <c r="C616" s="31"/>
      <c r="D616" s="31"/>
      <c r="E616" s="29"/>
    </row>
    <row r="617" ht="15.0" customHeight="1">
      <c r="A617" s="32"/>
      <c r="B617" s="31"/>
      <c r="C617" s="31"/>
      <c r="D617" s="31"/>
      <c r="E617" s="29"/>
    </row>
    <row r="618" ht="15.0" customHeight="1">
      <c r="A618" s="32"/>
      <c r="B618" s="31"/>
      <c r="C618" s="31"/>
      <c r="D618" s="31"/>
      <c r="E618" s="29"/>
    </row>
    <row r="619" ht="15.0" customHeight="1">
      <c r="A619" s="32"/>
      <c r="B619" s="31"/>
      <c r="C619" s="31"/>
      <c r="D619" s="31"/>
      <c r="E619" s="29"/>
    </row>
    <row r="620" ht="15.0" customHeight="1">
      <c r="A620" s="32"/>
      <c r="B620" s="31"/>
      <c r="C620" s="31"/>
      <c r="D620" s="31"/>
      <c r="E620" s="29"/>
    </row>
    <row r="621" ht="15.0" customHeight="1">
      <c r="A621" s="32"/>
      <c r="B621" s="31"/>
      <c r="C621" s="31"/>
      <c r="D621" s="31"/>
      <c r="E621" s="29"/>
    </row>
    <row r="622" ht="15.0" customHeight="1">
      <c r="A622" s="32"/>
      <c r="B622" s="31"/>
      <c r="C622" s="31"/>
      <c r="D622" s="31"/>
      <c r="E622" s="29"/>
    </row>
    <row r="623" ht="15.0" customHeight="1">
      <c r="A623" s="32"/>
      <c r="B623" s="31"/>
      <c r="C623" s="31"/>
      <c r="D623" s="31"/>
      <c r="E623" s="29"/>
    </row>
    <row r="624" ht="15.0" customHeight="1">
      <c r="A624" s="32"/>
      <c r="B624" s="31"/>
      <c r="C624" s="31"/>
      <c r="D624" s="31"/>
      <c r="E624" s="29"/>
    </row>
    <row r="625" ht="15.0" customHeight="1">
      <c r="A625" s="32"/>
      <c r="B625" s="31"/>
      <c r="C625" s="31"/>
      <c r="D625" s="31"/>
      <c r="E625" s="29"/>
    </row>
    <row r="626" ht="15.0" customHeight="1">
      <c r="A626" s="32"/>
      <c r="B626" s="31"/>
      <c r="C626" s="31"/>
      <c r="D626" s="31"/>
      <c r="E626" s="29"/>
    </row>
    <row r="627" ht="15.0" customHeight="1">
      <c r="A627" s="32"/>
      <c r="B627" s="31"/>
      <c r="C627" s="31"/>
      <c r="D627" s="31"/>
      <c r="E627" s="29"/>
    </row>
    <row r="628" ht="15.0" customHeight="1">
      <c r="A628" s="32"/>
      <c r="B628" s="31"/>
      <c r="C628" s="31"/>
      <c r="D628" s="31"/>
      <c r="E628" s="29"/>
    </row>
    <row r="629" ht="15.0" customHeight="1">
      <c r="A629" s="32"/>
      <c r="B629" s="31"/>
      <c r="C629" s="31"/>
      <c r="D629" s="31"/>
      <c r="E629" s="29"/>
    </row>
    <row r="630" ht="15.0" customHeight="1">
      <c r="A630" s="32"/>
      <c r="B630" s="31"/>
      <c r="C630" s="31"/>
      <c r="D630" s="31"/>
      <c r="E630" s="29"/>
    </row>
    <row r="631" ht="15.0" customHeight="1">
      <c r="A631" s="32"/>
      <c r="B631" s="31"/>
      <c r="C631" s="31"/>
      <c r="D631" s="31"/>
      <c r="E631" s="29"/>
    </row>
    <row r="632" ht="15.0" customHeight="1">
      <c r="A632" s="32"/>
      <c r="B632" s="31"/>
      <c r="C632" s="31"/>
      <c r="D632" s="31"/>
      <c r="E632" s="29"/>
    </row>
    <row r="633" ht="15.0" customHeight="1">
      <c r="A633" s="32"/>
      <c r="B633" s="31"/>
      <c r="C633" s="31"/>
      <c r="D633" s="31"/>
      <c r="E633" s="29"/>
    </row>
    <row r="634" ht="15.0" customHeight="1">
      <c r="A634" s="32"/>
      <c r="B634" s="31"/>
      <c r="C634" s="31"/>
      <c r="D634" s="31"/>
      <c r="E634" s="29"/>
    </row>
    <row r="635" ht="15.0" customHeight="1">
      <c r="A635" s="32"/>
      <c r="B635" s="31"/>
      <c r="C635" s="31"/>
      <c r="D635" s="31"/>
      <c r="E635" s="29"/>
    </row>
    <row r="636" ht="15.0" customHeight="1">
      <c r="A636" s="32"/>
      <c r="B636" s="31"/>
      <c r="C636" s="31"/>
      <c r="D636" s="31"/>
      <c r="E636" s="29"/>
    </row>
    <row r="637" ht="15.0" customHeight="1">
      <c r="A637" s="32"/>
      <c r="B637" s="31"/>
      <c r="C637" s="31"/>
      <c r="D637" s="31"/>
      <c r="E637" s="29"/>
    </row>
    <row r="638" ht="15.0" customHeight="1">
      <c r="A638" s="32"/>
      <c r="B638" s="31"/>
      <c r="C638" s="31"/>
      <c r="D638" s="31"/>
      <c r="E638" s="29"/>
    </row>
    <row r="639" ht="15.0" customHeight="1">
      <c r="A639" s="32"/>
      <c r="B639" s="31"/>
      <c r="C639" s="31"/>
      <c r="D639" s="31"/>
      <c r="E639" s="29"/>
    </row>
    <row r="640" ht="15.0" customHeight="1">
      <c r="A640" s="32"/>
      <c r="B640" s="31"/>
      <c r="C640" s="31"/>
      <c r="D640" s="31"/>
      <c r="E640" s="29"/>
    </row>
    <row r="641" ht="15.0" customHeight="1">
      <c r="A641" s="32"/>
      <c r="B641" s="31"/>
      <c r="C641" s="31"/>
      <c r="D641" s="31"/>
      <c r="E641" s="29"/>
    </row>
    <row r="642" ht="15.0" customHeight="1">
      <c r="A642" s="32"/>
      <c r="B642" s="31"/>
      <c r="C642" s="31"/>
      <c r="D642" s="31"/>
      <c r="E642" s="29"/>
    </row>
    <row r="643" ht="15.0" customHeight="1">
      <c r="A643" s="32"/>
      <c r="B643" s="31"/>
      <c r="C643" s="31"/>
      <c r="D643" s="31"/>
      <c r="E643" s="29"/>
    </row>
    <row r="644" ht="15.0" customHeight="1">
      <c r="A644" s="32"/>
      <c r="B644" s="31"/>
      <c r="C644" s="31"/>
      <c r="D644" s="31"/>
      <c r="E644" s="29"/>
    </row>
    <row r="645" ht="15.0" customHeight="1">
      <c r="A645" s="32"/>
      <c r="B645" s="31"/>
      <c r="C645" s="31"/>
      <c r="D645" s="31"/>
      <c r="E645" s="29"/>
    </row>
    <row r="646" ht="15.0" customHeight="1">
      <c r="A646" s="32"/>
      <c r="B646" s="31"/>
      <c r="C646" s="31"/>
      <c r="D646" s="31"/>
      <c r="E646" s="29"/>
    </row>
    <row r="647" ht="15.0" customHeight="1">
      <c r="A647" s="32"/>
      <c r="B647" s="31"/>
      <c r="C647" s="31"/>
      <c r="D647" s="31"/>
      <c r="E647" s="29"/>
    </row>
    <row r="648" ht="15.0" customHeight="1">
      <c r="A648" s="32"/>
      <c r="B648" s="31"/>
      <c r="C648" s="31"/>
      <c r="D648" s="31"/>
      <c r="E648" s="29"/>
    </row>
    <row r="649" ht="15.0" customHeight="1">
      <c r="A649" s="32"/>
      <c r="B649" s="31"/>
      <c r="C649" s="31"/>
      <c r="D649" s="31"/>
      <c r="E649" s="29"/>
    </row>
    <row r="650" ht="15.0" customHeight="1">
      <c r="A650" s="32"/>
      <c r="B650" s="31"/>
      <c r="C650" s="31"/>
      <c r="D650" s="31"/>
      <c r="E650" s="29"/>
    </row>
    <row r="651" ht="15.0" customHeight="1">
      <c r="A651" s="32"/>
      <c r="B651" s="31"/>
      <c r="C651" s="31"/>
      <c r="D651" s="31"/>
      <c r="E651" s="29"/>
    </row>
    <row r="652" ht="15.0" customHeight="1">
      <c r="A652" s="32"/>
      <c r="B652" s="31"/>
      <c r="C652" s="31"/>
      <c r="D652" s="31"/>
      <c r="E652" s="29"/>
    </row>
    <row r="653" ht="15.0" customHeight="1">
      <c r="A653" s="32"/>
      <c r="B653" s="31"/>
      <c r="C653" s="31"/>
      <c r="D653" s="31"/>
      <c r="E653" s="29"/>
    </row>
    <row r="654" ht="15.0" customHeight="1">
      <c r="A654" s="32"/>
      <c r="B654" s="31"/>
      <c r="C654" s="31"/>
      <c r="D654" s="31"/>
      <c r="E654" s="29"/>
    </row>
    <row r="655" ht="15.0" customHeight="1">
      <c r="A655" s="32"/>
      <c r="B655" s="31"/>
      <c r="C655" s="31"/>
      <c r="D655" s="31"/>
      <c r="E655" s="29"/>
    </row>
    <row r="656" ht="15.0" customHeight="1">
      <c r="A656" s="32"/>
      <c r="B656" s="31"/>
      <c r="C656" s="31"/>
      <c r="D656" s="31"/>
      <c r="E656" s="29"/>
    </row>
    <row r="657" ht="15.0" customHeight="1">
      <c r="A657" s="32"/>
      <c r="B657" s="31"/>
      <c r="C657" s="31"/>
      <c r="D657" s="31"/>
      <c r="E657" s="29"/>
    </row>
    <row r="658" ht="15.0" customHeight="1">
      <c r="A658" s="32"/>
      <c r="B658" s="31"/>
      <c r="C658" s="31"/>
      <c r="D658" s="31"/>
      <c r="E658" s="29"/>
    </row>
    <row r="659" ht="15.0" customHeight="1">
      <c r="A659" s="32"/>
      <c r="B659" s="31"/>
      <c r="C659" s="31"/>
      <c r="D659" s="31"/>
      <c r="E659" s="29"/>
    </row>
    <row r="660" ht="15.0" customHeight="1">
      <c r="A660" s="32"/>
      <c r="B660" s="31"/>
      <c r="C660" s="31"/>
      <c r="D660" s="31"/>
      <c r="E660" s="29"/>
    </row>
    <row r="661" ht="15.0" customHeight="1">
      <c r="A661" s="32"/>
      <c r="B661" s="31"/>
      <c r="C661" s="31"/>
      <c r="D661" s="31"/>
      <c r="E661" s="29"/>
    </row>
  </sheetData>
  <autoFilter ref="$A$3:$E$160">
    <sortState ref="A3:E160">
      <sortCondition ref="B3:B160"/>
    </sortState>
  </autoFilter>
  <mergeCells count="4">
    <mergeCell ref="B2:D2"/>
    <mergeCell ref="B157:D157"/>
    <mergeCell ref="B158:D158"/>
    <mergeCell ref="B159:D159"/>
  </mergeCells>
  <hyperlinks>
    <hyperlink r:id="rId1" ref="B158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75"/>
  <cols>
    <col customWidth="1" min="1" max="1" width="7.0"/>
    <col customWidth="1" min="2" max="2" width="34.13"/>
    <col customWidth="1" min="3" max="3" width="5.0"/>
    <col customWidth="1" min="4" max="4" width="63.25"/>
    <col customWidth="1" min="5" max="5" width="7.13"/>
  </cols>
  <sheetData>
    <row r="1" ht="15.0" customHeight="1">
      <c r="A1" s="33"/>
      <c r="B1" s="2"/>
      <c r="C1" s="2"/>
      <c r="D1" s="2"/>
      <c r="E1" s="3"/>
    </row>
    <row r="2" ht="15.0" customHeight="1">
      <c r="A2" s="4"/>
      <c r="B2" s="5" t="s">
        <v>0</v>
      </c>
      <c r="C2" s="6"/>
      <c r="D2" s="7"/>
      <c r="E2" s="8"/>
    </row>
    <row r="3" ht="15.0" customHeight="1">
      <c r="A3" s="9"/>
      <c r="B3" s="10" t="s">
        <v>1</v>
      </c>
      <c r="C3" s="10"/>
      <c r="D3" s="10" t="s">
        <v>2</v>
      </c>
      <c r="E3" s="11"/>
    </row>
    <row r="4" ht="15.0" customHeight="1">
      <c r="A4" s="12"/>
      <c r="B4" s="13" t="s">
        <v>3</v>
      </c>
      <c r="C4" s="14"/>
      <c r="D4" s="14"/>
      <c r="E4" s="15"/>
    </row>
    <row r="5" ht="15.0" customHeight="1">
      <c r="A5" s="16"/>
      <c r="B5" s="34" t="s">
        <v>4</v>
      </c>
      <c r="C5" s="17" t="s">
        <v>5</v>
      </c>
      <c r="D5" s="18" t="s">
        <v>6</v>
      </c>
      <c r="E5" s="15"/>
    </row>
    <row r="6" ht="15.0" customHeight="1">
      <c r="A6" s="16"/>
      <c r="B6" s="34" t="s">
        <v>7</v>
      </c>
      <c r="C6" s="17" t="s">
        <v>5</v>
      </c>
      <c r="D6" s="18" t="s">
        <v>8</v>
      </c>
      <c r="E6" s="15"/>
    </row>
    <row r="7" ht="15.0" customHeight="1">
      <c r="A7" s="16"/>
      <c r="B7" s="34" t="s">
        <v>9</v>
      </c>
      <c r="C7" s="17" t="s">
        <v>5</v>
      </c>
      <c r="D7" s="18" t="s">
        <v>10</v>
      </c>
      <c r="E7" s="15"/>
    </row>
    <row r="8" ht="15.0" customHeight="1">
      <c r="A8" s="16"/>
      <c r="B8" s="34" t="s">
        <v>11</v>
      </c>
      <c r="C8" s="17" t="s">
        <v>5</v>
      </c>
      <c r="D8" s="18" t="s">
        <v>12</v>
      </c>
      <c r="E8" s="15"/>
    </row>
    <row r="9" ht="15.0" customHeight="1">
      <c r="A9" s="16"/>
      <c r="B9" s="34" t="s">
        <v>13</v>
      </c>
      <c r="C9" s="17" t="s">
        <v>5</v>
      </c>
      <c r="D9" s="18" t="s">
        <v>14</v>
      </c>
      <c r="E9" s="15"/>
    </row>
    <row r="10" ht="15.0" customHeight="1">
      <c r="A10" s="16"/>
      <c r="B10" s="34" t="s">
        <v>15</v>
      </c>
      <c r="C10" s="17" t="s">
        <v>5</v>
      </c>
      <c r="D10" s="18" t="s">
        <v>16</v>
      </c>
      <c r="E10" s="15"/>
    </row>
    <row r="11" ht="15.0" customHeight="1">
      <c r="A11" s="16"/>
      <c r="B11" s="34" t="s">
        <v>17</v>
      </c>
      <c r="C11" s="17" t="s">
        <v>5</v>
      </c>
      <c r="D11" s="18" t="s">
        <v>18</v>
      </c>
      <c r="E11" s="15"/>
    </row>
    <row r="12" ht="15.0" customHeight="1">
      <c r="A12" s="16"/>
      <c r="B12" s="34" t="s">
        <v>19</v>
      </c>
      <c r="C12" s="17" t="s">
        <v>5</v>
      </c>
      <c r="D12" s="18" t="s">
        <v>20</v>
      </c>
      <c r="E12" s="15"/>
    </row>
    <row r="13" ht="15.0" customHeight="1">
      <c r="A13" s="16"/>
      <c r="B13" s="34" t="s">
        <v>21</v>
      </c>
      <c r="C13" s="17" t="s">
        <v>5</v>
      </c>
      <c r="D13" s="18" t="s">
        <v>22</v>
      </c>
      <c r="E13" s="15"/>
    </row>
    <row r="14" ht="15.0" customHeight="1">
      <c r="A14" s="16"/>
      <c r="B14" s="34" t="s">
        <v>23</v>
      </c>
      <c r="C14" s="17" t="s">
        <v>5</v>
      </c>
      <c r="D14" s="18" t="s">
        <v>24</v>
      </c>
      <c r="E14" s="15"/>
    </row>
    <row r="15" ht="15.0" customHeight="1">
      <c r="A15" s="16"/>
      <c r="B15" s="34" t="s">
        <v>25</v>
      </c>
      <c r="C15" s="17" t="s">
        <v>5</v>
      </c>
      <c r="D15" s="18" t="s">
        <v>26</v>
      </c>
      <c r="E15" s="15"/>
    </row>
    <row r="16" ht="15.0" customHeight="1">
      <c r="A16" s="16"/>
      <c r="B16" s="34" t="s">
        <v>27</v>
      </c>
      <c r="C16" s="17" t="s">
        <v>5</v>
      </c>
      <c r="D16" s="18" t="s">
        <v>26</v>
      </c>
      <c r="E16" s="15"/>
    </row>
    <row r="17" ht="15.0" customHeight="1">
      <c r="A17" s="16"/>
      <c r="B17" s="34" t="s">
        <v>28</v>
      </c>
      <c r="C17" s="17" t="s">
        <v>5</v>
      </c>
      <c r="D17" s="18" t="s">
        <v>29</v>
      </c>
      <c r="E17" s="15"/>
    </row>
    <row r="18" ht="15.0" customHeight="1">
      <c r="A18" s="16"/>
      <c r="B18" s="34" t="s">
        <v>30</v>
      </c>
      <c r="C18" s="17" t="s">
        <v>5</v>
      </c>
      <c r="D18" s="18" t="s">
        <v>31</v>
      </c>
      <c r="E18" s="15"/>
    </row>
    <row r="19" ht="15.0" customHeight="1">
      <c r="A19" s="16"/>
      <c r="B19" s="34" t="s">
        <v>32</v>
      </c>
      <c r="C19" s="17" t="s">
        <v>5</v>
      </c>
      <c r="D19" s="18" t="s">
        <v>33</v>
      </c>
      <c r="E19" s="15"/>
    </row>
    <row r="20" ht="15.0" customHeight="1">
      <c r="A20" s="16"/>
      <c r="B20" s="34" t="s">
        <v>34</v>
      </c>
      <c r="C20" s="17" t="s">
        <v>5</v>
      </c>
      <c r="D20" s="18" t="s">
        <v>35</v>
      </c>
      <c r="E20" s="15"/>
    </row>
    <row r="21" ht="15.0" customHeight="1">
      <c r="A21" s="16"/>
      <c r="B21" s="13" t="s">
        <v>36</v>
      </c>
      <c r="C21" s="14"/>
      <c r="D21" s="14"/>
      <c r="E21" s="15"/>
    </row>
    <row r="22" ht="15.0" customHeight="1">
      <c r="A22" s="16"/>
      <c r="B22" s="34" t="s">
        <v>37</v>
      </c>
      <c r="C22" s="17" t="s">
        <v>5</v>
      </c>
      <c r="D22" s="18" t="s">
        <v>38</v>
      </c>
      <c r="E22" s="15"/>
    </row>
    <row r="23" ht="15.0" customHeight="1">
      <c r="A23" s="16"/>
      <c r="B23" s="34" t="s">
        <v>39</v>
      </c>
      <c r="C23" s="17" t="s">
        <v>5</v>
      </c>
      <c r="D23" s="18" t="s">
        <v>40</v>
      </c>
      <c r="E23" s="15"/>
    </row>
    <row r="24" ht="15.0" customHeight="1">
      <c r="A24" s="16"/>
      <c r="B24" s="34" t="s">
        <v>41</v>
      </c>
      <c r="C24" s="17" t="s">
        <v>5</v>
      </c>
      <c r="D24" s="18" t="s">
        <v>42</v>
      </c>
      <c r="E24" s="15"/>
    </row>
    <row r="25" ht="15.0" customHeight="1">
      <c r="A25" s="16"/>
      <c r="B25" s="34" t="s">
        <v>43</v>
      </c>
      <c r="C25" s="17" t="s">
        <v>5</v>
      </c>
      <c r="D25" s="18" t="s">
        <v>44</v>
      </c>
      <c r="E25" s="15"/>
    </row>
    <row r="26" ht="15.0" customHeight="1">
      <c r="A26" s="16"/>
      <c r="B26" s="34" t="s">
        <v>45</v>
      </c>
      <c r="C26" s="17" t="s">
        <v>5</v>
      </c>
      <c r="D26" s="18" t="s">
        <v>46</v>
      </c>
      <c r="E26" s="15"/>
    </row>
    <row r="27" ht="15.0" customHeight="1">
      <c r="A27" s="16"/>
      <c r="B27" s="34" t="s">
        <v>47</v>
      </c>
      <c r="C27" s="17" t="s">
        <v>5</v>
      </c>
      <c r="D27" s="18" t="s">
        <v>48</v>
      </c>
      <c r="E27" s="15"/>
    </row>
    <row r="28" ht="15.0" customHeight="1">
      <c r="A28" s="16"/>
      <c r="B28" s="34" t="s">
        <v>49</v>
      </c>
      <c r="C28" s="17" t="s">
        <v>5</v>
      </c>
      <c r="D28" s="18" t="s">
        <v>50</v>
      </c>
      <c r="E28" s="15"/>
    </row>
    <row r="29" ht="15.0" customHeight="1">
      <c r="A29" s="16"/>
      <c r="B29" s="34" t="s">
        <v>51</v>
      </c>
      <c r="C29" s="17" t="s">
        <v>5</v>
      </c>
      <c r="D29" s="18" t="s">
        <v>52</v>
      </c>
      <c r="E29" s="15"/>
    </row>
    <row r="30" ht="15.0" customHeight="1">
      <c r="A30" s="16"/>
      <c r="B30" s="34" t="s">
        <v>53</v>
      </c>
      <c r="C30" s="17" t="s">
        <v>5</v>
      </c>
      <c r="D30" s="18" t="s">
        <v>54</v>
      </c>
      <c r="E30" s="15"/>
    </row>
    <row r="31" ht="15.0" customHeight="1">
      <c r="A31" s="16"/>
      <c r="B31" s="34" t="s">
        <v>55</v>
      </c>
      <c r="C31" s="17" t="s">
        <v>5</v>
      </c>
      <c r="D31" s="18" t="s">
        <v>56</v>
      </c>
      <c r="E31" s="15"/>
    </row>
    <row r="32" ht="15.0" customHeight="1">
      <c r="A32" s="16"/>
      <c r="B32" s="34" t="s">
        <v>57</v>
      </c>
      <c r="C32" s="17" t="s">
        <v>5</v>
      </c>
      <c r="D32" s="18" t="s">
        <v>58</v>
      </c>
      <c r="E32" s="15"/>
    </row>
    <row r="33" ht="15.0" customHeight="1">
      <c r="A33" s="16"/>
      <c r="B33" s="34" t="s">
        <v>59</v>
      </c>
      <c r="C33" s="17" t="s">
        <v>5</v>
      </c>
      <c r="D33" s="18" t="s">
        <v>60</v>
      </c>
      <c r="E33" s="15"/>
    </row>
    <row r="34" ht="15.0" customHeight="1">
      <c r="A34" s="16"/>
      <c r="B34" s="34" t="s">
        <v>61</v>
      </c>
      <c r="C34" s="17" t="s">
        <v>5</v>
      </c>
      <c r="D34" s="18" t="s">
        <v>62</v>
      </c>
      <c r="E34" s="15"/>
    </row>
    <row r="35" ht="15.0" customHeight="1">
      <c r="A35" s="16"/>
      <c r="B35" s="34" t="s">
        <v>63</v>
      </c>
      <c r="C35" s="17" t="s">
        <v>5</v>
      </c>
      <c r="D35" s="18" t="s">
        <v>64</v>
      </c>
      <c r="E35" s="15"/>
    </row>
    <row r="36" ht="15.0" customHeight="1">
      <c r="A36" s="16"/>
      <c r="B36" s="34" t="s">
        <v>65</v>
      </c>
      <c r="C36" s="17" t="s">
        <v>5</v>
      </c>
      <c r="D36" s="18" t="s">
        <v>66</v>
      </c>
      <c r="E36" s="15"/>
    </row>
    <row r="37" ht="15.0" customHeight="1">
      <c r="A37" s="16"/>
      <c r="B37" s="34" t="s">
        <v>67</v>
      </c>
      <c r="C37" s="17" t="s">
        <v>5</v>
      </c>
      <c r="D37" s="18" t="s">
        <v>68</v>
      </c>
      <c r="E37" s="15"/>
    </row>
    <row r="38" ht="15.0" customHeight="1">
      <c r="A38" s="16"/>
      <c r="B38" s="34" t="s">
        <v>69</v>
      </c>
      <c r="C38" s="17" t="s">
        <v>5</v>
      </c>
      <c r="D38" s="18" t="s">
        <v>70</v>
      </c>
      <c r="E38" s="15"/>
    </row>
    <row r="39" ht="15.0" customHeight="1">
      <c r="A39" s="16"/>
      <c r="B39" s="34" t="s">
        <v>71</v>
      </c>
      <c r="C39" s="17" t="s">
        <v>5</v>
      </c>
      <c r="D39" s="18" t="s">
        <v>72</v>
      </c>
      <c r="E39" s="15"/>
    </row>
    <row r="40" ht="15.0" customHeight="1">
      <c r="A40" s="16"/>
      <c r="B40" s="34" t="s">
        <v>73</v>
      </c>
      <c r="C40" s="17" t="s">
        <v>5</v>
      </c>
      <c r="D40" s="18" t="s">
        <v>74</v>
      </c>
      <c r="E40" s="15"/>
    </row>
    <row r="41" ht="15.0" customHeight="1">
      <c r="A41" s="16"/>
      <c r="B41" s="34" t="s">
        <v>75</v>
      </c>
      <c r="C41" s="17" t="s">
        <v>5</v>
      </c>
      <c r="D41" s="18" t="s">
        <v>76</v>
      </c>
      <c r="E41" s="15"/>
    </row>
    <row r="42" ht="15.0" customHeight="1">
      <c r="A42" s="16"/>
      <c r="B42" s="34" t="s">
        <v>77</v>
      </c>
      <c r="C42" s="17" t="s">
        <v>5</v>
      </c>
      <c r="D42" s="18" t="s">
        <v>78</v>
      </c>
      <c r="E42" s="15"/>
    </row>
    <row r="43" ht="15.0" customHeight="1">
      <c r="A43" s="16"/>
      <c r="B43" s="34" t="s">
        <v>79</v>
      </c>
      <c r="C43" s="17" t="s">
        <v>5</v>
      </c>
      <c r="D43" s="18" t="s">
        <v>80</v>
      </c>
      <c r="E43" s="15"/>
    </row>
    <row r="44" ht="15.0" customHeight="1">
      <c r="A44" s="16"/>
      <c r="B44" s="34" t="s">
        <v>81</v>
      </c>
      <c r="C44" s="17" t="s">
        <v>5</v>
      </c>
      <c r="D44" s="18" t="s">
        <v>82</v>
      </c>
      <c r="E44" s="15"/>
    </row>
    <row r="45" ht="15.0" customHeight="1">
      <c r="A45" s="16"/>
      <c r="B45" s="34" t="s">
        <v>83</v>
      </c>
      <c r="C45" s="17" t="s">
        <v>5</v>
      </c>
      <c r="D45" s="18" t="s">
        <v>84</v>
      </c>
      <c r="E45" s="15"/>
    </row>
    <row r="46" ht="15.0" customHeight="1">
      <c r="A46" s="16"/>
      <c r="B46" s="34" t="s">
        <v>85</v>
      </c>
      <c r="C46" s="17" t="s">
        <v>5</v>
      </c>
      <c r="D46" s="18" t="s">
        <v>86</v>
      </c>
      <c r="E46" s="15"/>
    </row>
    <row r="47" ht="15.0" customHeight="1">
      <c r="A47" s="16"/>
      <c r="B47" s="34" t="s">
        <v>87</v>
      </c>
      <c r="C47" s="17" t="s">
        <v>5</v>
      </c>
      <c r="D47" s="18" t="s">
        <v>88</v>
      </c>
      <c r="E47" s="15"/>
    </row>
    <row r="48" ht="15.0" customHeight="1">
      <c r="A48" s="16"/>
      <c r="B48" s="34" t="s">
        <v>89</v>
      </c>
      <c r="C48" s="17" t="s">
        <v>5</v>
      </c>
      <c r="D48" s="18" t="s">
        <v>90</v>
      </c>
      <c r="E48" s="15"/>
    </row>
    <row r="49" ht="15.0" customHeight="1">
      <c r="A49" s="16"/>
      <c r="B49" s="13" t="s">
        <v>91</v>
      </c>
      <c r="C49" s="14"/>
      <c r="D49" s="14"/>
      <c r="E49" s="15"/>
    </row>
    <row r="50" ht="15.0" customHeight="1">
      <c r="A50" s="16"/>
      <c r="B50" s="34" t="s">
        <v>92</v>
      </c>
      <c r="C50" s="17" t="s">
        <v>5</v>
      </c>
      <c r="D50" s="18" t="s">
        <v>93</v>
      </c>
      <c r="E50" s="15"/>
    </row>
    <row r="51" ht="15.0" customHeight="1">
      <c r="A51" s="16"/>
      <c r="B51" s="34" t="s">
        <v>94</v>
      </c>
      <c r="C51" s="17" t="s">
        <v>5</v>
      </c>
      <c r="D51" s="18" t="s">
        <v>95</v>
      </c>
      <c r="E51" s="15"/>
    </row>
    <row r="52" ht="15.0" customHeight="1">
      <c r="A52" s="16"/>
      <c r="B52" s="34" t="s">
        <v>96</v>
      </c>
      <c r="C52" s="17" t="s">
        <v>5</v>
      </c>
      <c r="D52" s="18" t="s">
        <v>97</v>
      </c>
      <c r="E52" s="15"/>
    </row>
    <row r="53" ht="15.0" customHeight="1">
      <c r="A53" s="16"/>
      <c r="B53" s="34" t="s">
        <v>98</v>
      </c>
      <c r="C53" s="17" t="s">
        <v>5</v>
      </c>
      <c r="D53" s="18" t="s">
        <v>99</v>
      </c>
      <c r="E53" s="15"/>
    </row>
    <row r="54" ht="15.0" customHeight="1">
      <c r="A54" s="16"/>
      <c r="B54" s="34" t="s">
        <v>100</v>
      </c>
      <c r="C54" s="17" t="s">
        <v>5</v>
      </c>
      <c r="D54" s="18" t="s">
        <v>101</v>
      </c>
      <c r="E54" s="15"/>
    </row>
    <row r="55" ht="15.0" customHeight="1">
      <c r="A55" s="16"/>
      <c r="B55" s="34" t="s">
        <v>102</v>
      </c>
      <c r="C55" s="17" t="s">
        <v>5</v>
      </c>
      <c r="D55" s="18" t="s">
        <v>103</v>
      </c>
      <c r="E55" s="15"/>
    </row>
    <row r="56" ht="15.0" customHeight="1">
      <c r="A56" s="16"/>
      <c r="B56" s="34" t="s">
        <v>104</v>
      </c>
      <c r="C56" s="17" t="s">
        <v>5</v>
      </c>
      <c r="D56" s="18" t="s">
        <v>105</v>
      </c>
      <c r="E56" s="15"/>
    </row>
    <row r="57" ht="15.0" customHeight="1">
      <c r="A57" s="16"/>
      <c r="B57" s="34" t="s">
        <v>106</v>
      </c>
      <c r="C57" s="17" t="s">
        <v>5</v>
      </c>
      <c r="D57" s="18" t="s">
        <v>107</v>
      </c>
      <c r="E57" s="15"/>
    </row>
    <row r="58" ht="15.0" customHeight="1">
      <c r="A58" s="16"/>
      <c r="B58" s="34" t="s">
        <v>108</v>
      </c>
      <c r="C58" s="17" t="s">
        <v>5</v>
      </c>
      <c r="D58" s="18" t="s">
        <v>109</v>
      </c>
      <c r="E58" s="15"/>
    </row>
    <row r="59" ht="15.0" customHeight="1">
      <c r="A59" s="16"/>
      <c r="B59" s="34" t="s">
        <v>110</v>
      </c>
      <c r="C59" s="17" t="s">
        <v>5</v>
      </c>
      <c r="D59" s="18" t="s">
        <v>111</v>
      </c>
      <c r="E59" s="15"/>
    </row>
    <row r="60" ht="15.0" customHeight="1">
      <c r="A60" s="16"/>
      <c r="B60" s="34" t="s">
        <v>112</v>
      </c>
      <c r="C60" s="17" t="s">
        <v>5</v>
      </c>
      <c r="D60" s="18" t="s">
        <v>113</v>
      </c>
      <c r="E60" s="15"/>
    </row>
    <row r="61" ht="15.0" customHeight="1">
      <c r="A61" s="16"/>
      <c r="B61" s="34" t="s">
        <v>114</v>
      </c>
      <c r="C61" s="17" t="s">
        <v>5</v>
      </c>
      <c r="D61" s="18" t="s">
        <v>115</v>
      </c>
      <c r="E61" s="15"/>
    </row>
    <row r="62" ht="15.0" customHeight="1">
      <c r="A62" s="16"/>
      <c r="B62" s="34" t="s">
        <v>116</v>
      </c>
      <c r="C62" s="17" t="s">
        <v>5</v>
      </c>
      <c r="D62" s="18" t="s">
        <v>117</v>
      </c>
      <c r="E62" s="15"/>
    </row>
    <row r="63" ht="15.0" customHeight="1">
      <c r="A63" s="16"/>
      <c r="B63" s="34" t="s">
        <v>118</v>
      </c>
      <c r="C63" s="17" t="s">
        <v>5</v>
      </c>
      <c r="D63" s="18" t="s">
        <v>119</v>
      </c>
      <c r="E63" s="15"/>
    </row>
    <row r="64" ht="15.0" customHeight="1">
      <c r="A64" s="16"/>
      <c r="B64" s="34" t="s">
        <v>120</v>
      </c>
      <c r="C64" s="17" t="s">
        <v>5</v>
      </c>
      <c r="D64" s="18" t="s">
        <v>121</v>
      </c>
      <c r="E64" s="15"/>
    </row>
    <row r="65" ht="15.0" customHeight="1">
      <c r="A65" s="12"/>
      <c r="B65" s="34" t="s">
        <v>122</v>
      </c>
      <c r="C65" s="17" t="s">
        <v>5</v>
      </c>
      <c r="D65" s="18" t="s">
        <v>123</v>
      </c>
      <c r="E65" s="15"/>
    </row>
    <row r="66" ht="15.0" customHeight="1">
      <c r="A66" s="16"/>
      <c r="B66" s="34" t="s">
        <v>124</v>
      </c>
      <c r="C66" s="17" t="s">
        <v>5</v>
      </c>
      <c r="D66" s="18" t="s">
        <v>125</v>
      </c>
      <c r="E66" s="15"/>
    </row>
    <row r="67" ht="15.0" customHeight="1">
      <c r="A67" s="16"/>
      <c r="B67" s="34" t="s">
        <v>126</v>
      </c>
      <c r="C67" s="17" t="s">
        <v>5</v>
      </c>
      <c r="D67" s="18" t="s">
        <v>127</v>
      </c>
      <c r="E67" s="15"/>
    </row>
    <row r="68" ht="15.0" customHeight="1">
      <c r="A68" s="16"/>
      <c r="B68" s="34" t="s">
        <v>128</v>
      </c>
      <c r="C68" s="17" t="s">
        <v>5</v>
      </c>
      <c r="D68" s="18" t="s">
        <v>129</v>
      </c>
      <c r="E68" s="15"/>
    </row>
    <row r="69" ht="15.0" customHeight="1">
      <c r="A69" s="16"/>
      <c r="B69" s="34" t="s">
        <v>130</v>
      </c>
      <c r="C69" s="17" t="s">
        <v>5</v>
      </c>
      <c r="D69" s="18" t="s">
        <v>131</v>
      </c>
      <c r="E69" s="15"/>
    </row>
    <row r="70" ht="15.0" customHeight="1">
      <c r="A70" s="16"/>
      <c r="B70" s="34" t="s">
        <v>132</v>
      </c>
      <c r="C70" s="17" t="s">
        <v>5</v>
      </c>
      <c r="D70" s="18" t="s">
        <v>133</v>
      </c>
      <c r="E70" s="15"/>
    </row>
    <row r="71" ht="15.0" customHeight="1">
      <c r="A71" s="16"/>
      <c r="B71" s="34" t="s">
        <v>134</v>
      </c>
      <c r="C71" s="17" t="s">
        <v>5</v>
      </c>
      <c r="D71" s="18" t="s">
        <v>135</v>
      </c>
      <c r="E71" s="15"/>
    </row>
    <row r="72" ht="15.0" customHeight="1">
      <c r="A72" s="16"/>
      <c r="B72" s="34" t="s">
        <v>136</v>
      </c>
      <c r="C72" s="17" t="s">
        <v>5</v>
      </c>
      <c r="D72" s="18" t="s">
        <v>137</v>
      </c>
      <c r="E72" s="15"/>
    </row>
    <row r="73" ht="15.0" customHeight="1">
      <c r="A73" s="16"/>
      <c r="B73" s="34" t="s">
        <v>138</v>
      </c>
      <c r="C73" s="17" t="s">
        <v>5</v>
      </c>
      <c r="D73" s="18" t="s">
        <v>139</v>
      </c>
      <c r="E73" s="15"/>
    </row>
    <row r="74" ht="15.0" customHeight="1">
      <c r="A74" s="16"/>
      <c r="B74" s="34" t="s">
        <v>140</v>
      </c>
      <c r="C74" s="17" t="s">
        <v>5</v>
      </c>
      <c r="D74" s="18" t="s">
        <v>141</v>
      </c>
      <c r="E74" s="15"/>
    </row>
    <row r="75" ht="15.0" customHeight="1">
      <c r="A75" s="16"/>
      <c r="B75" s="34" t="s">
        <v>142</v>
      </c>
      <c r="C75" s="17" t="s">
        <v>5</v>
      </c>
      <c r="D75" s="18" t="s">
        <v>143</v>
      </c>
      <c r="E75" s="15"/>
    </row>
    <row r="76" ht="15.0" customHeight="1">
      <c r="A76" s="16"/>
      <c r="B76" s="34" t="s">
        <v>144</v>
      </c>
      <c r="C76" s="17" t="s">
        <v>5</v>
      </c>
      <c r="D76" s="18" t="s">
        <v>145</v>
      </c>
      <c r="E76" s="15"/>
    </row>
    <row r="77" ht="15.0" customHeight="1">
      <c r="A77" s="16"/>
      <c r="B77" s="34" t="s">
        <v>146</v>
      </c>
      <c r="C77" s="17" t="s">
        <v>5</v>
      </c>
      <c r="D77" s="18" t="s">
        <v>147</v>
      </c>
      <c r="E77" s="15"/>
    </row>
    <row r="78" ht="15.0" customHeight="1">
      <c r="A78" s="16"/>
      <c r="B78" s="13" t="s">
        <v>148</v>
      </c>
      <c r="C78" s="14"/>
      <c r="D78" s="14"/>
      <c r="E78" s="15"/>
    </row>
    <row r="79" ht="15.0" customHeight="1">
      <c r="A79" s="16"/>
      <c r="B79" s="34" t="s">
        <v>149</v>
      </c>
      <c r="C79" s="17" t="s">
        <v>5</v>
      </c>
      <c r="D79" s="18" t="s">
        <v>150</v>
      </c>
      <c r="E79" s="15"/>
    </row>
    <row r="80" ht="15.0" customHeight="1">
      <c r="A80" s="16"/>
      <c r="B80" s="34" t="s">
        <v>151</v>
      </c>
      <c r="C80" s="17" t="s">
        <v>5</v>
      </c>
      <c r="D80" s="18" t="s">
        <v>152</v>
      </c>
      <c r="E80" s="15"/>
    </row>
    <row r="81" ht="15.0" customHeight="1">
      <c r="A81" s="16"/>
      <c r="B81" s="34" t="s">
        <v>153</v>
      </c>
      <c r="C81" s="17" t="s">
        <v>5</v>
      </c>
      <c r="D81" s="18" t="s">
        <v>154</v>
      </c>
      <c r="E81" s="15"/>
    </row>
    <row r="82" ht="15.0" customHeight="1">
      <c r="A82" s="16"/>
      <c r="B82" s="34" t="s">
        <v>155</v>
      </c>
      <c r="C82" s="17" t="s">
        <v>5</v>
      </c>
      <c r="D82" s="18" t="s">
        <v>156</v>
      </c>
      <c r="E82" s="15"/>
    </row>
    <row r="83" ht="15.0" customHeight="1">
      <c r="A83" s="16"/>
      <c r="B83" s="34" t="s">
        <v>157</v>
      </c>
      <c r="C83" s="17" t="s">
        <v>5</v>
      </c>
      <c r="D83" s="18" t="s">
        <v>158</v>
      </c>
      <c r="E83" s="15"/>
    </row>
    <row r="84" ht="15.0" customHeight="1">
      <c r="A84" s="16"/>
      <c r="B84" s="34" t="s">
        <v>159</v>
      </c>
      <c r="C84" s="17" t="s">
        <v>5</v>
      </c>
      <c r="D84" s="18" t="s">
        <v>160</v>
      </c>
      <c r="E84" s="15"/>
    </row>
    <row r="85" ht="15.0" customHeight="1">
      <c r="A85" s="16"/>
      <c r="B85" s="34" t="s">
        <v>161</v>
      </c>
      <c r="C85" s="17" t="s">
        <v>5</v>
      </c>
      <c r="D85" s="18" t="s">
        <v>162</v>
      </c>
      <c r="E85" s="15"/>
    </row>
    <row r="86" ht="15.0" customHeight="1">
      <c r="A86" s="16"/>
      <c r="B86" s="34" t="s">
        <v>163</v>
      </c>
      <c r="C86" s="17" t="s">
        <v>5</v>
      </c>
      <c r="D86" s="18" t="s">
        <v>164</v>
      </c>
      <c r="E86" s="15"/>
    </row>
    <row r="87" ht="15.0" customHeight="1">
      <c r="A87" s="16"/>
      <c r="B87" s="34" t="s">
        <v>165</v>
      </c>
      <c r="C87" s="17" t="s">
        <v>5</v>
      </c>
      <c r="D87" s="18" t="s">
        <v>166</v>
      </c>
      <c r="E87" s="15"/>
    </row>
    <row r="88" ht="15.0" customHeight="1">
      <c r="A88" s="16"/>
      <c r="B88" s="34" t="s">
        <v>167</v>
      </c>
      <c r="C88" s="17" t="s">
        <v>5</v>
      </c>
      <c r="D88" s="18" t="s">
        <v>168</v>
      </c>
      <c r="E88" s="15"/>
    </row>
    <row r="89" ht="15.0" customHeight="1">
      <c r="A89" s="16"/>
      <c r="B89" s="34" t="s">
        <v>169</v>
      </c>
      <c r="C89" s="17" t="s">
        <v>5</v>
      </c>
      <c r="D89" s="18" t="s">
        <v>170</v>
      </c>
      <c r="E89" s="15"/>
    </row>
    <row r="90" ht="15.0" customHeight="1">
      <c r="A90" s="16"/>
      <c r="B90" s="34" t="s">
        <v>171</v>
      </c>
      <c r="C90" s="17" t="s">
        <v>5</v>
      </c>
      <c r="D90" s="18" t="s">
        <v>172</v>
      </c>
      <c r="E90" s="15"/>
    </row>
    <row r="91" ht="15.0" customHeight="1">
      <c r="A91" s="16"/>
      <c r="B91" s="34" t="s">
        <v>173</v>
      </c>
      <c r="C91" s="17" t="s">
        <v>5</v>
      </c>
      <c r="D91" s="18" t="s">
        <v>174</v>
      </c>
      <c r="E91" s="15"/>
    </row>
    <row r="92" ht="15.0" customHeight="1">
      <c r="A92" s="16"/>
      <c r="B92" s="34" t="s">
        <v>175</v>
      </c>
      <c r="C92" s="17" t="s">
        <v>5</v>
      </c>
      <c r="D92" s="18" t="s">
        <v>176</v>
      </c>
      <c r="E92" s="15"/>
    </row>
    <row r="93" ht="15.0" customHeight="1">
      <c r="A93" s="16"/>
      <c r="B93" s="34" t="s">
        <v>177</v>
      </c>
      <c r="C93" s="17" t="s">
        <v>5</v>
      </c>
      <c r="D93" s="18" t="s">
        <v>178</v>
      </c>
      <c r="E93" s="15"/>
    </row>
    <row r="94" ht="15.0" customHeight="1">
      <c r="A94" s="16"/>
      <c r="B94" s="34" t="s">
        <v>179</v>
      </c>
      <c r="C94" s="17" t="s">
        <v>5</v>
      </c>
      <c r="D94" s="18" t="s">
        <v>180</v>
      </c>
      <c r="E94" s="15"/>
    </row>
    <row r="95" ht="15.0" customHeight="1">
      <c r="A95" s="16"/>
      <c r="B95" s="34" t="s">
        <v>181</v>
      </c>
      <c r="C95" s="17" t="s">
        <v>5</v>
      </c>
      <c r="D95" s="18" t="s">
        <v>182</v>
      </c>
      <c r="E95" s="15"/>
    </row>
    <row r="96" ht="15.0" customHeight="1">
      <c r="A96" s="16"/>
      <c r="B96" s="34" t="s">
        <v>183</v>
      </c>
      <c r="C96" s="17" t="s">
        <v>5</v>
      </c>
      <c r="D96" s="18" t="s">
        <v>184</v>
      </c>
      <c r="E96" s="15"/>
    </row>
    <row r="97" ht="15.0" customHeight="1">
      <c r="A97" s="16"/>
      <c r="B97" s="34" t="s">
        <v>185</v>
      </c>
      <c r="C97" s="17" t="s">
        <v>5</v>
      </c>
      <c r="D97" s="18" t="s">
        <v>186</v>
      </c>
      <c r="E97" s="15"/>
    </row>
    <row r="98" ht="15.0" customHeight="1">
      <c r="A98" s="16"/>
      <c r="B98" s="34" t="s">
        <v>187</v>
      </c>
      <c r="C98" s="17" t="s">
        <v>5</v>
      </c>
      <c r="D98" s="18" t="s">
        <v>188</v>
      </c>
      <c r="E98" s="15"/>
    </row>
    <row r="99" ht="15.0" customHeight="1">
      <c r="A99" s="16"/>
      <c r="B99" s="34" t="s">
        <v>189</v>
      </c>
      <c r="C99" s="17" t="s">
        <v>5</v>
      </c>
      <c r="D99" s="18" t="s">
        <v>190</v>
      </c>
      <c r="E99" s="15"/>
    </row>
    <row r="100" ht="15.0" customHeight="1">
      <c r="A100" s="16"/>
      <c r="B100" s="34" t="s">
        <v>191</v>
      </c>
      <c r="C100" s="17" t="s">
        <v>5</v>
      </c>
      <c r="D100" s="18" t="s">
        <v>192</v>
      </c>
      <c r="E100" s="15"/>
    </row>
    <row r="101" ht="15.0" customHeight="1">
      <c r="A101" s="16"/>
      <c r="B101" s="34" t="s">
        <v>193</v>
      </c>
      <c r="C101" s="17" t="s">
        <v>5</v>
      </c>
      <c r="D101" s="18" t="s">
        <v>194</v>
      </c>
      <c r="E101" s="15"/>
    </row>
    <row r="102" ht="15.0" customHeight="1">
      <c r="A102" s="16"/>
      <c r="B102" s="34" t="s">
        <v>195</v>
      </c>
      <c r="C102" s="17" t="s">
        <v>5</v>
      </c>
      <c r="D102" s="18" t="s">
        <v>196</v>
      </c>
      <c r="E102" s="15"/>
    </row>
    <row r="103" ht="15.0" customHeight="1">
      <c r="A103" s="16"/>
      <c r="B103" s="34" t="s">
        <v>197</v>
      </c>
      <c r="C103" s="17" t="s">
        <v>5</v>
      </c>
      <c r="D103" s="18" t="s">
        <v>198</v>
      </c>
      <c r="E103" s="15"/>
    </row>
    <row r="104" ht="15.0" customHeight="1">
      <c r="A104" s="16"/>
      <c r="B104" s="34" t="s">
        <v>199</v>
      </c>
      <c r="C104" s="17" t="s">
        <v>5</v>
      </c>
      <c r="D104" s="18" t="s">
        <v>200</v>
      </c>
      <c r="E104" s="15"/>
    </row>
    <row r="105" ht="15.0" customHeight="1">
      <c r="A105" s="16"/>
      <c r="B105" s="34" t="s">
        <v>201</v>
      </c>
      <c r="C105" s="17" t="s">
        <v>5</v>
      </c>
      <c r="D105" s="18" t="s">
        <v>202</v>
      </c>
      <c r="E105" s="15"/>
    </row>
    <row r="106" ht="15.0" customHeight="1">
      <c r="A106" s="16"/>
      <c r="B106" s="34" t="s">
        <v>203</v>
      </c>
      <c r="C106" s="17" t="s">
        <v>5</v>
      </c>
      <c r="D106" s="18" t="s">
        <v>204</v>
      </c>
      <c r="E106" s="15"/>
    </row>
    <row r="107" ht="15.0" customHeight="1">
      <c r="A107" s="16"/>
      <c r="B107" s="34" t="s">
        <v>205</v>
      </c>
      <c r="C107" s="17" t="s">
        <v>5</v>
      </c>
      <c r="D107" s="18" t="s">
        <v>206</v>
      </c>
      <c r="E107" s="15"/>
    </row>
    <row r="108" ht="15.0" customHeight="1">
      <c r="A108" s="16"/>
      <c r="B108" s="34" t="s">
        <v>207</v>
      </c>
      <c r="C108" s="17" t="s">
        <v>5</v>
      </c>
      <c r="D108" s="18" t="s">
        <v>208</v>
      </c>
      <c r="E108" s="15"/>
    </row>
    <row r="109" ht="15.0" customHeight="1">
      <c r="A109" s="16"/>
      <c r="B109" s="34" t="s">
        <v>209</v>
      </c>
      <c r="C109" s="17" t="s">
        <v>5</v>
      </c>
      <c r="D109" s="18" t="s">
        <v>210</v>
      </c>
      <c r="E109" s="15"/>
    </row>
    <row r="110" ht="15.0" customHeight="1">
      <c r="A110" s="16"/>
      <c r="B110" s="34" t="s">
        <v>211</v>
      </c>
      <c r="C110" s="17" t="s">
        <v>5</v>
      </c>
      <c r="D110" s="18" t="s">
        <v>212</v>
      </c>
      <c r="E110" s="15"/>
    </row>
    <row r="111" ht="15.0" customHeight="1">
      <c r="A111" s="12"/>
      <c r="B111" s="34" t="s">
        <v>213</v>
      </c>
      <c r="C111" s="17" t="s">
        <v>5</v>
      </c>
      <c r="D111" s="18" t="s">
        <v>214</v>
      </c>
      <c r="E111" s="15"/>
    </row>
    <row r="112" ht="15.0" customHeight="1">
      <c r="A112" s="16"/>
      <c r="B112" s="34" t="s">
        <v>215</v>
      </c>
      <c r="C112" s="17" t="s">
        <v>5</v>
      </c>
      <c r="D112" s="18" t="s">
        <v>216</v>
      </c>
      <c r="E112" s="15"/>
    </row>
    <row r="113" ht="15.0" customHeight="1">
      <c r="A113" s="16"/>
      <c r="B113" s="34" t="s">
        <v>217</v>
      </c>
      <c r="C113" s="17" t="s">
        <v>5</v>
      </c>
      <c r="D113" s="18" t="s">
        <v>218</v>
      </c>
      <c r="E113" s="15"/>
    </row>
    <row r="114" ht="15.0" customHeight="1">
      <c r="A114" s="16"/>
      <c r="B114" s="34" t="s">
        <v>219</v>
      </c>
      <c r="C114" s="17" t="s">
        <v>5</v>
      </c>
      <c r="D114" s="18" t="s">
        <v>220</v>
      </c>
      <c r="E114" s="15"/>
    </row>
    <row r="115" ht="15.0" customHeight="1">
      <c r="A115" s="16"/>
      <c r="B115" s="34" t="s">
        <v>221</v>
      </c>
      <c r="C115" s="17" t="s">
        <v>5</v>
      </c>
      <c r="D115" s="18" t="s">
        <v>222</v>
      </c>
      <c r="E115" s="15"/>
    </row>
    <row r="116" ht="15.0" customHeight="1">
      <c r="A116" s="16"/>
      <c r="B116" s="34" t="s">
        <v>223</v>
      </c>
      <c r="C116" s="17" t="s">
        <v>5</v>
      </c>
      <c r="D116" s="18" t="s">
        <v>224</v>
      </c>
      <c r="E116" s="15"/>
    </row>
    <row r="117" ht="15.0" customHeight="1">
      <c r="A117" s="16"/>
      <c r="B117" s="34" t="s">
        <v>225</v>
      </c>
      <c r="C117" s="17" t="s">
        <v>5</v>
      </c>
      <c r="D117" s="18" t="s">
        <v>226</v>
      </c>
      <c r="E117" s="15"/>
    </row>
    <row r="118" ht="15.0" customHeight="1">
      <c r="A118" s="16"/>
      <c r="B118" s="13" t="s">
        <v>227</v>
      </c>
      <c r="C118" s="14"/>
      <c r="D118" s="14"/>
      <c r="E118" s="15"/>
    </row>
    <row r="119" ht="15.0" customHeight="1">
      <c r="A119" s="16"/>
      <c r="B119" s="34" t="s">
        <v>228</v>
      </c>
      <c r="C119" s="17" t="s">
        <v>5</v>
      </c>
      <c r="D119" s="18" t="s">
        <v>229</v>
      </c>
      <c r="E119" s="15"/>
    </row>
    <row r="120" ht="15.0" customHeight="1">
      <c r="A120" s="19"/>
      <c r="B120" s="34" t="s">
        <v>230</v>
      </c>
      <c r="C120" s="17" t="s">
        <v>5</v>
      </c>
      <c r="D120" s="18" t="s">
        <v>231</v>
      </c>
      <c r="E120" s="15"/>
    </row>
    <row r="121" ht="15.0" customHeight="1">
      <c r="A121" s="16"/>
      <c r="B121" s="34" t="s">
        <v>232</v>
      </c>
      <c r="C121" s="17" t="s">
        <v>5</v>
      </c>
      <c r="D121" s="18" t="s">
        <v>233</v>
      </c>
      <c r="E121" s="15"/>
    </row>
    <row r="122" ht="15.0" customHeight="1">
      <c r="A122" s="16"/>
      <c r="B122" s="34" t="s">
        <v>234</v>
      </c>
      <c r="C122" s="17" t="s">
        <v>5</v>
      </c>
      <c r="D122" s="18" t="s">
        <v>235</v>
      </c>
      <c r="E122" s="15"/>
    </row>
    <row r="123" ht="15.0" customHeight="1">
      <c r="A123" s="16"/>
      <c r="B123" s="34" t="s">
        <v>236</v>
      </c>
      <c r="C123" s="17" t="s">
        <v>5</v>
      </c>
      <c r="D123" s="18" t="s">
        <v>237</v>
      </c>
      <c r="E123" s="15"/>
    </row>
    <row r="124" ht="15.0" customHeight="1">
      <c r="A124" s="16"/>
      <c r="B124" s="34" t="s">
        <v>238</v>
      </c>
      <c r="C124" s="17" t="s">
        <v>5</v>
      </c>
      <c r="D124" s="18" t="s">
        <v>239</v>
      </c>
      <c r="E124" s="15"/>
    </row>
    <row r="125" ht="15.0" customHeight="1">
      <c r="A125" s="16"/>
      <c r="B125" s="34" t="s">
        <v>240</v>
      </c>
      <c r="C125" s="17" t="s">
        <v>5</v>
      </c>
      <c r="D125" s="18" t="s">
        <v>241</v>
      </c>
      <c r="E125" s="15"/>
    </row>
    <row r="126" ht="15.0" customHeight="1">
      <c r="A126" s="16"/>
      <c r="B126" s="34" t="s">
        <v>242</v>
      </c>
      <c r="C126" s="17" t="s">
        <v>5</v>
      </c>
      <c r="D126" s="18" t="s">
        <v>243</v>
      </c>
      <c r="E126" s="15"/>
    </row>
    <row r="127" ht="15.0" customHeight="1">
      <c r="A127" s="16"/>
      <c r="B127" s="34" t="s">
        <v>244</v>
      </c>
      <c r="C127" s="17" t="s">
        <v>5</v>
      </c>
      <c r="D127" s="18" t="s">
        <v>245</v>
      </c>
      <c r="E127" s="15"/>
    </row>
    <row r="128" ht="15.0" customHeight="1">
      <c r="A128" s="16"/>
      <c r="B128" s="34" t="s">
        <v>246</v>
      </c>
      <c r="C128" s="17" t="s">
        <v>5</v>
      </c>
      <c r="D128" s="18" t="s">
        <v>247</v>
      </c>
      <c r="E128" s="15"/>
    </row>
    <row r="129" ht="15.0" customHeight="1">
      <c r="A129" s="16"/>
      <c r="B129" s="34" t="s">
        <v>248</v>
      </c>
      <c r="C129" s="17" t="s">
        <v>5</v>
      </c>
      <c r="D129" s="18" t="s">
        <v>249</v>
      </c>
      <c r="E129" s="15"/>
    </row>
    <row r="130" ht="15.0" customHeight="1">
      <c r="A130" s="16"/>
      <c r="B130" s="34" t="s">
        <v>250</v>
      </c>
      <c r="C130" s="17" t="s">
        <v>5</v>
      </c>
      <c r="D130" s="18" t="s">
        <v>251</v>
      </c>
      <c r="E130" s="15"/>
    </row>
    <row r="131" ht="15.0" customHeight="1">
      <c r="A131" s="16"/>
      <c r="B131" s="34" t="s">
        <v>252</v>
      </c>
      <c r="C131" s="17" t="s">
        <v>5</v>
      </c>
      <c r="D131" s="18" t="s">
        <v>253</v>
      </c>
      <c r="E131" s="15"/>
    </row>
    <row r="132" ht="15.0" customHeight="1">
      <c r="A132" s="16"/>
      <c r="B132" s="34" t="s">
        <v>254</v>
      </c>
      <c r="C132" s="17" t="s">
        <v>5</v>
      </c>
      <c r="D132" s="18" t="s">
        <v>255</v>
      </c>
      <c r="E132" s="15"/>
    </row>
    <row r="133" ht="15.0" customHeight="1">
      <c r="A133" s="16"/>
      <c r="B133" s="34" t="s">
        <v>256</v>
      </c>
      <c r="C133" s="17" t="s">
        <v>5</v>
      </c>
      <c r="D133" s="18" t="s">
        <v>257</v>
      </c>
      <c r="E133" s="15"/>
    </row>
    <row r="134" ht="15.0" customHeight="1">
      <c r="A134" s="16"/>
      <c r="B134" s="34" t="s">
        <v>258</v>
      </c>
      <c r="C134" s="17" t="s">
        <v>5</v>
      </c>
      <c r="D134" s="18" t="s">
        <v>259</v>
      </c>
      <c r="E134" s="15"/>
    </row>
    <row r="135" ht="15.0" customHeight="1">
      <c r="A135" s="16"/>
      <c r="B135" s="34" t="s">
        <v>260</v>
      </c>
      <c r="C135" s="17" t="s">
        <v>5</v>
      </c>
      <c r="D135" s="18" t="s">
        <v>261</v>
      </c>
      <c r="E135" s="15"/>
    </row>
    <row r="136" ht="15.0" customHeight="1">
      <c r="A136" s="16"/>
      <c r="B136" s="13" t="s">
        <v>262</v>
      </c>
      <c r="C136" s="14"/>
      <c r="D136" s="14"/>
      <c r="E136" s="15"/>
    </row>
    <row r="137" ht="15.0" customHeight="1">
      <c r="A137" s="16"/>
      <c r="B137" s="34" t="s">
        <v>263</v>
      </c>
      <c r="C137" s="17" t="s">
        <v>5</v>
      </c>
      <c r="D137" s="18" t="s">
        <v>264</v>
      </c>
      <c r="E137" s="15"/>
    </row>
    <row r="138" ht="15.0" customHeight="1">
      <c r="A138" s="16"/>
      <c r="B138" s="34" t="s">
        <v>265</v>
      </c>
      <c r="C138" s="17" t="s">
        <v>5</v>
      </c>
      <c r="D138" s="18" t="s">
        <v>264</v>
      </c>
      <c r="E138" s="15"/>
    </row>
    <row r="139" ht="15.0" customHeight="1">
      <c r="A139" s="16"/>
      <c r="B139" s="34" t="s">
        <v>266</v>
      </c>
      <c r="C139" s="17" t="s">
        <v>5</v>
      </c>
      <c r="D139" s="18" t="s">
        <v>264</v>
      </c>
      <c r="E139" s="15"/>
    </row>
    <row r="140" ht="15.0" customHeight="1">
      <c r="A140" s="16"/>
      <c r="B140" s="34" t="s">
        <v>267</v>
      </c>
      <c r="C140" s="17" t="s">
        <v>5</v>
      </c>
      <c r="D140" s="18" t="s">
        <v>268</v>
      </c>
      <c r="E140" s="15"/>
    </row>
    <row r="141" ht="15.0" customHeight="1">
      <c r="A141" s="16"/>
      <c r="B141" s="34" t="s">
        <v>269</v>
      </c>
      <c r="C141" s="17" t="s">
        <v>5</v>
      </c>
      <c r="D141" s="18" t="s">
        <v>270</v>
      </c>
      <c r="E141" s="15"/>
    </row>
    <row r="142" ht="15.0" customHeight="1">
      <c r="A142" s="16"/>
      <c r="B142" s="34" t="s">
        <v>271</v>
      </c>
      <c r="C142" s="17" t="s">
        <v>5</v>
      </c>
      <c r="D142" s="18" t="s">
        <v>272</v>
      </c>
      <c r="E142" s="15"/>
    </row>
    <row r="143" ht="15.0" customHeight="1">
      <c r="A143" s="19"/>
      <c r="B143" s="34" t="s">
        <v>273</v>
      </c>
      <c r="C143" s="17" t="s">
        <v>5</v>
      </c>
      <c r="D143" s="18" t="s">
        <v>274</v>
      </c>
      <c r="E143" s="15"/>
    </row>
    <row r="144" ht="15.0" customHeight="1">
      <c r="A144" s="19"/>
      <c r="B144" s="34" t="s">
        <v>275</v>
      </c>
      <c r="C144" s="17" t="s">
        <v>5</v>
      </c>
      <c r="D144" s="18" t="s">
        <v>276</v>
      </c>
      <c r="E144" s="15"/>
    </row>
    <row r="145" ht="15.0" customHeight="1">
      <c r="A145" s="16"/>
      <c r="B145" s="34" t="s">
        <v>277</v>
      </c>
      <c r="C145" s="17" t="s">
        <v>5</v>
      </c>
      <c r="D145" s="18" t="s">
        <v>278</v>
      </c>
      <c r="E145" s="15"/>
    </row>
    <row r="146" ht="15.0" customHeight="1">
      <c r="A146" s="16"/>
      <c r="B146" s="34" t="s">
        <v>279</v>
      </c>
      <c r="C146" s="17" t="s">
        <v>5</v>
      </c>
      <c r="D146" s="18" t="s">
        <v>280</v>
      </c>
      <c r="E146" s="15"/>
    </row>
    <row r="147" ht="15.0" customHeight="1">
      <c r="A147" s="16"/>
      <c r="B147" s="20" t="s">
        <v>281</v>
      </c>
      <c r="C147" s="17" t="s">
        <v>5</v>
      </c>
      <c r="D147" s="21" t="s">
        <v>282</v>
      </c>
      <c r="E147" s="15"/>
    </row>
    <row r="148" ht="15.0" customHeight="1">
      <c r="A148" s="16"/>
      <c r="B148" s="22" t="s">
        <v>283</v>
      </c>
      <c r="C148" s="17" t="s">
        <v>5</v>
      </c>
      <c r="D148" s="18" t="s">
        <v>284</v>
      </c>
      <c r="E148" s="15"/>
    </row>
    <row r="149" ht="15.0" customHeight="1">
      <c r="A149" s="16"/>
      <c r="B149" s="34" t="s">
        <v>285</v>
      </c>
      <c r="C149" s="17" t="s">
        <v>5</v>
      </c>
      <c r="D149" s="18" t="s">
        <v>286</v>
      </c>
      <c r="E149" s="15"/>
    </row>
    <row r="150" ht="15.0" customHeight="1">
      <c r="A150" s="16"/>
      <c r="B150" s="34" t="s">
        <v>287</v>
      </c>
      <c r="C150" s="17" t="s">
        <v>5</v>
      </c>
      <c r="D150" s="18" t="s">
        <v>288</v>
      </c>
      <c r="E150" s="15"/>
    </row>
    <row r="151" ht="15.0" customHeight="1">
      <c r="A151" s="16"/>
      <c r="B151" s="34" t="s">
        <v>289</v>
      </c>
      <c r="C151" s="17" t="s">
        <v>5</v>
      </c>
      <c r="D151" s="18" t="s">
        <v>290</v>
      </c>
      <c r="E151" s="15"/>
    </row>
    <row r="152" ht="15.0" customHeight="1">
      <c r="A152" s="16"/>
      <c r="B152" s="34" t="s">
        <v>291</v>
      </c>
      <c r="C152" s="17" t="s">
        <v>5</v>
      </c>
      <c r="D152" s="18" t="s">
        <v>292</v>
      </c>
      <c r="E152" s="15"/>
    </row>
    <row r="153" ht="15.0" customHeight="1">
      <c r="A153" s="16"/>
      <c r="B153" s="34" t="s">
        <v>293</v>
      </c>
      <c r="C153" s="17" t="s">
        <v>5</v>
      </c>
      <c r="D153" s="18" t="s">
        <v>294</v>
      </c>
      <c r="E153" s="15"/>
    </row>
    <row r="154" ht="15.0" customHeight="1">
      <c r="A154" s="16"/>
      <c r="B154" s="23" t="s">
        <v>295</v>
      </c>
      <c r="C154" s="17" t="s">
        <v>5</v>
      </c>
      <c r="D154" s="18" t="s">
        <v>296</v>
      </c>
      <c r="E154" s="15"/>
    </row>
    <row r="155" ht="15.0" customHeight="1">
      <c r="A155" s="16"/>
      <c r="B155" s="23"/>
      <c r="C155" s="17">
        <f>countif(C4:C154,"-")</f>
        <v>145</v>
      </c>
      <c r="D155" s="18"/>
      <c r="E155" s="15"/>
    </row>
    <row r="156" ht="15.0" customHeight="1">
      <c r="A156" s="16"/>
      <c r="B156" s="24"/>
      <c r="C156" s="24"/>
      <c r="D156" s="24"/>
      <c r="E156" s="25"/>
    </row>
    <row r="157" ht="15.0" customHeight="1">
      <c r="A157" s="26"/>
      <c r="B157" s="27" t="s">
        <v>297</v>
      </c>
      <c r="D157" s="28"/>
      <c r="E157" s="29"/>
    </row>
    <row r="158" ht="15.0" customHeight="1">
      <c r="A158" s="26"/>
      <c r="B158" s="35" t="s">
        <v>298</v>
      </c>
      <c r="D158" s="28"/>
      <c r="E158" s="29"/>
    </row>
    <row r="159" ht="15.0" customHeight="1">
      <c r="A159" s="16"/>
      <c r="B159" s="36" t="s">
        <v>299</v>
      </c>
      <c r="D159" s="28"/>
      <c r="E159" s="25"/>
    </row>
    <row r="160" ht="15.0" customHeight="1">
      <c r="A160" s="26"/>
      <c r="B160" s="31"/>
      <c r="C160" s="31"/>
      <c r="D160" s="31"/>
      <c r="E160" s="29"/>
    </row>
  </sheetData>
  <autoFilter ref="$A$3:$E$160">
    <sortState ref="A3:E160">
      <sortCondition ref="B3:B160"/>
    </sortState>
  </autoFilter>
  <mergeCells count="4">
    <mergeCell ref="B2:D2"/>
    <mergeCell ref="B157:D157"/>
    <mergeCell ref="B158:D158"/>
    <mergeCell ref="B159:D159"/>
  </mergeCells>
  <hyperlinks>
    <hyperlink r:id="rId1" ref="B158"/>
  </hyperlinks>
  <printOptions gridLines="1" horizontalCentered="1"/>
  <pageMargins bottom="0.75" footer="0.0" header="0.0" left="0.25" right="0.25" top="0.75"/>
  <pageSetup fitToHeight="0" orientation="portrait" pageOrder="overThenDown"/>
  <drawing r:id="rId2"/>
</worksheet>
</file>