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</sheets>
  <definedNames/>
  <calcPr/>
</workbook>
</file>

<file path=xl/sharedStrings.xml><?xml version="1.0" encoding="utf-8"?>
<sst xmlns="http://schemas.openxmlformats.org/spreadsheetml/2006/main"/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£]#,##0"/>
  </numFmts>
  <fonts count="5">
    <font>
      <sz val="10.0"/>
      <color rgb="FF000000"/>
      <name val="Arial"/>
      <scheme val="minor"/>
    </font>
    <font>
      <b/>
      <sz val="9.0"/>
      <color rgb="FF000000"/>
      <name val="Arial"/>
    </font>
    <font>
      <b/>
      <sz val="8.0"/>
      <color theme="1"/>
      <name val="Arial"/>
    </font>
    <font>
      <color theme="1"/>
      <name val="Arial"/>
    </font>
    <font>
      <color theme="1"/>
      <name val="Arial"/>
      <scheme val="minor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89D1FF"/>
        <bgColor rgb="FF89D1FF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20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vertical="center"/>
    </xf>
    <xf borderId="1" fillId="3" fontId="2" numFmtId="0" xfId="0" applyAlignment="1" applyBorder="1" applyFill="1" applyFont="1">
      <alignment vertical="top"/>
    </xf>
    <xf borderId="2" fillId="3" fontId="2" numFmtId="0" xfId="0" applyAlignment="1" applyBorder="1" applyFont="1">
      <alignment horizontal="center" vertical="top"/>
    </xf>
    <xf borderId="2" fillId="3" fontId="2" numFmtId="164" xfId="0" applyAlignment="1" applyBorder="1" applyFont="1" applyNumberFormat="1">
      <alignment horizontal="center" vertical="top"/>
    </xf>
    <xf borderId="3" fillId="0" fontId="3" numFmtId="0" xfId="0" applyAlignment="1" applyBorder="1" applyFont="1">
      <alignment vertical="bottom"/>
    </xf>
    <xf borderId="3" fillId="0" fontId="3" numFmtId="3" xfId="0" applyAlignment="1" applyBorder="1" applyFont="1" applyNumberFormat="1">
      <alignment vertical="bottom"/>
    </xf>
    <xf borderId="3" fillId="0" fontId="3" numFmtId="2" xfId="0" applyAlignment="1" applyBorder="1" applyFont="1" applyNumberFormat="1">
      <alignment vertical="bottom"/>
    </xf>
    <xf borderId="0" fillId="0" fontId="3" numFmtId="0" xfId="0" applyFont="1"/>
    <xf borderId="0" fillId="0" fontId="3" numFmtId="0" xfId="0" applyAlignment="1" applyFont="1">
      <alignment horizontal="center"/>
    </xf>
    <xf borderId="0" fillId="0" fontId="3" numFmtId="3" xfId="0" applyAlignment="1" applyFont="1" applyNumberFormat="1">
      <alignment horizontal="center"/>
    </xf>
    <xf borderId="0" fillId="0" fontId="3" numFmtId="164" xfId="0" applyAlignment="1" applyFont="1" applyNumberFormat="1">
      <alignment horizontal="center"/>
    </xf>
    <xf borderId="0" fillId="0" fontId="3" numFmtId="3" xfId="0" applyFont="1" applyNumberFormat="1"/>
    <xf borderId="0" fillId="0" fontId="3" numFmtId="2" xfId="0" applyFont="1" applyNumberFormat="1"/>
    <xf borderId="0" fillId="0" fontId="4" numFmtId="0" xfId="0" applyFont="1"/>
    <xf borderId="0" fillId="0" fontId="4" numFmtId="0" xfId="0" applyAlignment="1" applyFont="1">
      <alignment horizontal="center"/>
    </xf>
    <xf borderId="0" fillId="0" fontId="4" numFmtId="3" xfId="0" applyAlignment="1" applyFont="1" applyNumberFormat="1">
      <alignment horizontal="center"/>
    </xf>
    <xf borderId="0" fillId="0" fontId="4" numFmtId="164" xfId="0" applyAlignment="1" applyFont="1" applyNumberFormat="1">
      <alignment horizontal="center"/>
    </xf>
    <xf borderId="0" fillId="0" fontId="4" numFmtId="3" xfId="0" applyFont="1" applyNumberFormat="1"/>
    <xf borderId="0" fillId="0" fontId="4" numFmtId="2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0.25"/>
    <col customWidth="1" min="3" max="3" width="17.25"/>
    <col customWidth="1" min="4" max="4" width="66.13"/>
    <col customWidth="1" min="6" max="6" width="15.13"/>
    <col customWidth="1" min="8" max="8" width="17.75"/>
    <col customWidth="1" min="12" max="12" width="19.25"/>
    <col customWidth="1" min="13" max="13" width="17.25"/>
    <col customWidth="1" min="14" max="14" width="15.75"/>
  </cols>
  <sheetData>
    <row r="1">
      <c r="A1" s="1" t="str">
        <f>IFERROR(__xludf.DUMMYFUNCTION("IMPORTRANGE(""https://docs.google.com/spreadsheets/d/1QhfmY2ZbrnKhAkwUzNWJTRel_yMPNhiTcYxZDP5A_Ds/edit#gid=1883548055"",""Vinoselect!A1:J100000"")"),"VINOSELECT - FINE WINE LIST 
06.26.24
Contact - Olivier Bouchard (PURCHASING AND PRIVATE CLIENT SALES MANAGER) - olivier@vinoselect.co.uk")</f>
        <v>VINOSELECT - FINE WINE LIST 
06.26.24
Contact - Olivier Bouchard (PURCHASING AND PRIVATE CLIENT SALES MANAGER) - olivier@vinoselect.co.uk</v>
      </c>
    </row>
    <row r="2" ht="16.5" customHeight="1"/>
    <row r="5">
      <c r="A5" s="2" t="str">
        <f>IFERROR(__xludf.DUMMYFUNCTION("""COMPUTED_VALUE"""),"LWIN18")</f>
        <v>LWIN18</v>
      </c>
      <c r="B5" s="3" t="str">
        <f>IFERROR(__xludf.DUMMYFUNCTION("""COMPUTED_VALUE"""),"Country")</f>
        <v>Country</v>
      </c>
      <c r="C5" s="3" t="str">
        <f>IFERROR(__xludf.DUMMYFUNCTION("""COMPUTED_VALUE"""),"Region")</f>
        <v>Region</v>
      </c>
      <c r="D5" s="3" t="str">
        <f>IFERROR(__xludf.DUMMYFUNCTION("""COMPUTED_VALUE"""),"Wine")</f>
        <v>Wine</v>
      </c>
      <c r="E5" s="3" t="str">
        <f>IFERROR(__xludf.DUMMYFUNCTION("""COMPUTED_VALUE"""),"Vintage")</f>
        <v>Vintage</v>
      </c>
      <c r="F5" s="3" t="str">
        <f>IFERROR(__xludf.DUMMYFUNCTION("""COMPUTED_VALUE"""),"Format ML")</f>
        <v>Format ML</v>
      </c>
      <c r="G5" s="3" t="str">
        <f>IFERROR(__xludf.DUMMYFUNCTION("""COMPUTED_VALUE"""),"Case Size")</f>
        <v>Case Size</v>
      </c>
      <c r="H5" s="3" t="str">
        <f>IFERROR(__xludf.DUMMYFUNCTION("""COMPUTED_VALUE"""),"Case Qty")</f>
        <v>Case Qty</v>
      </c>
      <c r="I5" s="4" t="str">
        <f>IFERROR(__xludf.DUMMYFUNCTION("""COMPUTED_VALUE"""),"GBP Per Cs")</f>
        <v>GBP Per Cs</v>
      </c>
      <c r="J5" s="3" t="str">
        <f>IFERROR(__xludf.DUMMYFUNCTION("""COMPUTED_VALUE"""),"Stock Location")</f>
        <v>Stock Location</v>
      </c>
      <c r="K5" s="5"/>
      <c r="L5" s="6"/>
      <c r="M5" s="7"/>
      <c r="N5" s="7" t="str">
        <f>IFERROR(__xludf.DUMMYFUNCTION("IF(ISBLANK(M5),"""",M5*GOOGLEFINANCE(""USDGBP""))"),"")</f>
        <v/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</row>
    <row r="6">
      <c r="A6" s="8" t="str">
        <f>IFERROR(__xludf.DUMMYFUNCTION("""COMPUTED_VALUE"""),"108321720200600750")</f>
        <v>108321720200600750</v>
      </c>
      <c r="B6" s="9" t="str">
        <f>IFERROR(__xludf.DUMMYFUNCTION("""COMPUTED_VALUE"""),"Chile")</f>
        <v>Chile</v>
      </c>
      <c r="C6" s="9" t="str">
        <f>IFERROR(__xludf.DUMMYFUNCTION("""COMPUTED_VALUE"""),"aconcagua")</f>
        <v>aconcagua</v>
      </c>
      <c r="D6" s="9" t="str">
        <f>IFERROR(__xludf.DUMMYFUNCTION("""COMPUTED_VALUE"""),"Sena, Aconcagua Valley")</f>
        <v>Sena, Aconcagua Valley</v>
      </c>
      <c r="E6" s="9">
        <f>IFERROR(__xludf.DUMMYFUNCTION("""COMPUTED_VALUE"""),2020.0)</f>
        <v>2020</v>
      </c>
      <c r="F6" s="9">
        <f>IFERROR(__xludf.DUMMYFUNCTION("""COMPUTED_VALUE"""),750.0)</f>
        <v>750</v>
      </c>
      <c r="G6" s="9">
        <f>IFERROR(__xludf.DUMMYFUNCTION("""COMPUTED_VALUE"""),6.0)</f>
        <v>6</v>
      </c>
      <c r="H6" s="10">
        <f>IFERROR(__xludf.DUMMYFUNCTION("""COMPUTED_VALUE"""),8.0)</f>
        <v>8</v>
      </c>
      <c r="I6" s="11">
        <f>IFERROR(__xludf.DUMMYFUNCTION("""COMPUTED_VALUE"""),476.0)</f>
        <v>476</v>
      </c>
      <c r="J6" s="9" t="str">
        <f>IFERROR(__xludf.DUMMYFUNCTION("""COMPUTED_VALUE"""),"France")</f>
        <v>France</v>
      </c>
      <c r="K6" s="8"/>
      <c r="L6" s="12"/>
      <c r="M6" s="13"/>
      <c r="N6" s="13" t="str">
        <f>IFERROR(__xludf.DUMMYFUNCTION("IF(ISBLANK(M6),"""",M6*GOOGLEFINANCE(""USDGBP""))"),"")</f>
        <v/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</row>
    <row r="7">
      <c r="A7" s="8" t="str">
        <f>IFERROR(__xludf.DUMMYFUNCTION("""COMPUTED_VALUE"""),"100696020100600750")</f>
        <v>100696020100600750</v>
      </c>
      <c r="B7" s="9" t="str">
        <f>IFERROR(__xludf.DUMMYFUNCTION("""COMPUTED_VALUE"""),"France")</f>
        <v>France</v>
      </c>
      <c r="C7" s="9" t="str">
        <f>IFERROR(__xludf.DUMMYFUNCTION("""COMPUTED_VALUE"""),"bordeaux")</f>
        <v>bordeaux</v>
      </c>
      <c r="D7" s="9" t="str">
        <f>IFERROR(__xludf.DUMMYFUNCTION("""COMPUTED_VALUE"""),"Bellevue Mondotte, Saint-Emilion Grand Cru")</f>
        <v>Bellevue Mondotte, Saint-Emilion Grand Cru</v>
      </c>
      <c r="E7" s="9">
        <f>IFERROR(__xludf.DUMMYFUNCTION("""COMPUTED_VALUE"""),2010.0)</f>
        <v>2010</v>
      </c>
      <c r="F7" s="9">
        <f>IFERROR(__xludf.DUMMYFUNCTION("""COMPUTED_VALUE"""),750.0)</f>
        <v>750</v>
      </c>
      <c r="G7" s="9">
        <f>IFERROR(__xludf.DUMMYFUNCTION("""COMPUTED_VALUE"""),6.0)</f>
        <v>6</v>
      </c>
      <c r="H7" s="10">
        <f>IFERROR(__xludf.DUMMYFUNCTION("""COMPUTED_VALUE"""),1.0)</f>
        <v>1</v>
      </c>
      <c r="I7" s="11">
        <f>IFERROR(__xludf.DUMMYFUNCTION("""COMPUTED_VALUE"""),1091.0)</f>
        <v>1091</v>
      </c>
      <c r="J7" s="9" t="str">
        <f>IFERROR(__xludf.DUMMYFUNCTION("""COMPUTED_VALUE"""),"France")</f>
        <v>France</v>
      </c>
      <c r="K7" s="8"/>
      <c r="L7" s="12"/>
      <c r="M7" s="13"/>
      <c r="N7" s="13" t="str">
        <f>IFERROR(__xludf.DUMMYFUNCTION("IF(ISBLANK(M7),"""",M7*GOOGLEFINANCE(""USDGBP""))"),"")</f>
        <v/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</row>
    <row r="8">
      <c r="A8" s="8" t="str">
        <f>IFERROR(__xludf.DUMMYFUNCTION("""COMPUTED_VALUE"""),"100784020090600750")</f>
        <v>100784020090600750</v>
      </c>
      <c r="B8" s="9" t="str">
        <f>IFERROR(__xludf.DUMMYFUNCTION("""COMPUTED_VALUE"""),"France")</f>
        <v>France</v>
      </c>
      <c r="C8" s="9" t="str">
        <f>IFERROR(__xludf.DUMMYFUNCTION("""COMPUTED_VALUE"""),"bordeaux")</f>
        <v>bordeaux</v>
      </c>
      <c r="D8" s="9" t="str">
        <f>IFERROR(__xludf.DUMMYFUNCTION("""COMPUTED_VALUE"""),"Carruades de Lafite, Pauillac")</f>
        <v>Carruades de Lafite, Pauillac</v>
      </c>
      <c r="E8" s="9">
        <f>IFERROR(__xludf.DUMMYFUNCTION("""COMPUTED_VALUE"""),2009.0)</f>
        <v>2009</v>
      </c>
      <c r="F8" s="9">
        <f>IFERROR(__xludf.DUMMYFUNCTION("""COMPUTED_VALUE"""),750.0)</f>
        <v>750</v>
      </c>
      <c r="G8" s="9">
        <f>IFERROR(__xludf.DUMMYFUNCTION("""COMPUTED_VALUE"""),6.0)</f>
        <v>6</v>
      </c>
      <c r="H8" s="10">
        <f>IFERROR(__xludf.DUMMYFUNCTION("""COMPUTED_VALUE"""),1.0)</f>
        <v>1</v>
      </c>
      <c r="I8" s="11">
        <f>IFERROR(__xludf.DUMMYFUNCTION("""COMPUTED_VALUE"""),1470.0)</f>
        <v>1470</v>
      </c>
      <c r="J8" s="9" t="str">
        <f>IFERROR(__xludf.DUMMYFUNCTION("""COMPUTED_VALUE"""),"France")</f>
        <v>France</v>
      </c>
      <c r="K8" s="8"/>
      <c r="L8" s="12"/>
      <c r="M8" s="13"/>
      <c r="N8" s="13" t="str">
        <f>IFERROR(__xludf.DUMMYFUNCTION("IF(ISBLANK(M8),"""",M8*GOOGLEFINANCE(""USDGBP""))"),"")</f>
        <v/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</row>
    <row r="9">
      <c r="A9" s="8" t="str">
        <f>IFERROR(__xludf.DUMMYFUNCTION("""COMPUTED_VALUE"""),"100784020101200750")</f>
        <v>100784020101200750</v>
      </c>
      <c r="B9" s="9" t="str">
        <f>IFERROR(__xludf.DUMMYFUNCTION("""COMPUTED_VALUE"""),"France")</f>
        <v>France</v>
      </c>
      <c r="C9" s="9" t="str">
        <f>IFERROR(__xludf.DUMMYFUNCTION("""COMPUTED_VALUE"""),"bordeaux")</f>
        <v>bordeaux</v>
      </c>
      <c r="D9" s="9" t="str">
        <f>IFERROR(__xludf.DUMMYFUNCTION("""COMPUTED_VALUE"""),"Carruades de Lafite, Pauillac")</f>
        <v>Carruades de Lafite, Pauillac</v>
      </c>
      <c r="E9" s="9">
        <f>IFERROR(__xludf.DUMMYFUNCTION("""COMPUTED_VALUE"""),2010.0)</f>
        <v>2010</v>
      </c>
      <c r="F9" s="9">
        <f>IFERROR(__xludf.DUMMYFUNCTION("""COMPUTED_VALUE"""),750.0)</f>
        <v>750</v>
      </c>
      <c r="G9" s="9">
        <f>IFERROR(__xludf.DUMMYFUNCTION("""COMPUTED_VALUE"""),12.0)</f>
        <v>12</v>
      </c>
      <c r="H9" s="10">
        <f>IFERROR(__xludf.DUMMYFUNCTION("""COMPUTED_VALUE"""),1.0)</f>
        <v>1</v>
      </c>
      <c r="I9" s="11">
        <f>IFERROR(__xludf.DUMMYFUNCTION("""COMPUTED_VALUE"""),3006.0)</f>
        <v>3006</v>
      </c>
      <c r="J9" s="9" t="str">
        <f>IFERROR(__xludf.DUMMYFUNCTION("""COMPUTED_VALUE"""),"France")</f>
        <v>France</v>
      </c>
      <c r="K9" s="8"/>
      <c r="L9" s="12"/>
      <c r="M9" s="13"/>
      <c r="N9" s="13" t="str">
        <f>IFERROR(__xludf.DUMMYFUNCTION("IF(ISBLANK(M9),"""",M9*GOOGLEFINANCE(""USDGBP""))"),"")</f>
        <v/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</row>
    <row r="10">
      <c r="A10" s="8" t="str">
        <f>IFERROR(__xludf.DUMMYFUNCTION("""COMPUTED_VALUE"""),"100784020160600750")</f>
        <v>100784020160600750</v>
      </c>
      <c r="B10" s="9" t="str">
        <f>IFERROR(__xludf.DUMMYFUNCTION("""COMPUTED_VALUE"""),"France")</f>
        <v>France</v>
      </c>
      <c r="C10" s="9" t="str">
        <f>IFERROR(__xludf.DUMMYFUNCTION("""COMPUTED_VALUE"""),"bordeaux")</f>
        <v>bordeaux</v>
      </c>
      <c r="D10" s="9" t="str">
        <f>IFERROR(__xludf.DUMMYFUNCTION("""COMPUTED_VALUE"""),"Carruades de Lafite, Pauillac")</f>
        <v>Carruades de Lafite, Pauillac</v>
      </c>
      <c r="E10" s="9">
        <f>IFERROR(__xludf.DUMMYFUNCTION("""COMPUTED_VALUE"""),2016.0)</f>
        <v>2016</v>
      </c>
      <c r="F10" s="9">
        <f>IFERROR(__xludf.DUMMYFUNCTION("""COMPUTED_VALUE"""),750.0)</f>
        <v>750</v>
      </c>
      <c r="G10" s="9">
        <f>IFERROR(__xludf.DUMMYFUNCTION("""COMPUTED_VALUE"""),6.0)</f>
        <v>6</v>
      </c>
      <c r="H10" s="10">
        <f>IFERROR(__xludf.DUMMYFUNCTION("""COMPUTED_VALUE"""),2.0)</f>
        <v>2</v>
      </c>
      <c r="I10" s="11">
        <f>IFERROR(__xludf.DUMMYFUNCTION("""COMPUTED_VALUE"""),1458.0)</f>
        <v>1458</v>
      </c>
      <c r="J10" s="9" t="str">
        <f>IFERROR(__xludf.DUMMYFUNCTION("""COMPUTED_VALUE"""),"France")</f>
        <v>France</v>
      </c>
      <c r="K10" s="8"/>
      <c r="L10" s="12"/>
      <c r="M10" s="13"/>
      <c r="N10" s="13" t="str">
        <f>IFERROR(__xludf.DUMMYFUNCTION("IF(ISBLANK(M10),"""",M10*GOOGLEFINANCE(""USDGBP""))"),"")</f>
        <v/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</row>
    <row r="11">
      <c r="A11" s="8" t="str">
        <f>IFERROR(__xludf.DUMMYFUNCTION("""COMPUTED_VALUE"""),"100784020160101500")</f>
        <v>100784020160101500</v>
      </c>
      <c r="B11" s="9" t="str">
        <f>IFERROR(__xludf.DUMMYFUNCTION("""COMPUTED_VALUE"""),"France")</f>
        <v>France</v>
      </c>
      <c r="C11" s="9" t="str">
        <f>IFERROR(__xludf.DUMMYFUNCTION("""COMPUTED_VALUE"""),"bordeaux")</f>
        <v>bordeaux</v>
      </c>
      <c r="D11" s="9" t="str">
        <f>IFERROR(__xludf.DUMMYFUNCTION("""COMPUTED_VALUE"""),"Carruades de Lafite, Pauillac")</f>
        <v>Carruades de Lafite, Pauillac</v>
      </c>
      <c r="E11" s="9">
        <f>IFERROR(__xludf.DUMMYFUNCTION("""COMPUTED_VALUE"""),2016.0)</f>
        <v>2016</v>
      </c>
      <c r="F11" s="9">
        <f>IFERROR(__xludf.DUMMYFUNCTION("""COMPUTED_VALUE"""),1500.0)</f>
        <v>1500</v>
      </c>
      <c r="G11" s="9">
        <f>IFERROR(__xludf.DUMMYFUNCTION("""COMPUTED_VALUE"""),1.0)</f>
        <v>1</v>
      </c>
      <c r="H11" s="10">
        <f>IFERROR(__xludf.DUMMYFUNCTION("""COMPUTED_VALUE"""),1.0)</f>
        <v>1</v>
      </c>
      <c r="I11" s="11">
        <f>IFERROR(__xludf.DUMMYFUNCTION("""COMPUTED_VALUE"""),466.0)</f>
        <v>466</v>
      </c>
      <c r="J11" s="9" t="str">
        <f>IFERROR(__xludf.DUMMYFUNCTION("""COMPUTED_VALUE"""),"France")</f>
        <v>France</v>
      </c>
      <c r="K11" s="8"/>
      <c r="L11" s="12"/>
      <c r="M11" s="13"/>
      <c r="N11" s="13" t="str">
        <f>IFERROR(__xludf.DUMMYFUNCTION("IF(ISBLANK(M11),"""",M11*GOOGLEFINANCE(""USDGBP""))"),"")</f>
        <v/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</row>
    <row r="12">
      <c r="A12" s="8" t="str">
        <f>IFERROR(__xludf.DUMMYFUNCTION("""COMPUTED_VALUE"""),"100784020160301500")</f>
        <v>100784020160301500</v>
      </c>
      <c r="B12" s="9" t="str">
        <f>IFERROR(__xludf.DUMMYFUNCTION("""COMPUTED_VALUE"""),"France")</f>
        <v>France</v>
      </c>
      <c r="C12" s="9" t="str">
        <f>IFERROR(__xludf.DUMMYFUNCTION("""COMPUTED_VALUE"""),"bordeaux")</f>
        <v>bordeaux</v>
      </c>
      <c r="D12" s="9" t="str">
        <f>IFERROR(__xludf.DUMMYFUNCTION("""COMPUTED_VALUE"""),"Carruades de Lafite, Pauillac")</f>
        <v>Carruades de Lafite, Pauillac</v>
      </c>
      <c r="E12" s="9">
        <f>IFERROR(__xludf.DUMMYFUNCTION("""COMPUTED_VALUE"""),2016.0)</f>
        <v>2016</v>
      </c>
      <c r="F12" s="9">
        <f>IFERROR(__xludf.DUMMYFUNCTION("""COMPUTED_VALUE"""),1500.0)</f>
        <v>1500</v>
      </c>
      <c r="G12" s="9">
        <f>IFERROR(__xludf.DUMMYFUNCTION("""COMPUTED_VALUE"""),3.0)</f>
        <v>3</v>
      </c>
      <c r="H12" s="10">
        <f>IFERROR(__xludf.DUMMYFUNCTION("""COMPUTED_VALUE"""),1.0)</f>
        <v>1</v>
      </c>
      <c r="I12" s="11">
        <f>IFERROR(__xludf.DUMMYFUNCTION("""COMPUTED_VALUE"""),1399.0)</f>
        <v>1399</v>
      </c>
      <c r="J12" s="9" t="str">
        <f>IFERROR(__xludf.DUMMYFUNCTION("""COMPUTED_VALUE"""),"France")</f>
        <v>France</v>
      </c>
      <c r="K12" s="8"/>
      <c r="L12" s="12"/>
      <c r="M12" s="13"/>
      <c r="N12" s="13" t="str">
        <f>IFERROR(__xludf.DUMMYFUNCTION("IF(ISBLANK(M12),"""",M12*GOOGLEFINANCE(""USDGBP""))"),"")</f>
        <v/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</row>
    <row r="13">
      <c r="A13" s="8" t="str">
        <f>IFERROR(__xludf.DUMMYFUNCTION("""COMPUTED_VALUE"""),"100604520180100750")</f>
        <v>100604520180100750</v>
      </c>
      <c r="B13" s="9" t="str">
        <f>IFERROR(__xludf.DUMMYFUNCTION("""COMPUTED_VALUE"""),"France")</f>
        <v>France</v>
      </c>
      <c r="C13" s="9" t="str">
        <f>IFERROR(__xludf.DUMMYFUNCTION("""COMPUTED_VALUE"""),"bordeaux")</f>
        <v>bordeaux</v>
      </c>
      <c r="D13" s="9" t="str">
        <f>IFERROR(__xludf.DUMMYFUNCTION("""COMPUTED_VALUE"""),"Chateau Angelus, Saint-Emilion Grand Cru")</f>
        <v>Chateau Angelus, Saint-Emilion Grand Cru</v>
      </c>
      <c r="E13" s="9">
        <f>IFERROR(__xludf.DUMMYFUNCTION("""COMPUTED_VALUE"""),2018.0)</f>
        <v>2018</v>
      </c>
      <c r="F13" s="9">
        <f>IFERROR(__xludf.DUMMYFUNCTION("""COMPUTED_VALUE"""),750.0)</f>
        <v>750</v>
      </c>
      <c r="G13" s="9">
        <f>IFERROR(__xludf.DUMMYFUNCTION("""COMPUTED_VALUE"""),1.0)</f>
        <v>1</v>
      </c>
      <c r="H13" s="10">
        <f>IFERROR(__xludf.DUMMYFUNCTION("""COMPUTED_VALUE"""),3.0)</f>
        <v>3</v>
      </c>
      <c r="I13" s="11">
        <f>IFERROR(__xludf.DUMMYFUNCTION("""COMPUTED_VALUE"""),255.0)</f>
        <v>255</v>
      </c>
      <c r="J13" s="9" t="str">
        <f>IFERROR(__xludf.DUMMYFUNCTION("""COMPUTED_VALUE"""),"France")</f>
        <v>France</v>
      </c>
      <c r="K13" s="8"/>
      <c r="L13" s="12"/>
      <c r="M13" s="13"/>
      <c r="N13" s="13" t="str">
        <f>IFERROR(__xludf.DUMMYFUNCTION("IF(ISBLANK(M13),"""",M13*GOOGLEFINANCE(""USDGBP""))"),"")</f>
        <v/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</row>
    <row r="14">
      <c r="A14" s="8" t="str">
        <f>IFERROR(__xludf.DUMMYFUNCTION("""COMPUTED_VALUE"""),"100604520220300750")</f>
        <v>100604520220300750</v>
      </c>
      <c r="B14" s="9" t="str">
        <f>IFERROR(__xludf.DUMMYFUNCTION("""COMPUTED_VALUE"""),"France")</f>
        <v>France</v>
      </c>
      <c r="C14" s="9" t="str">
        <f>IFERROR(__xludf.DUMMYFUNCTION("""COMPUTED_VALUE"""),"bordeaux")</f>
        <v>bordeaux</v>
      </c>
      <c r="D14" s="9" t="str">
        <f>IFERROR(__xludf.DUMMYFUNCTION("""COMPUTED_VALUE"""),"Chateau Angelus, Saint-Emilion Grand Cru")</f>
        <v>Chateau Angelus, Saint-Emilion Grand Cru</v>
      </c>
      <c r="E14" s="9">
        <f>IFERROR(__xludf.DUMMYFUNCTION("""COMPUTED_VALUE"""),2022.0)</f>
        <v>2022</v>
      </c>
      <c r="F14" s="9">
        <f>IFERROR(__xludf.DUMMYFUNCTION("""COMPUTED_VALUE"""),750.0)</f>
        <v>750</v>
      </c>
      <c r="G14" s="9">
        <f>IFERROR(__xludf.DUMMYFUNCTION("""COMPUTED_VALUE"""),3.0)</f>
        <v>3</v>
      </c>
      <c r="H14" s="10">
        <f>IFERROR(__xludf.DUMMYFUNCTION("""COMPUTED_VALUE"""),1.0)</f>
        <v>1</v>
      </c>
      <c r="I14" s="11">
        <f>IFERROR(__xludf.DUMMYFUNCTION("""COMPUTED_VALUE"""),1120.0)</f>
        <v>1120</v>
      </c>
      <c r="J14" s="9" t="str">
        <f>IFERROR(__xludf.DUMMYFUNCTION("""COMPUTED_VALUE"""),"France")</f>
        <v>France</v>
      </c>
      <c r="K14" s="8"/>
      <c r="L14" s="12"/>
      <c r="M14" s="13"/>
      <c r="N14" s="13" t="str">
        <f>IFERROR(__xludf.DUMMYFUNCTION("IF(ISBLANK(M14),"""",M14*GOOGLEFINANCE(""USDGBP""))"),"")</f>
        <v/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</row>
    <row r="15">
      <c r="A15" s="8" t="str">
        <f>IFERROR(__xludf.DUMMYFUNCTION("""COMPUTED_VALUE"""),"100620520150100750")</f>
        <v>100620520150100750</v>
      </c>
      <c r="B15" s="9" t="str">
        <f>IFERROR(__xludf.DUMMYFUNCTION("""COMPUTED_VALUE"""),"France")</f>
        <v>France</v>
      </c>
      <c r="C15" s="9" t="str">
        <f>IFERROR(__xludf.DUMMYFUNCTION("""COMPUTED_VALUE"""),"bordeaux")</f>
        <v>bordeaux</v>
      </c>
      <c r="D15" s="9" t="str">
        <f>IFERROR(__xludf.DUMMYFUNCTION("""COMPUTED_VALUE"""),"Chateau Ausone, Saint-Emilion Grand Cru")</f>
        <v>Chateau Ausone, Saint-Emilion Grand Cru</v>
      </c>
      <c r="E15" s="9">
        <f>IFERROR(__xludf.DUMMYFUNCTION("""COMPUTED_VALUE"""),2015.0)</f>
        <v>2015</v>
      </c>
      <c r="F15" s="9">
        <f>IFERROR(__xludf.DUMMYFUNCTION("""COMPUTED_VALUE"""),750.0)</f>
        <v>750</v>
      </c>
      <c r="G15" s="9">
        <f>IFERROR(__xludf.DUMMYFUNCTION("""COMPUTED_VALUE"""),1.0)</f>
        <v>1</v>
      </c>
      <c r="H15" s="10">
        <f>IFERROR(__xludf.DUMMYFUNCTION("""COMPUTED_VALUE"""),2.0)</f>
        <v>2</v>
      </c>
      <c r="I15" s="11">
        <f>IFERROR(__xludf.DUMMYFUNCTION("""COMPUTED_VALUE"""),633.0)</f>
        <v>633</v>
      </c>
      <c r="J15" s="9" t="str">
        <f>IFERROR(__xludf.DUMMYFUNCTION("""COMPUTED_VALUE"""),"France")</f>
        <v>France</v>
      </c>
      <c r="K15" s="8"/>
      <c r="L15" s="12"/>
      <c r="M15" s="13"/>
      <c r="N15" s="13" t="str">
        <f>IFERROR(__xludf.DUMMYFUNCTION("IF(ISBLANK(M15),"""",M15*GOOGLEFINANCE(""USDGBP""))"),"")</f>
        <v/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</row>
    <row r="16">
      <c r="A16" s="8" t="str">
        <f>IFERROR(__xludf.DUMMYFUNCTION("""COMPUTED_VALUE"""),"100620520160100750")</f>
        <v>100620520160100750</v>
      </c>
      <c r="B16" s="9" t="str">
        <f>IFERROR(__xludf.DUMMYFUNCTION("""COMPUTED_VALUE"""),"France")</f>
        <v>France</v>
      </c>
      <c r="C16" s="9" t="str">
        <f>IFERROR(__xludf.DUMMYFUNCTION("""COMPUTED_VALUE"""),"bordeaux")</f>
        <v>bordeaux</v>
      </c>
      <c r="D16" s="9" t="str">
        <f>IFERROR(__xludf.DUMMYFUNCTION("""COMPUTED_VALUE"""),"Chateau Ausone, Saint-Emilion Grand Cru")</f>
        <v>Chateau Ausone, Saint-Emilion Grand Cru</v>
      </c>
      <c r="E16" s="9">
        <f>IFERROR(__xludf.DUMMYFUNCTION("""COMPUTED_VALUE"""),2016.0)</f>
        <v>2016</v>
      </c>
      <c r="F16" s="9">
        <f>IFERROR(__xludf.DUMMYFUNCTION("""COMPUTED_VALUE"""),750.0)</f>
        <v>750</v>
      </c>
      <c r="G16" s="9">
        <f>IFERROR(__xludf.DUMMYFUNCTION("""COMPUTED_VALUE"""),1.0)</f>
        <v>1</v>
      </c>
      <c r="H16" s="10">
        <f>IFERROR(__xludf.DUMMYFUNCTION("""COMPUTED_VALUE"""),2.0)</f>
        <v>2</v>
      </c>
      <c r="I16" s="11">
        <f>IFERROR(__xludf.DUMMYFUNCTION("""COMPUTED_VALUE"""),574.0)</f>
        <v>574</v>
      </c>
      <c r="J16" s="9" t="str">
        <f>IFERROR(__xludf.DUMMYFUNCTION("""COMPUTED_VALUE"""),"France")</f>
        <v>France</v>
      </c>
      <c r="K16" s="8"/>
      <c r="L16" s="12"/>
      <c r="M16" s="13"/>
      <c r="N16" s="13" t="str">
        <f>IFERROR(__xludf.DUMMYFUNCTION("IF(ISBLANK(M16),"""",M16*GOOGLEFINANCE(""USDGBP""))"),"")</f>
        <v/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</row>
    <row r="17">
      <c r="A17" s="8" t="str">
        <f>IFERROR(__xludf.DUMMYFUNCTION("""COMPUTED_VALUE"""),"100620520170100750")</f>
        <v>100620520170100750</v>
      </c>
      <c r="B17" s="9" t="str">
        <f>IFERROR(__xludf.DUMMYFUNCTION("""COMPUTED_VALUE"""),"France")</f>
        <v>France</v>
      </c>
      <c r="C17" s="9" t="str">
        <f>IFERROR(__xludf.DUMMYFUNCTION("""COMPUTED_VALUE"""),"bordeaux")</f>
        <v>bordeaux</v>
      </c>
      <c r="D17" s="9" t="str">
        <f>IFERROR(__xludf.DUMMYFUNCTION("""COMPUTED_VALUE"""),"Chateau Ausone, Saint-Emilion Grand Cru")</f>
        <v>Chateau Ausone, Saint-Emilion Grand Cru</v>
      </c>
      <c r="E17" s="9">
        <f>IFERROR(__xludf.DUMMYFUNCTION("""COMPUTED_VALUE"""),2017.0)</f>
        <v>2017</v>
      </c>
      <c r="F17" s="9">
        <f>IFERROR(__xludf.DUMMYFUNCTION("""COMPUTED_VALUE"""),750.0)</f>
        <v>750</v>
      </c>
      <c r="G17" s="9">
        <f>IFERROR(__xludf.DUMMYFUNCTION("""COMPUTED_VALUE"""),1.0)</f>
        <v>1</v>
      </c>
      <c r="H17" s="10">
        <f>IFERROR(__xludf.DUMMYFUNCTION("""COMPUTED_VALUE"""),1.0)</f>
        <v>1</v>
      </c>
      <c r="I17" s="11">
        <f>IFERROR(__xludf.DUMMYFUNCTION("""COMPUTED_VALUE"""),414.0)</f>
        <v>414</v>
      </c>
      <c r="J17" s="9" t="str">
        <f>IFERROR(__xludf.DUMMYFUNCTION("""COMPUTED_VALUE"""),"France")</f>
        <v>France</v>
      </c>
      <c r="K17" s="8"/>
      <c r="L17" s="12"/>
      <c r="M17" s="13"/>
      <c r="N17" s="13" t="str">
        <f>IFERROR(__xludf.DUMMYFUNCTION("IF(ISBLANK(M17),"""",M17*GOOGLEFINANCE(""USDGBP""))"),"")</f>
        <v/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</row>
    <row r="18">
      <c r="A18" s="8" t="str">
        <f>IFERROR(__xludf.DUMMYFUNCTION("""COMPUTED_VALUE"""),"131615320160600750")</f>
        <v>131615320160600750</v>
      </c>
      <c r="B18" s="9" t="str">
        <f>IFERROR(__xludf.DUMMYFUNCTION("""COMPUTED_VALUE"""),"France")</f>
        <v>France</v>
      </c>
      <c r="C18" s="9" t="str">
        <f>IFERROR(__xludf.DUMMYFUNCTION("""COMPUTED_VALUE"""),"bordeaux")</f>
        <v>bordeaux</v>
      </c>
      <c r="D18" s="9" t="str">
        <f>IFERROR(__xludf.DUMMYFUNCTION("""COMPUTED_VALUE"""),"Chateau Beau-Sejour Becot Premier Grand Cru Classe B, Saint-Emilion Grand Cru")</f>
        <v>Chateau Beau-Sejour Becot Premier Grand Cru Classe B, Saint-Emilion Grand Cru</v>
      </c>
      <c r="E18" s="9">
        <f>IFERROR(__xludf.DUMMYFUNCTION("""COMPUTED_VALUE"""),2016.0)</f>
        <v>2016</v>
      </c>
      <c r="F18" s="9">
        <f>IFERROR(__xludf.DUMMYFUNCTION("""COMPUTED_VALUE"""),750.0)</f>
        <v>750</v>
      </c>
      <c r="G18" s="9">
        <f>IFERROR(__xludf.DUMMYFUNCTION("""COMPUTED_VALUE"""),6.0)</f>
        <v>6</v>
      </c>
      <c r="H18" s="10">
        <f>IFERROR(__xludf.DUMMYFUNCTION("""COMPUTED_VALUE"""),1.0)</f>
        <v>1</v>
      </c>
      <c r="I18" s="11">
        <f>IFERROR(__xludf.DUMMYFUNCTION("""COMPUTED_VALUE"""),321.0)</f>
        <v>321</v>
      </c>
      <c r="J18" s="9" t="str">
        <f>IFERROR(__xludf.DUMMYFUNCTION("""COMPUTED_VALUE"""),"France")</f>
        <v>France</v>
      </c>
      <c r="K18" s="8"/>
      <c r="L18" s="12"/>
      <c r="M18" s="13"/>
      <c r="N18" s="13" t="str">
        <f>IFERROR(__xludf.DUMMYFUNCTION("IF(ISBLANK(M18),"""",M18*GOOGLEFINANCE(""USDGBP""))"),"")</f>
        <v/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</row>
    <row r="19">
      <c r="A19" s="8" t="str">
        <f>IFERROR(__xludf.DUMMYFUNCTION("""COMPUTED_VALUE"""),"131615320161200750")</f>
        <v>131615320161200750</v>
      </c>
      <c r="B19" s="9" t="str">
        <f>IFERROR(__xludf.DUMMYFUNCTION("""COMPUTED_VALUE"""),"France")</f>
        <v>France</v>
      </c>
      <c r="C19" s="9" t="str">
        <f>IFERROR(__xludf.DUMMYFUNCTION("""COMPUTED_VALUE"""),"bordeaux")</f>
        <v>bordeaux</v>
      </c>
      <c r="D19" s="9" t="str">
        <f>IFERROR(__xludf.DUMMYFUNCTION("""COMPUTED_VALUE"""),"Chateau Beau-Sejour Becot Premier Grand Cru Classe B, Saint-Emilion Grand Cru")</f>
        <v>Chateau Beau-Sejour Becot Premier Grand Cru Classe B, Saint-Emilion Grand Cru</v>
      </c>
      <c r="E19" s="9">
        <f>IFERROR(__xludf.DUMMYFUNCTION("""COMPUTED_VALUE"""),2016.0)</f>
        <v>2016</v>
      </c>
      <c r="F19" s="9">
        <f>IFERROR(__xludf.DUMMYFUNCTION("""COMPUTED_VALUE"""),750.0)</f>
        <v>750</v>
      </c>
      <c r="G19" s="9">
        <f>IFERROR(__xludf.DUMMYFUNCTION("""COMPUTED_VALUE"""),12.0)</f>
        <v>12</v>
      </c>
      <c r="H19" s="10">
        <f>IFERROR(__xludf.DUMMYFUNCTION("""COMPUTED_VALUE"""),1.0)</f>
        <v>1</v>
      </c>
      <c r="I19" s="11">
        <f>IFERROR(__xludf.DUMMYFUNCTION("""COMPUTED_VALUE"""),640.0)</f>
        <v>640</v>
      </c>
      <c r="J19" s="9" t="str">
        <f>IFERROR(__xludf.DUMMYFUNCTION("""COMPUTED_VALUE"""),"France")</f>
        <v>France</v>
      </c>
      <c r="K19" s="8"/>
      <c r="L19" s="12"/>
      <c r="M19" s="13"/>
      <c r="N19" s="13" t="str">
        <f>IFERROR(__xludf.DUMMYFUNCTION("IF(ISBLANK(M19),"""",M19*GOOGLEFINANCE(""USDGBP""))"),"")</f>
        <v/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</row>
    <row r="20">
      <c r="A20" s="8" t="str">
        <f>IFERROR(__xludf.DUMMYFUNCTION("""COMPUTED_VALUE"""),"131615320170600750")</f>
        <v>131615320170600750</v>
      </c>
      <c r="B20" s="9" t="str">
        <f>IFERROR(__xludf.DUMMYFUNCTION("""COMPUTED_VALUE"""),"France")</f>
        <v>France</v>
      </c>
      <c r="C20" s="9" t="str">
        <f>IFERROR(__xludf.DUMMYFUNCTION("""COMPUTED_VALUE"""),"bordeaux")</f>
        <v>bordeaux</v>
      </c>
      <c r="D20" s="9" t="str">
        <f>IFERROR(__xludf.DUMMYFUNCTION("""COMPUTED_VALUE"""),"Chateau Beau-Sejour Becot Premier Grand Cru Classe B, Saint-Emilion Grand Cru")</f>
        <v>Chateau Beau-Sejour Becot Premier Grand Cru Classe B, Saint-Emilion Grand Cru</v>
      </c>
      <c r="E20" s="9">
        <f>IFERROR(__xludf.DUMMYFUNCTION("""COMPUTED_VALUE"""),2017.0)</f>
        <v>2017</v>
      </c>
      <c r="F20" s="9">
        <f>IFERROR(__xludf.DUMMYFUNCTION("""COMPUTED_VALUE"""),750.0)</f>
        <v>750</v>
      </c>
      <c r="G20" s="9">
        <f>IFERROR(__xludf.DUMMYFUNCTION("""COMPUTED_VALUE"""),6.0)</f>
        <v>6</v>
      </c>
      <c r="H20" s="10">
        <f>IFERROR(__xludf.DUMMYFUNCTION("""COMPUTED_VALUE"""),42.0)</f>
        <v>42</v>
      </c>
      <c r="I20" s="11">
        <f>IFERROR(__xludf.DUMMYFUNCTION("""COMPUTED_VALUE"""),252.0)</f>
        <v>252</v>
      </c>
      <c r="J20" s="9" t="str">
        <f>IFERROR(__xludf.DUMMYFUNCTION("""COMPUTED_VALUE"""),"France")</f>
        <v>France</v>
      </c>
      <c r="K20" s="8"/>
      <c r="L20" s="12"/>
      <c r="M20" s="13"/>
      <c r="N20" s="13" t="str">
        <f>IFERROR(__xludf.DUMMYFUNCTION("IF(ISBLANK(M20),"""",M20*GOOGLEFINANCE(""USDGBP""))"),"")</f>
        <v/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</row>
    <row r="21">
      <c r="A21" s="8" t="str">
        <f>IFERROR(__xludf.DUMMYFUNCTION("""COMPUTED_VALUE"""),"131615320200600750")</f>
        <v>131615320200600750</v>
      </c>
      <c r="B21" s="9" t="str">
        <f>IFERROR(__xludf.DUMMYFUNCTION("""COMPUTED_VALUE"""),"France")</f>
        <v>France</v>
      </c>
      <c r="C21" s="9" t="str">
        <f>IFERROR(__xludf.DUMMYFUNCTION("""COMPUTED_VALUE"""),"bordeaux")</f>
        <v>bordeaux</v>
      </c>
      <c r="D21" s="9" t="str">
        <f>IFERROR(__xludf.DUMMYFUNCTION("""COMPUTED_VALUE"""),"Chateau Beau-Sejour Becot Premier Grand Cru Classe B, Saint-Emilion Grand Cru")</f>
        <v>Chateau Beau-Sejour Becot Premier Grand Cru Classe B, Saint-Emilion Grand Cru</v>
      </c>
      <c r="E21" s="9">
        <f>IFERROR(__xludf.DUMMYFUNCTION("""COMPUTED_VALUE"""),2020.0)</f>
        <v>2020</v>
      </c>
      <c r="F21" s="9">
        <f>IFERROR(__xludf.DUMMYFUNCTION("""COMPUTED_VALUE"""),750.0)</f>
        <v>750</v>
      </c>
      <c r="G21" s="9">
        <f>IFERROR(__xludf.DUMMYFUNCTION("""COMPUTED_VALUE"""),6.0)</f>
        <v>6</v>
      </c>
      <c r="H21" s="10">
        <f>IFERROR(__xludf.DUMMYFUNCTION("""COMPUTED_VALUE"""),1.0)</f>
        <v>1</v>
      </c>
      <c r="I21" s="11">
        <f>IFERROR(__xludf.DUMMYFUNCTION("""COMPUTED_VALUE"""),279.0)</f>
        <v>279</v>
      </c>
      <c r="J21" s="9" t="str">
        <f>IFERROR(__xludf.DUMMYFUNCTION("""COMPUTED_VALUE"""),"France")</f>
        <v>France</v>
      </c>
      <c r="K21" s="8"/>
      <c r="L21" s="12"/>
      <c r="M21" s="13"/>
      <c r="N21" s="13" t="str">
        <f>IFERROR(__xludf.DUMMYFUNCTION("IF(ISBLANK(M21),"""",M21*GOOGLEFINANCE(""USDGBP""))"),"")</f>
        <v/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</row>
    <row r="22">
      <c r="A22" s="8" t="str">
        <f>IFERROR(__xludf.DUMMYFUNCTION("""COMPUTED_VALUE"""),"131615320220301500")</f>
        <v>131615320220301500</v>
      </c>
      <c r="B22" s="9" t="str">
        <f>IFERROR(__xludf.DUMMYFUNCTION("""COMPUTED_VALUE"""),"France")</f>
        <v>France</v>
      </c>
      <c r="C22" s="9" t="str">
        <f>IFERROR(__xludf.DUMMYFUNCTION("""COMPUTED_VALUE"""),"bordeaux")</f>
        <v>bordeaux</v>
      </c>
      <c r="D22" s="9" t="str">
        <f>IFERROR(__xludf.DUMMYFUNCTION("""COMPUTED_VALUE"""),"Chateau Beau-Sejour Becot Premier Grand Cru Classe B, Saint-Emilion Grand Cru")</f>
        <v>Chateau Beau-Sejour Becot Premier Grand Cru Classe B, Saint-Emilion Grand Cru</v>
      </c>
      <c r="E22" s="9">
        <f>IFERROR(__xludf.DUMMYFUNCTION("""COMPUTED_VALUE"""),2022.0)</f>
        <v>2022</v>
      </c>
      <c r="F22" s="9">
        <f>IFERROR(__xludf.DUMMYFUNCTION("""COMPUTED_VALUE"""),1500.0)</f>
        <v>1500</v>
      </c>
      <c r="G22" s="9">
        <f>IFERROR(__xludf.DUMMYFUNCTION("""COMPUTED_VALUE"""),3.0)</f>
        <v>3</v>
      </c>
      <c r="H22" s="10">
        <f>IFERROR(__xludf.DUMMYFUNCTION("""COMPUTED_VALUE"""),1.0)</f>
        <v>1</v>
      </c>
      <c r="I22" s="11">
        <f>IFERROR(__xludf.DUMMYFUNCTION("""COMPUTED_VALUE"""),392.0)</f>
        <v>392</v>
      </c>
      <c r="J22" s="9" t="str">
        <f>IFERROR(__xludf.DUMMYFUNCTION("""COMPUTED_VALUE"""),"France")</f>
        <v>France</v>
      </c>
      <c r="K22" s="8"/>
      <c r="L22" s="12"/>
      <c r="M22" s="13"/>
      <c r="N22" s="13" t="str">
        <f>IFERROR(__xludf.DUMMYFUNCTION("IF(ISBLANK(M22),"""",M22*GOOGLEFINANCE(""USDGBP""))"),"")</f>
        <v/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</row>
    <row r="23">
      <c r="A23" s="8" t="str">
        <f>IFERROR(__xludf.DUMMYFUNCTION("""COMPUTED_VALUE"""),"100725720150600750")</f>
        <v>100725720150600750</v>
      </c>
      <c r="B23" s="9" t="str">
        <f>IFERROR(__xludf.DUMMYFUNCTION("""COMPUTED_VALUE"""),"France")</f>
        <v>France</v>
      </c>
      <c r="C23" s="9" t="str">
        <f>IFERROR(__xludf.DUMMYFUNCTION("""COMPUTED_VALUE"""),"bordeaux")</f>
        <v>bordeaux</v>
      </c>
      <c r="D23" s="9" t="str">
        <f>IFERROR(__xludf.DUMMYFUNCTION("""COMPUTED_VALUE"""),"Chateau Branaire-Ducru 4eme Cru Classe, Saint-Julien")</f>
        <v>Chateau Branaire-Ducru 4eme Cru Classe, Saint-Julien</v>
      </c>
      <c r="E23" s="9">
        <f>IFERROR(__xludf.DUMMYFUNCTION("""COMPUTED_VALUE"""),2015.0)</f>
        <v>2015</v>
      </c>
      <c r="F23" s="9">
        <f>IFERROR(__xludf.DUMMYFUNCTION("""COMPUTED_VALUE"""),750.0)</f>
        <v>750</v>
      </c>
      <c r="G23" s="9">
        <f>IFERROR(__xludf.DUMMYFUNCTION("""COMPUTED_VALUE"""),6.0)</f>
        <v>6</v>
      </c>
      <c r="H23" s="10">
        <f>IFERROR(__xludf.DUMMYFUNCTION("""COMPUTED_VALUE"""),1.0)</f>
        <v>1</v>
      </c>
      <c r="I23" s="11">
        <f>IFERROR(__xludf.DUMMYFUNCTION("""COMPUTED_VALUE"""),250.0)</f>
        <v>250</v>
      </c>
      <c r="J23" s="9" t="str">
        <f>IFERROR(__xludf.DUMMYFUNCTION("""COMPUTED_VALUE"""),"France")</f>
        <v>France</v>
      </c>
      <c r="K23" s="8"/>
      <c r="L23" s="12"/>
      <c r="M23" s="13"/>
      <c r="N23" s="13" t="str">
        <f>IFERROR(__xludf.DUMMYFUNCTION("IF(ISBLANK(M23),"""",M23*GOOGLEFINANCE(""USDGBP""))"),"")</f>
        <v/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</row>
    <row r="24">
      <c r="A24" s="8" t="str">
        <f>IFERROR(__xludf.DUMMYFUNCTION("""COMPUTED_VALUE"""),"100725720190600750")</f>
        <v>100725720190600750</v>
      </c>
      <c r="B24" s="9" t="str">
        <f>IFERROR(__xludf.DUMMYFUNCTION("""COMPUTED_VALUE"""),"France")</f>
        <v>France</v>
      </c>
      <c r="C24" s="9" t="str">
        <f>IFERROR(__xludf.DUMMYFUNCTION("""COMPUTED_VALUE"""),"bordeaux")</f>
        <v>bordeaux</v>
      </c>
      <c r="D24" s="9" t="str">
        <f>IFERROR(__xludf.DUMMYFUNCTION("""COMPUTED_VALUE"""),"Chateau Branaire-Ducru 4eme Cru Classe, Saint-Julien")</f>
        <v>Chateau Branaire-Ducru 4eme Cru Classe, Saint-Julien</v>
      </c>
      <c r="E24" s="9">
        <f>IFERROR(__xludf.DUMMYFUNCTION("""COMPUTED_VALUE"""),2019.0)</f>
        <v>2019</v>
      </c>
      <c r="F24" s="9">
        <f>IFERROR(__xludf.DUMMYFUNCTION("""COMPUTED_VALUE"""),750.0)</f>
        <v>750</v>
      </c>
      <c r="G24" s="9">
        <f>IFERROR(__xludf.DUMMYFUNCTION("""COMPUTED_VALUE"""),6.0)</f>
        <v>6</v>
      </c>
      <c r="H24" s="10">
        <f>IFERROR(__xludf.DUMMYFUNCTION("""COMPUTED_VALUE"""),1.0)</f>
        <v>1</v>
      </c>
      <c r="I24" s="11">
        <f>IFERROR(__xludf.DUMMYFUNCTION("""COMPUTED_VALUE"""),213.0)</f>
        <v>213</v>
      </c>
      <c r="J24" s="9" t="str">
        <f>IFERROR(__xludf.DUMMYFUNCTION("""COMPUTED_VALUE"""),"France")</f>
        <v>France</v>
      </c>
      <c r="K24" s="8"/>
      <c r="L24" s="12"/>
      <c r="M24" s="13"/>
      <c r="N24" s="13" t="str">
        <f>IFERROR(__xludf.DUMMYFUNCTION("IF(ISBLANK(M24),"""",M24*GOOGLEFINANCE(""USDGBP""))"),"")</f>
        <v/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</row>
    <row r="25">
      <c r="A25" s="8" t="str">
        <f>IFERROR(__xludf.DUMMYFUNCTION("""COMPUTED_VALUE"""),"100725720210600750")</f>
        <v>100725720210600750</v>
      </c>
      <c r="B25" s="9" t="str">
        <f>IFERROR(__xludf.DUMMYFUNCTION("""COMPUTED_VALUE"""),"France")</f>
        <v>France</v>
      </c>
      <c r="C25" s="9" t="str">
        <f>IFERROR(__xludf.DUMMYFUNCTION("""COMPUTED_VALUE"""),"bordeaux")</f>
        <v>bordeaux</v>
      </c>
      <c r="D25" s="9" t="str">
        <f>IFERROR(__xludf.DUMMYFUNCTION("""COMPUTED_VALUE"""),"Chateau Branaire-Ducru 4eme Cru Classe, Saint-Julien")</f>
        <v>Chateau Branaire-Ducru 4eme Cru Classe, Saint-Julien</v>
      </c>
      <c r="E25" s="9">
        <f>IFERROR(__xludf.DUMMYFUNCTION("""COMPUTED_VALUE"""),2021.0)</f>
        <v>2021</v>
      </c>
      <c r="F25" s="9">
        <f>IFERROR(__xludf.DUMMYFUNCTION("""COMPUTED_VALUE"""),750.0)</f>
        <v>750</v>
      </c>
      <c r="G25" s="9">
        <f>IFERROR(__xludf.DUMMYFUNCTION("""COMPUTED_VALUE"""),6.0)</f>
        <v>6</v>
      </c>
      <c r="H25" s="10">
        <f>IFERROR(__xludf.DUMMYFUNCTION("""COMPUTED_VALUE"""),1.0)</f>
        <v>1</v>
      </c>
      <c r="I25" s="11">
        <f>IFERROR(__xludf.DUMMYFUNCTION("""COMPUTED_VALUE"""),188.0)</f>
        <v>188</v>
      </c>
      <c r="J25" s="9" t="str">
        <f>IFERROR(__xludf.DUMMYFUNCTION("""COMPUTED_VALUE"""),"France")</f>
        <v>France</v>
      </c>
      <c r="K25" s="8"/>
      <c r="L25" s="12"/>
      <c r="M25" s="13"/>
      <c r="N25" s="13" t="str">
        <f>IFERROR(__xludf.DUMMYFUNCTION("IF(ISBLANK(M25),"""",M25*GOOGLEFINANCE(""USDGBP""))"),"")</f>
        <v/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</row>
    <row r="26">
      <c r="A26" s="8" t="str">
        <f>IFERROR(__xludf.DUMMYFUNCTION("""COMPUTED_VALUE"""),"100758920220600750")</f>
        <v>100758920220600750</v>
      </c>
      <c r="B26" s="9" t="str">
        <f>IFERROR(__xludf.DUMMYFUNCTION("""COMPUTED_VALUE"""),"France")</f>
        <v>France</v>
      </c>
      <c r="C26" s="9" t="str">
        <f>IFERROR(__xludf.DUMMYFUNCTION("""COMPUTED_VALUE"""),"bordeaux")</f>
        <v>bordeaux</v>
      </c>
      <c r="D26" s="9" t="str">
        <f>IFERROR(__xludf.DUMMYFUNCTION("""COMPUTED_VALUE"""),"Chateau Canon la Gaffeliere Premier Grand Cru Classe B, Saint-Emilion Grand Cru")</f>
        <v>Chateau Canon la Gaffeliere Premier Grand Cru Classe B, Saint-Emilion Grand Cru</v>
      </c>
      <c r="E26" s="9">
        <f>IFERROR(__xludf.DUMMYFUNCTION("""COMPUTED_VALUE"""),2022.0)</f>
        <v>2022</v>
      </c>
      <c r="F26" s="9">
        <f>IFERROR(__xludf.DUMMYFUNCTION("""COMPUTED_VALUE"""),750.0)</f>
        <v>750</v>
      </c>
      <c r="G26" s="9">
        <f>IFERROR(__xludf.DUMMYFUNCTION("""COMPUTED_VALUE"""),6.0)</f>
        <v>6</v>
      </c>
      <c r="H26" s="10">
        <f>IFERROR(__xludf.DUMMYFUNCTION("""COMPUTED_VALUE"""),3.0)</f>
        <v>3</v>
      </c>
      <c r="I26" s="11">
        <f>IFERROR(__xludf.DUMMYFUNCTION("""COMPUTED_VALUE"""),417.0)</f>
        <v>417</v>
      </c>
      <c r="J26" s="9" t="str">
        <f>IFERROR(__xludf.DUMMYFUNCTION("""COMPUTED_VALUE"""),"France")</f>
        <v>France</v>
      </c>
      <c r="K26" s="8"/>
      <c r="L26" s="12"/>
      <c r="M26" s="13"/>
      <c r="N26" s="13" t="str">
        <f>IFERROR(__xludf.DUMMYFUNCTION("IF(ISBLANK(M26),"""",M26*GOOGLEFINANCE(""USDGBP""))"),"")</f>
        <v/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</row>
    <row r="27">
      <c r="A27" s="8" t="str">
        <f>IFERROR(__xludf.DUMMYFUNCTION("""COMPUTED_VALUE"""),"100767720200600750")</f>
        <v>100767720200600750</v>
      </c>
      <c r="B27" s="9" t="str">
        <f>IFERROR(__xludf.DUMMYFUNCTION("""COMPUTED_VALUE"""),"France")</f>
        <v>France</v>
      </c>
      <c r="C27" s="9" t="str">
        <f>IFERROR(__xludf.DUMMYFUNCTION("""COMPUTED_VALUE"""),"bordeaux")</f>
        <v>bordeaux</v>
      </c>
      <c r="D27" s="9" t="str">
        <f>IFERROR(__xludf.DUMMYFUNCTION("""COMPUTED_VALUE"""),"Chateau Cantenac Brown 3eme Cru Classe, Margaux")</f>
        <v>Chateau Cantenac Brown 3eme Cru Classe, Margaux</v>
      </c>
      <c r="E27" s="9">
        <f>IFERROR(__xludf.DUMMYFUNCTION("""COMPUTED_VALUE"""),2020.0)</f>
        <v>2020</v>
      </c>
      <c r="F27" s="9">
        <f>IFERROR(__xludf.DUMMYFUNCTION("""COMPUTED_VALUE"""),750.0)</f>
        <v>750</v>
      </c>
      <c r="G27" s="9">
        <f>IFERROR(__xludf.DUMMYFUNCTION("""COMPUTED_VALUE"""),6.0)</f>
        <v>6</v>
      </c>
      <c r="H27" s="10">
        <f>IFERROR(__xludf.DUMMYFUNCTION("""COMPUTED_VALUE"""),1.0)</f>
        <v>1</v>
      </c>
      <c r="I27" s="11">
        <f>IFERROR(__xludf.DUMMYFUNCTION("""COMPUTED_VALUE"""),213.0)</f>
        <v>213</v>
      </c>
      <c r="J27" s="9" t="str">
        <f>IFERROR(__xludf.DUMMYFUNCTION("""COMPUTED_VALUE"""),"France")</f>
        <v>France</v>
      </c>
      <c r="K27" s="8"/>
      <c r="L27" s="12"/>
      <c r="M27" s="13"/>
      <c r="N27" s="13" t="str">
        <f>IFERROR(__xludf.DUMMYFUNCTION("IF(ISBLANK(M27),"""",M27*GOOGLEFINANCE(""USDGBP""))"),"")</f>
        <v/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</row>
    <row r="28">
      <c r="A28" s="8" t="str">
        <f>IFERROR(__xludf.DUMMYFUNCTION("""COMPUTED_VALUE"""),"100790920190600750")</f>
        <v>100790920190600750</v>
      </c>
      <c r="B28" s="9" t="str">
        <f>IFERROR(__xludf.DUMMYFUNCTION("""COMPUTED_VALUE"""),"France")</f>
        <v>France</v>
      </c>
      <c r="C28" s="9" t="str">
        <f>IFERROR(__xludf.DUMMYFUNCTION("""COMPUTED_VALUE"""),"bordeaux")</f>
        <v>bordeaux</v>
      </c>
      <c r="D28" s="9" t="str">
        <f>IFERROR(__xludf.DUMMYFUNCTION("""COMPUTED_VALUE"""),"Chateau Certan de May, Pomerol")</f>
        <v>Chateau Certan de May, Pomerol</v>
      </c>
      <c r="E28" s="9">
        <f>IFERROR(__xludf.DUMMYFUNCTION("""COMPUTED_VALUE"""),2019.0)</f>
        <v>2019</v>
      </c>
      <c r="F28" s="9">
        <f>IFERROR(__xludf.DUMMYFUNCTION("""COMPUTED_VALUE"""),750.0)</f>
        <v>750</v>
      </c>
      <c r="G28" s="9">
        <f>IFERROR(__xludf.DUMMYFUNCTION("""COMPUTED_VALUE"""),6.0)</f>
        <v>6</v>
      </c>
      <c r="H28" s="10">
        <f>IFERROR(__xludf.DUMMYFUNCTION("""COMPUTED_VALUE"""),2.0)</f>
        <v>2</v>
      </c>
      <c r="I28" s="11">
        <f>IFERROR(__xludf.DUMMYFUNCTION("""COMPUTED_VALUE"""),460.0)</f>
        <v>460</v>
      </c>
      <c r="J28" s="9" t="str">
        <f>IFERROR(__xludf.DUMMYFUNCTION("""COMPUTED_VALUE"""),"France")</f>
        <v>France</v>
      </c>
      <c r="K28" s="8"/>
      <c r="L28" s="12"/>
      <c r="M28" s="13"/>
      <c r="N28" s="13" t="str">
        <f>IFERROR(__xludf.DUMMYFUNCTION("IF(ISBLANK(M28),"""",M28*GOOGLEFINANCE(""USDGBP""))"),"")</f>
        <v/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</row>
    <row r="29">
      <c r="A29" s="8" t="str">
        <f>IFERROR(__xludf.DUMMYFUNCTION("""COMPUTED_VALUE"""),"100810820090300750")</f>
        <v>100810820090300750</v>
      </c>
      <c r="B29" s="9" t="str">
        <f>IFERROR(__xludf.DUMMYFUNCTION("""COMPUTED_VALUE"""),"France")</f>
        <v>France</v>
      </c>
      <c r="C29" s="9" t="str">
        <f>IFERROR(__xludf.DUMMYFUNCTION("""COMPUTED_VALUE"""),"bordeaux")</f>
        <v>bordeaux</v>
      </c>
      <c r="D29" s="9" t="str">
        <f>IFERROR(__xludf.DUMMYFUNCTION("""COMPUTED_VALUE"""),"Chateau Cheval Blanc, Saint-Emilion Grand Cru")</f>
        <v>Chateau Cheval Blanc, Saint-Emilion Grand Cru</v>
      </c>
      <c r="E29" s="9">
        <f>IFERROR(__xludf.DUMMYFUNCTION("""COMPUTED_VALUE"""),2009.0)</f>
        <v>2009</v>
      </c>
      <c r="F29" s="9">
        <f>IFERROR(__xludf.DUMMYFUNCTION("""COMPUTED_VALUE"""),750.0)</f>
        <v>750</v>
      </c>
      <c r="G29" s="9">
        <f>IFERROR(__xludf.DUMMYFUNCTION("""COMPUTED_VALUE"""),3.0)</f>
        <v>3</v>
      </c>
      <c r="H29" s="10">
        <f>IFERROR(__xludf.DUMMYFUNCTION("""COMPUTED_VALUE"""),1.0)</f>
        <v>1</v>
      </c>
      <c r="I29" s="11">
        <f>IFERROR(__xludf.DUMMYFUNCTION("""COMPUTED_VALUE"""),2351.0)</f>
        <v>2351</v>
      </c>
      <c r="J29" s="9" t="str">
        <f>IFERROR(__xludf.DUMMYFUNCTION("""COMPUTED_VALUE"""),"France")</f>
        <v>France</v>
      </c>
      <c r="K29" s="8"/>
      <c r="L29" s="12"/>
      <c r="M29" s="13"/>
      <c r="N29" s="13" t="str">
        <f>IFERROR(__xludf.DUMMYFUNCTION("IF(ISBLANK(M29),"""",M29*GOOGLEFINANCE(""USDGBP""))"),"")</f>
        <v/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</row>
    <row r="30">
      <c r="A30" s="8" t="str">
        <f>IFERROR(__xludf.DUMMYFUNCTION("""COMPUTED_VALUE"""),"100810820090600750")</f>
        <v>100810820090600750</v>
      </c>
      <c r="B30" s="9" t="str">
        <f>IFERROR(__xludf.DUMMYFUNCTION("""COMPUTED_VALUE"""),"France")</f>
        <v>France</v>
      </c>
      <c r="C30" s="9" t="str">
        <f>IFERROR(__xludf.DUMMYFUNCTION("""COMPUTED_VALUE"""),"bordeaux")</f>
        <v>bordeaux</v>
      </c>
      <c r="D30" s="9" t="str">
        <f>IFERROR(__xludf.DUMMYFUNCTION("""COMPUTED_VALUE"""),"Chateau Cheval Blanc, Saint-Emilion Grand Cru")</f>
        <v>Chateau Cheval Blanc, Saint-Emilion Grand Cru</v>
      </c>
      <c r="E30" s="9">
        <f>IFERROR(__xludf.DUMMYFUNCTION("""COMPUTED_VALUE"""),2009.0)</f>
        <v>2009</v>
      </c>
      <c r="F30" s="9">
        <f>IFERROR(__xludf.DUMMYFUNCTION("""COMPUTED_VALUE"""),750.0)</f>
        <v>750</v>
      </c>
      <c r="G30" s="9">
        <f>IFERROR(__xludf.DUMMYFUNCTION("""COMPUTED_VALUE"""),6.0)</f>
        <v>6</v>
      </c>
      <c r="H30" s="10">
        <f>IFERROR(__xludf.DUMMYFUNCTION("""COMPUTED_VALUE"""),2.0)</f>
        <v>2</v>
      </c>
      <c r="I30" s="11">
        <f>IFERROR(__xludf.DUMMYFUNCTION("""COMPUTED_VALUE"""),4702.0)</f>
        <v>4702</v>
      </c>
      <c r="J30" s="9" t="str">
        <f>IFERROR(__xludf.DUMMYFUNCTION("""COMPUTED_VALUE"""),"France")</f>
        <v>France</v>
      </c>
      <c r="K30" s="8"/>
      <c r="L30" s="12"/>
      <c r="M30" s="13"/>
      <c r="N30" s="13" t="str">
        <f>IFERROR(__xludf.DUMMYFUNCTION("IF(ISBLANK(M30),"""",M30*GOOGLEFINANCE(""USDGBP""))"),"")</f>
        <v/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</row>
    <row r="31">
      <c r="A31" s="8" t="str">
        <f>IFERROR(__xludf.DUMMYFUNCTION("""COMPUTED_VALUE"""),"100810820100300750")</f>
        <v>100810820100300750</v>
      </c>
      <c r="B31" s="9" t="str">
        <f>IFERROR(__xludf.DUMMYFUNCTION("""COMPUTED_VALUE"""),"France")</f>
        <v>France</v>
      </c>
      <c r="C31" s="9" t="str">
        <f>IFERROR(__xludf.DUMMYFUNCTION("""COMPUTED_VALUE"""),"bordeaux")</f>
        <v>bordeaux</v>
      </c>
      <c r="D31" s="9" t="str">
        <f>IFERROR(__xludf.DUMMYFUNCTION("""COMPUTED_VALUE"""),"Chateau Cheval Blanc, Saint-Emilion Grand Cru")</f>
        <v>Chateau Cheval Blanc, Saint-Emilion Grand Cru</v>
      </c>
      <c r="E31" s="9">
        <f>IFERROR(__xludf.DUMMYFUNCTION("""COMPUTED_VALUE"""),2010.0)</f>
        <v>2010</v>
      </c>
      <c r="F31" s="9">
        <f>IFERROR(__xludf.DUMMYFUNCTION("""COMPUTED_VALUE"""),750.0)</f>
        <v>750</v>
      </c>
      <c r="G31" s="9">
        <f>IFERROR(__xludf.DUMMYFUNCTION("""COMPUTED_VALUE"""),3.0)</f>
        <v>3</v>
      </c>
      <c r="H31" s="10">
        <f>IFERROR(__xludf.DUMMYFUNCTION("""COMPUTED_VALUE"""),2.0)</f>
        <v>2</v>
      </c>
      <c r="I31" s="11">
        <f>IFERROR(__xludf.DUMMYFUNCTION("""COMPUTED_VALUE"""),2463.0)</f>
        <v>2463</v>
      </c>
      <c r="J31" s="9" t="str">
        <f>IFERROR(__xludf.DUMMYFUNCTION("""COMPUTED_VALUE"""),"France")</f>
        <v>France</v>
      </c>
      <c r="K31" s="8"/>
      <c r="L31" s="12"/>
      <c r="M31" s="13"/>
      <c r="N31" s="13" t="str">
        <f>IFERROR(__xludf.DUMMYFUNCTION("IF(ISBLANK(M31),"""",M31*GOOGLEFINANCE(""USDGBP""))"),"")</f>
        <v/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</row>
    <row r="32">
      <c r="A32" s="8" t="str">
        <f>IFERROR(__xludf.DUMMYFUNCTION("""COMPUTED_VALUE"""),"100810820150100750")</f>
        <v>100810820150100750</v>
      </c>
      <c r="B32" s="9" t="str">
        <f>IFERROR(__xludf.DUMMYFUNCTION("""COMPUTED_VALUE"""),"France")</f>
        <v>France</v>
      </c>
      <c r="C32" s="9" t="str">
        <f>IFERROR(__xludf.DUMMYFUNCTION("""COMPUTED_VALUE"""),"bordeaux")</f>
        <v>bordeaux</v>
      </c>
      <c r="D32" s="9" t="str">
        <f>IFERROR(__xludf.DUMMYFUNCTION("""COMPUTED_VALUE"""),"Chateau Cheval Blanc, Saint-Emilion Grand Cru")</f>
        <v>Chateau Cheval Blanc, Saint-Emilion Grand Cru</v>
      </c>
      <c r="E32" s="9">
        <f>IFERROR(__xludf.DUMMYFUNCTION("""COMPUTED_VALUE"""),2015.0)</f>
        <v>2015</v>
      </c>
      <c r="F32" s="9">
        <f>IFERROR(__xludf.DUMMYFUNCTION("""COMPUTED_VALUE"""),750.0)</f>
        <v>750</v>
      </c>
      <c r="G32" s="9">
        <f>IFERROR(__xludf.DUMMYFUNCTION("""COMPUTED_VALUE"""),1.0)</f>
        <v>1</v>
      </c>
      <c r="H32" s="10">
        <f>IFERROR(__xludf.DUMMYFUNCTION("""COMPUTED_VALUE"""),9.0)</f>
        <v>9</v>
      </c>
      <c r="I32" s="11">
        <f>IFERROR(__xludf.DUMMYFUNCTION("""COMPUTED_VALUE"""),617.0)</f>
        <v>617</v>
      </c>
      <c r="J32" s="9" t="str">
        <f>IFERROR(__xludf.DUMMYFUNCTION("""COMPUTED_VALUE"""),"France")</f>
        <v>France</v>
      </c>
      <c r="K32" s="8"/>
      <c r="L32" s="12"/>
      <c r="M32" s="13"/>
      <c r="N32" s="13" t="str">
        <f>IFERROR(__xludf.DUMMYFUNCTION("IF(ISBLANK(M32),"""",M32*GOOGLEFINANCE(""USDGBP""))"),"")</f>
        <v/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</row>
    <row r="33">
      <c r="A33" s="8" t="str">
        <f>IFERROR(__xludf.DUMMYFUNCTION("""COMPUTED_VALUE"""),"100810820160300750")</f>
        <v>100810820160300750</v>
      </c>
      <c r="B33" s="9" t="str">
        <f>IFERROR(__xludf.DUMMYFUNCTION("""COMPUTED_VALUE"""),"France")</f>
        <v>France</v>
      </c>
      <c r="C33" s="9" t="str">
        <f>IFERROR(__xludf.DUMMYFUNCTION("""COMPUTED_VALUE"""),"bordeaux")</f>
        <v>bordeaux</v>
      </c>
      <c r="D33" s="9" t="str">
        <f>IFERROR(__xludf.DUMMYFUNCTION("""COMPUTED_VALUE"""),"Chateau Cheval Blanc, Saint-Emilion Grand Cru")</f>
        <v>Chateau Cheval Blanc, Saint-Emilion Grand Cru</v>
      </c>
      <c r="E33" s="9">
        <f>IFERROR(__xludf.DUMMYFUNCTION("""COMPUTED_VALUE"""),2016.0)</f>
        <v>2016</v>
      </c>
      <c r="F33" s="9">
        <f>IFERROR(__xludf.DUMMYFUNCTION("""COMPUTED_VALUE"""),750.0)</f>
        <v>750</v>
      </c>
      <c r="G33" s="9">
        <f>IFERROR(__xludf.DUMMYFUNCTION("""COMPUTED_VALUE"""),3.0)</f>
        <v>3</v>
      </c>
      <c r="H33" s="10">
        <f>IFERROR(__xludf.DUMMYFUNCTION("""COMPUTED_VALUE"""),2.0)</f>
        <v>2</v>
      </c>
      <c r="I33" s="11">
        <f>IFERROR(__xludf.DUMMYFUNCTION("""COMPUTED_VALUE"""),1699.0)</f>
        <v>1699</v>
      </c>
      <c r="J33" s="9" t="str">
        <f>IFERROR(__xludf.DUMMYFUNCTION("""COMPUTED_VALUE"""),"France")</f>
        <v>France</v>
      </c>
      <c r="K33" s="8"/>
      <c r="L33" s="12"/>
      <c r="M33" s="13"/>
      <c r="N33" s="13" t="str">
        <f>IFERROR(__xludf.DUMMYFUNCTION("IF(ISBLANK(M33),"""",M33*GOOGLEFINANCE(""USDGBP""))"),"")</f>
        <v/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</row>
    <row r="34">
      <c r="A34" s="8" t="str">
        <f>IFERROR(__xludf.DUMMYFUNCTION("""COMPUTED_VALUE"""),"100810820160100750")</f>
        <v>100810820160100750</v>
      </c>
      <c r="B34" s="9" t="str">
        <f>IFERROR(__xludf.DUMMYFUNCTION("""COMPUTED_VALUE"""),"France")</f>
        <v>France</v>
      </c>
      <c r="C34" s="9" t="str">
        <f>IFERROR(__xludf.DUMMYFUNCTION("""COMPUTED_VALUE"""),"bordeaux")</f>
        <v>bordeaux</v>
      </c>
      <c r="D34" s="9" t="str">
        <f>IFERROR(__xludf.DUMMYFUNCTION("""COMPUTED_VALUE"""),"Chateau Cheval Blanc, Saint-Emilion Grand Cru")</f>
        <v>Chateau Cheval Blanc, Saint-Emilion Grand Cru</v>
      </c>
      <c r="E34" s="9">
        <f>IFERROR(__xludf.DUMMYFUNCTION("""COMPUTED_VALUE"""),2016.0)</f>
        <v>2016</v>
      </c>
      <c r="F34" s="9">
        <f>IFERROR(__xludf.DUMMYFUNCTION("""COMPUTED_VALUE"""),750.0)</f>
        <v>750</v>
      </c>
      <c r="G34" s="9">
        <f>IFERROR(__xludf.DUMMYFUNCTION("""COMPUTED_VALUE"""),1.0)</f>
        <v>1</v>
      </c>
      <c r="H34" s="10">
        <f>IFERROR(__xludf.DUMMYFUNCTION("""COMPUTED_VALUE"""),9.0)</f>
        <v>9</v>
      </c>
      <c r="I34" s="11">
        <f>IFERROR(__xludf.DUMMYFUNCTION("""COMPUTED_VALUE"""),567.0)</f>
        <v>567</v>
      </c>
      <c r="J34" s="9" t="str">
        <f>IFERROR(__xludf.DUMMYFUNCTION("""COMPUTED_VALUE"""),"France")</f>
        <v>France</v>
      </c>
      <c r="K34" s="8"/>
      <c r="L34" s="12"/>
      <c r="M34" s="13"/>
      <c r="N34" s="13" t="str">
        <f>IFERROR(__xludf.DUMMYFUNCTION("IF(ISBLANK(M34),"""",M34*GOOGLEFINANCE(""USDGBP""))"),"")</f>
        <v/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</row>
    <row r="35">
      <c r="A35" s="8" t="str">
        <f>IFERROR(__xludf.DUMMYFUNCTION("""COMPUTED_VALUE"""),"100810820200300750")</f>
        <v>100810820200300750</v>
      </c>
      <c r="B35" s="9" t="str">
        <f>IFERROR(__xludf.DUMMYFUNCTION("""COMPUTED_VALUE"""),"France")</f>
        <v>France</v>
      </c>
      <c r="C35" s="9" t="str">
        <f>IFERROR(__xludf.DUMMYFUNCTION("""COMPUTED_VALUE"""),"bordeaux")</f>
        <v>bordeaux</v>
      </c>
      <c r="D35" s="9" t="str">
        <f>IFERROR(__xludf.DUMMYFUNCTION("""COMPUTED_VALUE"""),"Chateau Cheval Blanc, Saint-Emilion Grand Cru")</f>
        <v>Chateau Cheval Blanc, Saint-Emilion Grand Cru</v>
      </c>
      <c r="E35" s="9">
        <f>IFERROR(__xludf.DUMMYFUNCTION("""COMPUTED_VALUE"""),2020.0)</f>
        <v>2020</v>
      </c>
      <c r="F35" s="9">
        <f>IFERROR(__xludf.DUMMYFUNCTION("""COMPUTED_VALUE"""),750.0)</f>
        <v>750</v>
      </c>
      <c r="G35" s="9">
        <f>IFERROR(__xludf.DUMMYFUNCTION("""COMPUTED_VALUE"""),3.0)</f>
        <v>3</v>
      </c>
      <c r="H35" s="10">
        <f>IFERROR(__xludf.DUMMYFUNCTION("""COMPUTED_VALUE"""),1.0)</f>
        <v>1</v>
      </c>
      <c r="I35" s="11">
        <f>IFERROR(__xludf.DUMMYFUNCTION("""COMPUTED_VALUE"""),1243.0)</f>
        <v>1243</v>
      </c>
      <c r="J35" s="9" t="str">
        <f>IFERROR(__xludf.DUMMYFUNCTION("""COMPUTED_VALUE"""),"France")</f>
        <v>France</v>
      </c>
      <c r="K35" s="8"/>
      <c r="L35" s="12"/>
      <c r="M35" s="13"/>
      <c r="N35" s="13" t="str">
        <f>IFERROR(__xludf.DUMMYFUNCTION("IF(ISBLANK(M35),"""",M35*GOOGLEFINANCE(""USDGBP""))"),"")</f>
        <v/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</row>
    <row r="36">
      <c r="A36" s="8" t="str">
        <f>IFERROR(__xludf.DUMMYFUNCTION("""COMPUTED_VALUE"""),"100849820200600750")</f>
        <v>100849820200600750</v>
      </c>
      <c r="B36" s="9" t="str">
        <f>IFERROR(__xludf.DUMMYFUNCTION("""COMPUTED_VALUE"""),"France")</f>
        <v>France</v>
      </c>
      <c r="C36" s="9" t="str">
        <f>IFERROR(__xludf.DUMMYFUNCTION("""COMPUTED_VALUE"""),"bordeaux")</f>
        <v>bordeaux</v>
      </c>
      <c r="D36" s="9" t="str">
        <f>IFERROR(__xludf.DUMMYFUNCTION("""COMPUTED_VALUE"""),"Chateau Clos de Sarpe Grand Cru Classe, Saint-Emilion Grand Cru")</f>
        <v>Chateau Clos de Sarpe Grand Cru Classe, Saint-Emilion Grand Cru</v>
      </c>
      <c r="E36" s="9">
        <f>IFERROR(__xludf.DUMMYFUNCTION("""COMPUTED_VALUE"""),2020.0)</f>
        <v>2020</v>
      </c>
      <c r="F36" s="9">
        <f>IFERROR(__xludf.DUMMYFUNCTION("""COMPUTED_VALUE"""),750.0)</f>
        <v>750</v>
      </c>
      <c r="G36" s="9">
        <f>IFERROR(__xludf.DUMMYFUNCTION("""COMPUTED_VALUE"""),6.0)</f>
        <v>6</v>
      </c>
      <c r="H36" s="10">
        <f>IFERROR(__xludf.DUMMYFUNCTION("""COMPUTED_VALUE"""),1.0)</f>
        <v>1</v>
      </c>
      <c r="I36" s="11">
        <f>IFERROR(__xludf.DUMMYFUNCTION("""COMPUTED_VALUE"""),252.0)</f>
        <v>252</v>
      </c>
      <c r="J36" s="9" t="str">
        <f>IFERROR(__xludf.DUMMYFUNCTION("""COMPUTED_VALUE"""),"France")</f>
        <v>France</v>
      </c>
      <c r="K36" s="8"/>
      <c r="L36" s="12"/>
      <c r="M36" s="13"/>
      <c r="N36" s="13" t="str">
        <f>IFERROR(__xludf.DUMMYFUNCTION("IF(ISBLANK(M36),"""",M36*GOOGLEFINANCE(""USDGBP""))"),"")</f>
        <v/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</row>
    <row r="37">
      <c r="A37" s="8" t="str">
        <f>IFERROR(__xludf.DUMMYFUNCTION("""COMPUTED_VALUE"""),"100951220190600750")</f>
        <v>100951220190600750</v>
      </c>
      <c r="B37" s="9" t="str">
        <f>IFERROR(__xludf.DUMMYFUNCTION("""COMPUTED_VALUE"""),"France")</f>
        <v>France</v>
      </c>
      <c r="C37" s="9" t="str">
        <f>IFERROR(__xludf.DUMMYFUNCTION("""COMPUTED_VALUE"""),"bordeaux")</f>
        <v>bordeaux</v>
      </c>
      <c r="D37" s="9" t="str">
        <f>IFERROR(__xludf.DUMMYFUNCTION("""COMPUTED_VALUE"""),"Chateau Durfort-Vivens 2eme Cru Classe, Margaux")</f>
        <v>Chateau Durfort-Vivens 2eme Cru Classe, Margaux</v>
      </c>
      <c r="E37" s="9">
        <f>IFERROR(__xludf.DUMMYFUNCTION("""COMPUTED_VALUE"""),2019.0)</f>
        <v>2019</v>
      </c>
      <c r="F37" s="9">
        <f>IFERROR(__xludf.DUMMYFUNCTION("""COMPUTED_VALUE"""),750.0)</f>
        <v>750</v>
      </c>
      <c r="G37" s="9">
        <f>IFERROR(__xludf.DUMMYFUNCTION("""COMPUTED_VALUE"""),6.0)</f>
        <v>6</v>
      </c>
      <c r="H37" s="10">
        <f>IFERROR(__xludf.DUMMYFUNCTION("""COMPUTED_VALUE"""),4.0)</f>
        <v>4</v>
      </c>
      <c r="I37" s="11">
        <f>IFERROR(__xludf.DUMMYFUNCTION("""COMPUTED_VALUE"""),278.0)</f>
        <v>278</v>
      </c>
      <c r="J37" s="9" t="str">
        <f>IFERROR(__xludf.DUMMYFUNCTION("""COMPUTED_VALUE"""),"France")</f>
        <v>France</v>
      </c>
      <c r="K37" s="8"/>
      <c r="L37" s="12"/>
      <c r="M37" s="13"/>
      <c r="N37" s="13" t="str">
        <f>IFERROR(__xludf.DUMMYFUNCTION("IF(ISBLANK(M37),"""",M37*GOOGLEFINANCE(""USDGBP""))"),"")</f>
        <v/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</row>
    <row r="38">
      <c r="A38" s="8" t="str">
        <f>IFERROR(__xludf.DUMMYFUNCTION("""COMPUTED_VALUE"""),"100951220200600750")</f>
        <v>100951220200600750</v>
      </c>
      <c r="B38" s="9" t="str">
        <f>IFERROR(__xludf.DUMMYFUNCTION("""COMPUTED_VALUE"""),"France")</f>
        <v>France</v>
      </c>
      <c r="C38" s="9" t="str">
        <f>IFERROR(__xludf.DUMMYFUNCTION("""COMPUTED_VALUE"""),"bordeaux")</f>
        <v>bordeaux</v>
      </c>
      <c r="D38" s="9" t="str">
        <f>IFERROR(__xludf.DUMMYFUNCTION("""COMPUTED_VALUE"""),"Chateau Durfort-Vivens 2eme Cru Classe, Margaux")</f>
        <v>Chateau Durfort-Vivens 2eme Cru Classe, Margaux</v>
      </c>
      <c r="E38" s="9">
        <f>IFERROR(__xludf.DUMMYFUNCTION("""COMPUTED_VALUE"""),2020.0)</f>
        <v>2020</v>
      </c>
      <c r="F38" s="9">
        <f>IFERROR(__xludf.DUMMYFUNCTION("""COMPUTED_VALUE"""),750.0)</f>
        <v>750</v>
      </c>
      <c r="G38" s="9">
        <f>IFERROR(__xludf.DUMMYFUNCTION("""COMPUTED_VALUE"""),6.0)</f>
        <v>6</v>
      </c>
      <c r="H38" s="10">
        <f>IFERROR(__xludf.DUMMYFUNCTION("""COMPUTED_VALUE"""),12.0)</f>
        <v>12</v>
      </c>
      <c r="I38" s="11">
        <f>IFERROR(__xludf.DUMMYFUNCTION("""COMPUTED_VALUE"""),269.0)</f>
        <v>269</v>
      </c>
      <c r="J38" s="9" t="str">
        <f>IFERROR(__xludf.DUMMYFUNCTION("""COMPUTED_VALUE"""),"France")</f>
        <v>France</v>
      </c>
      <c r="K38" s="8"/>
      <c r="L38" s="12"/>
      <c r="M38" s="13"/>
      <c r="N38" s="13" t="str">
        <f>IFERROR(__xludf.DUMMYFUNCTION("IF(ISBLANK(M38),"""",M38*GOOGLEFINANCE(""USDGBP""))"),"")</f>
        <v/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</row>
    <row r="39">
      <c r="A39" s="8" t="str">
        <f>IFERROR(__xludf.DUMMYFUNCTION("""COMPUTED_VALUE"""),"100976920101200750")</f>
        <v>100976920101200750</v>
      </c>
      <c r="B39" s="9" t="str">
        <f>IFERROR(__xludf.DUMMYFUNCTION("""COMPUTED_VALUE"""),"France")</f>
        <v>France</v>
      </c>
      <c r="C39" s="9" t="str">
        <f>IFERROR(__xludf.DUMMYFUNCTION("""COMPUTED_VALUE"""),"bordeaux")</f>
        <v>bordeaux</v>
      </c>
      <c r="D39" s="9" t="str">
        <f>IFERROR(__xludf.DUMMYFUNCTION("""COMPUTED_VALUE"""),"Chateau Figeac Premier Grand Cru Classe A, Saint-Emilion Grand Cru")</f>
        <v>Chateau Figeac Premier Grand Cru Classe A, Saint-Emilion Grand Cru</v>
      </c>
      <c r="E39" s="9">
        <f>IFERROR(__xludf.DUMMYFUNCTION("""COMPUTED_VALUE"""),2010.0)</f>
        <v>2010</v>
      </c>
      <c r="F39" s="9">
        <f>IFERROR(__xludf.DUMMYFUNCTION("""COMPUTED_VALUE"""),750.0)</f>
        <v>750</v>
      </c>
      <c r="G39" s="9">
        <f>IFERROR(__xludf.DUMMYFUNCTION("""COMPUTED_VALUE"""),12.0)</f>
        <v>12</v>
      </c>
      <c r="H39" s="10">
        <f>IFERROR(__xludf.DUMMYFUNCTION("""COMPUTED_VALUE"""),1.0)</f>
        <v>1</v>
      </c>
      <c r="I39" s="11">
        <f>IFERROR(__xludf.DUMMYFUNCTION("""COMPUTED_VALUE"""),2642.0)</f>
        <v>2642</v>
      </c>
      <c r="J39" s="9" t="str">
        <f>IFERROR(__xludf.DUMMYFUNCTION("""COMPUTED_VALUE"""),"France")</f>
        <v>France</v>
      </c>
      <c r="K39" s="8"/>
      <c r="L39" s="12"/>
      <c r="M39" s="13"/>
      <c r="N39" s="13" t="str">
        <f>IFERROR(__xludf.DUMMYFUNCTION("IF(ISBLANK(M39),"""",M39*GOOGLEFINANCE(""USDGBP""))"),"")</f>
        <v/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</row>
    <row r="40">
      <c r="A40" s="8" t="str">
        <f>IFERROR(__xludf.DUMMYFUNCTION("""COMPUTED_VALUE"""),"100976920100600750")</f>
        <v>100976920100600750</v>
      </c>
      <c r="B40" s="9" t="str">
        <f>IFERROR(__xludf.DUMMYFUNCTION("""COMPUTED_VALUE"""),"France")</f>
        <v>France</v>
      </c>
      <c r="C40" s="9" t="str">
        <f>IFERROR(__xludf.DUMMYFUNCTION("""COMPUTED_VALUE"""),"bordeaux")</f>
        <v>bordeaux</v>
      </c>
      <c r="D40" s="9" t="str">
        <f>IFERROR(__xludf.DUMMYFUNCTION("""COMPUTED_VALUE"""),"Chateau Figeac Premier Grand Cru Classe A, Saint-Emilion Grand Cru")</f>
        <v>Chateau Figeac Premier Grand Cru Classe A, Saint-Emilion Grand Cru</v>
      </c>
      <c r="E40" s="9">
        <f>IFERROR(__xludf.DUMMYFUNCTION("""COMPUTED_VALUE"""),2010.0)</f>
        <v>2010</v>
      </c>
      <c r="F40" s="9">
        <f>IFERROR(__xludf.DUMMYFUNCTION("""COMPUTED_VALUE"""),750.0)</f>
        <v>750</v>
      </c>
      <c r="G40" s="9">
        <f>IFERROR(__xludf.DUMMYFUNCTION("""COMPUTED_VALUE"""),6.0)</f>
        <v>6</v>
      </c>
      <c r="H40" s="10">
        <f>IFERROR(__xludf.DUMMYFUNCTION("""COMPUTED_VALUE"""),5.0)</f>
        <v>5</v>
      </c>
      <c r="I40" s="11">
        <f>IFERROR(__xludf.DUMMYFUNCTION("""COMPUTED_VALUE"""),1321.0)</f>
        <v>1321</v>
      </c>
      <c r="J40" s="9" t="str">
        <f>IFERROR(__xludf.DUMMYFUNCTION("""COMPUTED_VALUE"""),"France")</f>
        <v>France</v>
      </c>
      <c r="K40" s="8"/>
      <c r="L40" s="12"/>
      <c r="M40" s="13"/>
      <c r="N40" s="13" t="str">
        <f>IFERROR(__xludf.DUMMYFUNCTION("IF(ISBLANK(M40),"""",M40*GOOGLEFINANCE(""USDGBP""))"),"")</f>
        <v/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</row>
    <row r="41">
      <c r="A41" s="8" t="str">
        <f>IFERROR(__xludf.DUMMYFUNCTION("""COMPUTED_VALUE"""),"101051420170600750")</f>
        <v>101051420170600750</v>
      </c>
      <c r="B41" s="9" t="str">
        <f>IFERROR(__xludf.DUMMYFUNCTION("""COMPUTED_VALUE"""),"France")</f>
        <v>France</v>
      </c>
      <c r="C41" s="9" t="str">
        <f>IFERROR(__xludf.DUMMYFUNCTION("""COMPUTED_VALUE"""),"bordeaux")</f>
        <v>bordeaux</v>
      </c>
      <c r="D41" s="9" t="str">
        <f>IFERROR(__xludf.DUMMYFUNCTION("""COMPUTED_VALUE"""),"Chateau Gazin, Pomerol")</f>
        <v>Chateau Gazin, Pomerol</v>
      </c>
      <c r="E41" s="9">
        <f>IFERROR(__xludf.DUMMYFUNCTION("""COMPUTED_VALUE"""),2017.0)</f>
        <v>2017</v>
      </c>
      <c r="F41" s="9">
        <f>IFERROR(__xludf.DUMMYFUNCTION("""COMPUTED_VALUE"""),750.0)</f>
        <v>750</v>
      </c>
      <c r="G41" s="9">
        <f>IFERROR(__xludf.DUMMYFUNCTION("""COMPUTED_VALUE"""),6.0)</f>
        <v>6</v>
      </c>
      <c r="H41" s="10">
        <f>IFERROR(__xludf.DUMMYFUNCTION("""COMPUTED_VALUE"""),8.0)</f>
        <v>8</v>
      </c>
      <c r="I41" s="11">
        <f>IFERROR(__xludf.DUMMYFUNCTION("""COMPUTED_VALUE"""),319.0)</f>
        <v>319</v>
      </c>
      <c r="J41" s="9" t="str">
        <f>IFERROR(__xludf.DUMMYFUNCTION("""COMPUTED_VALUE"""),"France")</f>
        <v>France</v>
      </c>
      <c r="K41" s="8"/>
      <c r="L41" s="12"/>
      <c r="M41" s="13"/>
      <c r="N41" s="13" t="str">
        <f>IFERROR(__xludf.DUMMYFUNCTION("IF(ISBLANK(M41),"""",M41*GOOGLEFINANCE(""USDGBP""))"),"")</f>
        <v/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</row>
    <row r="42">
      <c r="A42" s="8" t="str">
        <f>IFERROR(__xludf.DUMMYFUNCTION("""COMPUTED_VALUE"""),"101051420210600750")</f>
        <v>101051420210600750</v>
      </c>
      <c r="B42" s="9" t="str">
        <f>IFERROR(__xludf.DUMMYFUNCTION("""COMPUTED_VALUE"""),"France")</f>
        <v>France</v>
      </c>
      <c r="C42" s="9" t="str">
        <f>IFERROR(__xludf.DUMMYFUNCTION("""COMPUTED_VALUE"""),"bordeaux")</f>
        <v>bordeaux</v>
      </c>
      <c r="D42" s="9" t="str">
        <f>IFERROR(__xludf.DUMMYFUNCTION("""COMPUTED_VALUE"""),"Chateau Gazin, Pomerol")</f>
        <v>Chateau Gazin, Pomerol</v>
      </c>
      <c r="E42" s="9">
        <f>IFERROR(__xludf.DUMMYFUNCTION("""COMPUTED_VALUE"""),2021.0)</f>
        <v>2021</v>
      </c>
      <c r="F42" s="9">
        <f>IFERROR(__xludf.DUMMYFUNCTION("""COMPUTED_VALUE"""),750.0)</f>
        <v>750</v>
      </c>
      <c r="G42" s="9">
        <f>IFERROR(__xludf.DUMMYFUNCTION("""COMPUTED_VALUE"""),6.0)</f>
        <v>6</v>
      </c>
      <c r="H42" s="10">
        <f>IFERROR(__xludf.DUMMYFUNCTION("""COMPUTED_VALUE"""),3.0)</f>
        <v>3</v>
      </c>
      <c r="I42" s="11">
        <f>IFERROR(__xludf.DUMMYFUNCTION("""COMPUTED_VALUE"""),308.0)</f>
        <v>308</v>
      </c>
      <c r="J42" s="9" t="str">
        <f>IFERROR(__xludf.DUMMYFUNCTION("""COMPUTED_VALUE"""),"France")</f>
        <v>France</v>
      </c>
      <c r="K42" s="8"/>
      <c r="L42" s="12"/>
      <c r="M42" s="13"/>
      <c r="N42" s="13" t="str">
        <f>IFERROR(__xludf.DUMMYFUNCTION("IF(ISBLANK(M42),"""",M42*GOOGLEFINANCE(""USDGBP""))"),"")</f>
        <v/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</row>
    <row r="43">
      <c r="A43" s="8" t="str">
        <f>IFERROR(__xludf.DUMMYFUNCTION("""COMPUTED_VALUE"""),"101056920190600750")</f>
        <v>101056920190600750</v>
      </c>
      <c r="B43" s="9" t="str">
        <f>IFERROR(__xludf.DUMMYFUNCTION("""COMPUTED_VALUE"""),"France")</f>
        <v>France</v>
      </c>
      <c r="C43" s="9" t="str">
        <f>IFERROR(__xludf.DUMMYFUNCTION("""COMPUTED_VALUE"""),"bordeaux")</f>
        <v>bordeaux</v>
      </c>
      <c r="D43" s="9" t="str">
        <f>IFERROR(__xludf.DUMMYFUNCTION("""COMPUTED_VALUE"""),"Chateau Giscours 3eme Cru Classe, Margaux")</f>
        <v>Chateau Giscours 3eme Cru Classe, Margaux</v>
      </c>
      <c r="E43" s="9">
        <f>IFERROR(__xludf.DUMMYFUNCTION("""COMPUTED_VALUE"""),2019.0)</f>
        <v>2019</v>
      </c>
      <c r="F43" s="9">
        <f>IFERROR(__xludf.DUMMYFUNCTION("""COMPUTED_VALUE"""),750.0)</f>
        <v>750</v>
      </c>
      <c r="G43" s="9">
        <f>IFERROR(__xludf.DUMMYFUNCTION("""COMPUTED_VALUE"""),6.0)</f>
        <v>6</v>
      </c>
      <c r="H43" s="10">
        <f>IFERROR(__xludf.DUMMYFUNCTION("""COMPUTED_VALUE"""),2.0)</f>
        <v>2</v>
      </c>
      <c r="I43" s="11">
        <f>IFERROR(__xludf.DUMMYFUNCTION("""COMPUTED_VALUE"""),246.0)</f>
        <v>246</v>
      </c>
      <c r="J43" s="9" t="str">
        <f>IFERROR(__xludf.DUMMYFUNCTION("""COMPUTED_VALUE"""),"France")</f>
        <v>France</v>
      </c>
      <c r="K43" s="8"/>
      <c r="L43" s="12"/>
      <c r="M43" s="13"/>
      <c r="N43" s="13" t="str">
        <f>IFERROR(__xludf.DUMMYFUNCTION("IF(ISBLANK(M43),"""",M43*GOOGLEFINANCE(""USDGBP""))"),"")</f>
        <v/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</row>
    <row r="44">
      <c r="A44" s="8" t="str">
        <f>IFERROR(__xludf.DUMMYFUNCTION("""COMPUTED_VALUE"""),"101078720190600750")</f>
        <v>101078720190600750</v>
      </c>
      <c r="B44" s="9" t="str">
        <f>IFERROR(__xludf.DUMMYFUNCTION("""COMPUTED_VALUE"""),"France")</f>
        <v>France</v>
      </c>
      <c r="C44" s="9" t="str">
        <f>IFERROR(__xludf.DUMMYFUNCTION("""COMPUTED_VALUE"""),"bordeaux")</f>
        <v>bordeaux</v>
      </c>
      <c r="D44" s="9" t="str">
        <f>IFERROR(__xludf.DUMMYFUNCTION("""COMPUTED_VALUE"""),"Chateau Grand-Puy-Lacoste 5eme Cru Classe, Pauillac")</f>
        <v>Chateau Grand-Puy-Lacoste 5eme Cru Classe, Pauillac</v>
      </c>
      <c r="E44" s="9">
        <f>IFERROR(__xludf.DUMMYFUNCTION("""COMPUTED_VALUE"""),2019.0)</f>
        <v>2019</v>
      </c>
      <c r="F44" s="9">
        <f>IFERROR(__xludf.DUMMYFUNCTION("""COMPUTED_VALUE"""),750.0)</f>
        <v>750</v>
      </c>
      <c r="G44" s="9">
        <f>IFERROR(__xludf.DUMMYFUNCTION("""COMPUTED_VALUE"""),6.0)</f>
        <v>6</v>
      </c>
      <c r="H44" s="10">
        <f>IFERROR(__xludf.DUMMYFUNCTION("""COMPUTED_VALUE"""),2.0)</f>
        <v>2</v>
      </c>
      <c r="I44" s="11">
        <f>IFERROR(__xludf.DUMMYFUNCTION("""COMPUTED_VALUE"""),285.0)</f>
        <v>285</v>
      </c>
      <c r="J44" s="9" t="str">
        <f>IFERROR(__xludf.DUMMYFUNCTION("""COMPUTED_VALUE"""),"France")</f>
        <v>France</v>
      </c>
      <c r="K44" s="8"/>
      <c r="L44" s="12"/>
      <c r="M44" s="13"/>
      <c r="N44" s="13" t="str">
        <f>IFERROR(__xludf.DUMMYFUNCTION("IF(ISBLANK(M44),"""",M44*GOOGLEFINANCE(""USDGBP""))"),"")</f>
        <v/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</row>
    <row r="45">
      <c r="A45" s="8" t="str">
        <f>IFERROR(__xludf.DUMMYFUNCTION("""COMPUTED_VALUE"""),"101078720200600750")</f>
        <v>101078720200600750</v>
      </c>
      <c r="B45" s="9" t="str">
        <f>IFERROR(__xludf.DUMMYFUNCTION("""COMPUTED_VALUE"""),"France")</f>
        <v>France</v>
      </c>
      <c r="C45" s="9" t="str">
        <f>IFERROR(__xludf.DUMMYFUNCTION("""COMPUTED_VALUE"""),"bordeaux")</f>
        <v>bordeaux</v>
      </c>
      <c r="D45" s="9" t="str">
        <f>IFERROR(__xludf.DUMMYFUNCTION("""COMPUTED_VALUE"""),"Chateau Grand-Puy-Lacoste 5eme Cru Classe, Pauillac")</f>
        <v>Chateau Grand-Puy-Lacoste 5eme Cru Classe, Pauillac</v>
      </c>
      <c r="E45" s="9">
        <f>IFERROR(__xludf.DUMMYFUNCTION("""COMPUTED_VALUE"""),2020.0)</f>
        <v>2020</v>
      </c>
      <c r="F45" s="9">
        <f>IFERROR(__xludf.DUMMYFUNCTION("""COMPUTED_VALUE"""),750.0)</f>
        <v>750</v>
      </c>
      <c r="G45" s="9">
        <f>IFERROR(__xludf.DUMMYFUNCTION("""COMPUTED_VALUE"""),6.0)</f>
        <v>6</v>
      </c>
      <c r="H45" s="10">
        <f>IFERROR(__xludf.DUMMYFUNCTION("""COMPUTED_VALUE"""),6.0)</f>
        <v>6</v>
      </c>
      <c r="I45" s="11">
        <f>IFERROR(__xludf.DUMMYFUNCTION("""COMPUTED_VALUE"""),291.0)</f>
        <v>291</v>
      </c>
      <c r="J45" s="9" t="str">
        <f>IFERROR(__xludf.DUMMYFUNCTION("""COMPUTED_VALUE"""),"France")</f>
        <v>France</v>
      </c>
      <c r="K45" s="8"/>
      <c r="L45" s="12"/>
      <c r="M45" s="13"/>
      <c r="N45" s="13" t="str">
        <f>IFERROR(__xludf.DUMMYFUNCTION("IF(ISBLANK(M45),"""",M45*GOOGLEFINANCE(""USDGBP""))"),"")</f>
        <v/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</row>
    <row r="46">
      <c r="A46" s="8" t="str">
        <f>IFERROR(__xludf.DUMMYFUNCTION("""COMPUTED_VALUE"""),"101078720210600750")</f>
        <v>101078720210600750</v>
      </c>
      <c r="B46" s="9" t="str">
        <f>IFERROR(__xludf.DUMMYFUNCTION("""COMPUTED_VALUE"""),"France")</f>
        <v>France</v>
      </c>
      <c r="C46" s="9" t="str">
        <f>IFERROR(__xludf.DUMMYFUNCTION("""COMPUTED_VALUE"""),"bordeaux")</f>
        <v>bordeaux</v>
      </c>
      <c r="D46" s="9" t="str">
        <f>IFERROR(__xludf.DUMMYFUNCTION("""COMPUTED_VALUE"""),"Chateau Grand-Puy-Lacoste 5eme Cru Classe, Pauillac")</f>
        <v>Chateau Grand-Puy-Lacoste 5eme Cru Classe, Pauillac</v>
      </c>
      <c r="E46" s="9">
        <f>IFERROR(__xludf.DUMMYFUNCTION("""COMPUTED_VALUE"""),2021.0)</f>
        <v>2021</v>
      </c>
      <c r="F46" s="9">
        <f>IFERROR(__xludf.DUMMYFUNCTION("""COMPUTED_VALUE"""),750.0)</f>
        <v>750</v>
      </c>
      <c r="G46" s="9">
        <f>IFERROR(__xludf.DUMMYFUNCTION("""COMPUTED_VALUE"""),6.0)</f>
        <v>6</v>
      </c>
      <c r="H46" s="10">
        <f>IFERROR(__xludf.DUMMYFUNCTION("""COMPUTED_VALUE"""),6.0)</f>
        <v>6</v>
      </c>
      <c r="I46" s="11">
        <f>IFERROR(__xludf.DUMMYFUNCTION("""COMPUTED_VALUE"""),285.0)</f>
        <v>285</v>
      </c>
      <c r="J46" s="9" t="str">
        <f>IFERROR(__xludf.DUMMYFUNCTION("""COMPUTED_VALUE"""),"France")</f>
        <v>France</v>
      </c>
      <c r="K46" s="8"/>
      <c r="L46" s="12"/>
      <c r="M46" s="13"/>
      <c r="N46" s="13" t="str">
        <f>IFERROR(__xludf.DUMMYFUNCTION("IF(ISBLANK(M46),"""",M46*GOOGLEFINANCE(""USDGBP""))"),"")</f>
        <v/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</row>
    <row r="47">
      <c r="A47" s="8" t="str">
        <f>IFERROR(__xludf.DUMMYFUNCTION("""COMPUTED_VALUE"""),"101107420200600750")</f>
        <v>101107420200600750</v>
      </c>
      <c r="B47" s="9" t="str">
        <f>IFERROR(__xludf.DUMMYFUNCTION("""COMPUTED_VALUE"""),"France")</f>
        <v>France</v>
      </c>
      <c r="C47" s="9" t="str">
        <f>IFERROR(__xludf.DUMMYFUNCTION("""COMPUTED_VALUE"""),"bordeaux")</f>
        <v>bordeaux</v>
      </c>
      <c r="D47" s="9" t="str">
        <f>IFERROR(__xludf.DUMMYFUNCTION("""COMPUTED_VALUE"""),"Chateau Gruaud Larose 2eme Cru Classe, Saint-Julien")</f>
        <v>Chateau Gruaud Larose 2eme Cru Classe, Saint-Julien</v>
      </c>
      <c r="E47" s="9">
        <f>IFERROR(__xludf.DUMMYFUNCTION("""COMPUTED_VALUE"""),2020.0)</f>
        <v>2020</v>
      </c>
      <c r="F47" s="9">
        <f>IFERROR(__xludf.DUMMYFUNCTION("""COMPUTED_VALUE"""),750.0)</f>
        <v>750</v>
      </c>
      <c r="G47" s="9">
        <f>IFERROR(__xludf.DUMMYFUNCTION("""COMPUTED_VALUE"""),6.0)</f>
        <v>6</v>
      </c>
      <c r="H47" s="10">
        <f>IFERROR(__xludf.DUMMYFUNCTION("""COMPUTED_VALUE"""),1.0)</f>
        <v>1</v>
      </c>
      <c r="I47" s="11">
        <f>IFERROR(__xludf.DUMMYFUNCTION("""COMPUTED_VALUE"""),353.0)</f>
        <v>353</v>
      </c>
      <c r="J47" s="9" t="str">
        <f>IFERROR(__xludf.DUMMYFUNCTION("""COMPUTED_VALUE"""),"France")</f>
        <v>France</v>
      </c>
      <c r="K47" s="8"/>
      <c r="L47" s="12"/>
      <c r="M47" s="13"/>
      <c r="N47" s="13" t="str">
        <f>IFERROR(__xludf.DUMMYFUNCTION("IF(ISBLANK(M47),"""",M47*GOOGLEFINANCE(""USDGBP""))"),"")</f>
        <v/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</row>
    <row r="48">
      <c r="A48" s="8" t="str">
        <f>IFERROR(__xludf.DUMMYFUNCTION("""COMPUTED_VALUE"""),"101120520201200750")</f>
        <v>101120520201200750</v>
      </c>
      <c r="B48" s="9" t="str">
        <f>IFERROR(__xludf.DUMMYFUNCTION("""COMPUTED_VALUE"""),"France")</f>
        <v>France</v>
      </c>
      <c r="C48" s="9" t="str">
        <f>IFERROR(__xludf.DUMMYFUNCTION("""COMPUTED_VALUE"""),"bordeaux")</f>
        <v>bordeaux</v>
      </c>
      <c r="D48" s="9" t="str">
        <f>IFERROR(__xludf.DUMMYFUNCTION("""COMPUTED_VALUE"""),"Chateau Haut-Batailley 5eme Cru Classe, Pauillac")</f>
        <v>Chateau Haut-Batailley 5eme Cru Classe, Pauillac</v>
      </c>
      <c r="E48" s="9">
        <f>IFERROR(__xludf.DUMMYFUNCTION("""COMPUTED_VALUE"""),2020.0)</f>
        <v>2020</v>
      </c>
      <c r="F48" s="9">
        <f>IFERROR(__xludf.DUMMYFUNCTION("""COMPUTED_VALUE"""),750.0)</f>
        <v>750</v>
      </c>
      <c r="G48" s="9">
        <f>IFERROR(__xludf.DUMMYFUNCTION("""COMPUTED_VALUE"""),12.0)</f>
        <v>12</v>
      </c>
      <c r="H48" s="10">
        <f>IFERROR(__xludf.DUMMYFUNCTION("""COMPUTED_VALUE"""),2.0)</f>
        <v>2</v>
      </c>
      <c r="I48" s="11">
        <f>IFERROR(__xludf.DUMMYFUNCTION("""COMPUTED_VALUE"""),459.0)</f>
        <v>459</v>
      </c>
      <c r="J48" s="9" t="str">
        <f>IFERROR(__xludf.DUMMYFUNCTION("""COMPUTED_VALUE"""),"France")</f>
        <v>France</v>
      </c>
      <c r="K48" s="8"/>
      <c r="L48" s="12"/>
      <c r="M48" s="13"/>
      <c r="N48" s="13" t="str">
        <f>IFERROR(__xludf.DUMMYFUNCTION("IF(ISBLANK(M48),"""",M48*GOOGLEFINANCE(""USDGBP""))"),"")</f>
        <v/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</row>
    <row r="49">
      <c r="A49" s="8" t="str">
        <f>IFERROR(__xludf.DUMMYFUNCTION("""COMPUTED_VALUE"""),"101124720180100750")</f>
        <v>101124720180100750</v>
      </c>
      <c r="B49" s="9" t="str">
        <f>IFERROR(__xludf.DUMMYFUNCTION("""COMPUTED_VALUE"""),"France")</f>
        <v>France</v>
      </c>
      <c r="C49" s="9" t="str">
        <f>IFERROR(__xludf.DUMMYFUNCTION("""COMPUTED_VALUE"""),"bordeaux")</f>
        <v>bordeaux</v>
      </c>
      <c r="D49" s="9" t="str">
        <f>IFERROR(__xludf.DUMMYFUNCTION("""COMPUTED_VALUE"""),"Chateau Haut-Brion Premier Cru Classe, Pessac-Leognan")</f>
        <v>Chateau Haut-Brion Premier Cru Classe, Pessac-Leognan</v>
      </c>
      <c r="E49" s="9">
        <f>IFERROR(__xludf.DUMMYFUNCTION("""COMPUTED_VALUE"""),2018.0)</f>
        <v>2018</v>
      </c>
      <c r="F49" s="9">
        <f>IFERROR(__xludf.DUMMYFUNCTION("""COMPUTED_VALUE"""),750.0)</f>
        <v>750</v>
      </c>
      <c r="G49" s="9">
        <f>IFERROR(__xludf.DUMMYFUNCTION("""COMPUTED_VALUE"""),1.0)</f>
        <v>1</v>
      </c>
      <c r="H49" s="10">
        <f>IFERROR(__xludf.DUMMYFUNCTION("""COMPUTED_VALUE"""),12.0)</f>
        <v>12</v>
      </c>
      <c r="I49" s="11">
        <f>IFERROR(__xludf.DUMMYFUNCTION("""COMPUTED_VALUE"""),390.0)</f>
        <v>390</v>
      </c>
      <c r="J49" s="9" t="str">
        <f>IFERROR(__xludf.DUMMYFUNCTION("""COMPUTED_VALUE"""),"France")</f>
        <v>France</v>
      </c>
      <c r="K49" s="8"/>
      <c r="L49" s="12"/>
      <c r="M49" s="13"/>
      <c r="N49" s="13" t="str">
        <f>IFERROR(__xludf.DUMMYFUNCTION("IF(ISBLANK(M49),"""",M49*GOOGLEFINANCE(""USDGBP""))"),"")</f>
        <v/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</row>
    <row r="50">
      <c r="A50" s="8" t="str">
        <f>IFERROR(__xludf.DUMMYFUNCTION("""COMPUTED_VALUE"""),"100964220200300750")</f>
        <v>100964220200300750</v>
      </c>
      <c r="B50" s="9" t="str">
        <f>IFERROR(__xludf.DUMMYFUNCTION("""COMPUTED_VALUE"""),"France")</f>
        <v>France</v>
      </c>
      <c r="C50" s="9" t="str">
        <f>IFERROR(__xludf.DUMMYFUNCTION("""COMPUTED_VALUE"""),"bordeaux")</f>
        <v>bordeaux</v>
      </c>
      <c r="D50" s="9" t="str">
        <f>IFERROR(__xludf.DUMMYFUNCTION("""COMPUTED_VALUE"""),"Chateau L'Evangile, Pomerol")</f>
        <v>Chateau L'Evangile, Pomerol</v>
      </c>
      <c r="E50" s="9">
        <f>IFERROR(__xludf.DUMMYFUNCTION("""COMPUTED_VALUE"""),2020.0)</f>
        <v>2020</v>
      </c>
      <c r="F50" s="9">
        <f>IFERROR(__xludf.DUMMYFUNCTION("""COMPUTED_VALUE"""),750.0)</f>
        <v>750</v>
      </c>
      <c r="G50" s="9">
        <f>IFERROR(__xludf.DUMMYFUNCTION("""COMPUTED_VALUE"""),3.0)</f>
        <v>3</v>
      </c>
      <c r="H50" s="10">
        <f>IFERROR(__xludf.DUMMYFUNCTION("""COMPUTED_VALUE"""),1.0)</f>
        <v>1</v>
      </c>
      <c r="I50" s="11">
        <f>IFERROR(__xludf.DUMMYFUNCTION("""COMPUTED_VALUE"""),477.0)</f>
        <v>477</v>
      </c>
      <c r="J50" s="9" t="str">
        <f>IFERROR(__xludf.DUMMYFUNCTION("""COMPUTED_VALUE"""),"France")</f>
        <v>France</v>
      </c>
      <c r="K50" s="8"/>
      <c r="L50" s="12"/>
      <c r="M50" s="13"/>
      <c r="N50" s="13" t="str">
        <f>IFERROR(__xludf.DUMMYFUNCTION("IF(ISBLANK(M50),"""",M50*GOOGLEFINANCE(""USDGBP""))"),"")</f>
        <v/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</row>
    <row r="51">
      <c r="A51" s="8" t="str">
        <f>IFERROR(__xludf.DUMMYFUNCTION("""COMPUTED_VALUE"""),"101043920150600750")</f>
        <v>101043920150600750</v>
      </c>
      <c r="B51" s="9" t="str">
        <f>IFERROR(__xludf.DUMMYFUNCTION("""COMPUTED_VALUE"""),"France")</f>
        <v>France</v>
      </c>
      <c r="C51" s="9" t="str">
        <f>IFERROR(__xludf.DUMMYFUNCTION("""COMPUTED_VALUE"""),"bordeaux")</f>
        <v>bordeaux</v>
      </c>
      <c r="D51" s="9" t="str">
        <f>IFERROR(__xludf.DUMMYFUNCTION("""COMPUTED_VALUE"""),"Chateau La Gaffeliere Premier Grand Cru Classe B, Saint-Emilion Grand Cru")</f>
        <v>Chateau La Gaffeliere Premier Grand Cru Classe B, Saint-Emilion Grand Cru</v>
      </c>
      <c r="E51" s="9">
        <f>IFERROR(__xludf.DUMMYFUNCTION("""COMPUTED_VALUE"""),2015.0)</f>
        <v>2015</v>
      </c>
      <c r="F51" s="9">
        <f>IFERROR(__xludf.DUMMYFUNCTION("""COMPUTED_VALUE"""),750.0)</f>
        <v>750</v>
      </c>
      <c r="G51" s="9">
        <f>IFERROR(__xludf.DUMMYFUNCTION("""COMPUTED_VALUE"""),6.0)</f>
        <v>6</v>
      </c>
      <c r="H51" s="10">
        <f>IFERROR(__xludf.DUMMYFUNCTION("""COMPUTED_VALUE"""),14.0)</f>
        <v>14</v>
      </c>
      <c r="I51" s="11">
        <f>IFERROR(__xludf.DUMMYFUNCTION("""COMPUTED_VALUE"""),359.0)</f>
        <v>359</v>
      </c>
      <c r="J51" s="9" t="str">
        <f>IFERROR(__xludf.DUMMYFUNCTION("""COMPUTED_VALUE"""),"France")</f>
        <v>France</v>
      </c>
      <c r="K51" s="8"/>
      <c r="L51" s="12"/>
      <c r="M51" s="13"/>
      <c r="N51" s="13" t="str">
        <f>IFERROR(__xludf.DUMMYFUNCTION("IF(ISBLANK(M51),"""",M51*GOOGLEFINANCE(""USDGBP""))"),"")</f>
        <v/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</row>
    <row r="52">
      <c r="A52" s="8" t="str">
        <f>IFERROR(__xludf.DUMMYFUNCTION("""COMPUTED_VALUE"""),"101043920170600750")</f>
        <v>101043920170600750</v>
      </c>
      <c r="B52" s="9" t="str">
        <f>IFERROR(__xludf.DUMMYFUNCTION("""COMPUTED_VALUE"""),"France")</f>
        <v>France</v>
      </c>
      <c r="C52" s="9" t="str">
        <f>IFERROR(__xludf.DUMMYFUNCTION("""COMPUTED_VALUE"""),"bordeaux")</f>
        <v>bordeaux</v>
      </c>
      <c r="D52" s="9" t="str">
        <f>IFERROR(__xludf.DUMMYFUNCTION("""COMPUTED_VALUE"""),"Chateau La Gaffeliere Premier Grand Cru Classe B, Saint-Emilion Grand Cru")</f>
        <v>Chateau La Gaffeliere Premier Grand Cru Classe B, Saint-Emilion Grand Cru</v>
      </c>
      <c r="E52" s="9">
        <f>IFERROR(__xludf.DUMMYFUNCTION("""COMPUTED_VALUE"""),2017.0)</f>
        <v>2017</v>
      </c>
      <c r="F52" s="9">
        <f>IFERROR(__xludf.DUMMYFUNCTION("""COMPUTED_VALUE"""),750.0)</f>
        <v>750</v>
      </c>
      <c r="G52" s="9">
        <f>IFERROR(__xludf.DUMMYFUNCTION("""COMPUTED_VALUE"""),6.0)</f>
        <v>6</v>
      </c>
      <c r="H52" s="10">
        <f>IFERROR(__xludf.DUMMYFUNCTION("""COMPUTED_VALUE"""),19.0)</f>
        <v>19</v>
      </c>
      <c r="I52" s="11">
        <f>IFERROR(__xludf.DUMMYFUNCTION("""COMPUTED_VALUE"""),311.0)</f>
        <v>311</v>
      </c>
      <c r="J52" s="9" t="str">
        <f>IFERROR(__xludf.DUMMYFUNCTION("""COMPUTED_VALUE"""),"France")</f>
        <v>France</v>
      </c>
      <c r="K52" s="8"/>
      <c r="L52" s="12"/>
      <c r="M52" s="13"/>
      <c r="N52" s="13" t="str">
        <f>IFERROR(__xludf.DUMMYFUNCTION("IF(ISBLANK(M52),"""",M52*GOOGLEFINANCE(""USDGBP""))"),"")</f>
        <v/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</row>
    <row r="53">
      <c r="A53" s="8" t="str">
        <f>IFERROR(__xludf.DUMMYFUNCTION("""COMPUTED_VALUE"""),"101043920180600750")</f>
        <v>101043920180600750</v>
      </c>
      <c r="B53" s="9" t="str">
        <f>IFERROR(__xludf.DUMMYFUNCTION("""COMPUTED_VALUE"""),"France")</f>
        <v>France</v>
      </c>
      <c r="C53" s="9" t="str">
        <f>IFERROR(__xludf.DUMMYFUNCTION("""COMPUTED_VALUE"""),"bordeaux")</f>
        <v>bordeaux</v>
      </c>
      <c r="D53" s="9" t="str">
        <f>IFERROR(__xludf.DUMMYFUNCTION("""COMPUTED_VALUE"""),"Chateau La Gaffeliere Premier Grand Cru Classe B, Saint-Emilion Grand Cru")</f>
        <v>Chateau La Gaffeliere Premier Grand Cru Classe B, Saint-Emilion Grand Cru</v>
      </c>
      <c r="E53" s="9">
        <f>IFERROR(__xludf.DUMMYFUNCTION("""COMPUTED_VALUE"""),2018.0)</f>
        <v>2018</v>
      </c>
      <c r="F53" s="9">
        <f>IFERROR(__xludf.DUMMYFUNCTION("""COMPUTED_VALUE"""),750.0)</f>
        <v>750</v>
      </c>
      <c r="G53" s="9">
        <f>IFERROR(__xludf.DUMMYFUNCTION("""COMPUTED_VALUE"""),6.0)</f>
        <v>6</v>
      </c>
      <c r="H53" s="10">
        <f>IFERROR(__xludf.DUMMYFUNCTION("""COMPUTED_VALUE"""),3.0)</f>
        <v>3</v>
      </c>
      <c r="I53" s="11">
        <f>IFERROR(__xludf.DUMMYFUNCTION("""COMPUTED_VALUE"""),364.0)</f>
        <v>364</v>
      </c>
      <c r="J53" s="9" t="str">
        <f>IFERROR(__xludf.DUMMYFUNCTION("""COMPUTED_VALUE"""),"France")</f>
        <v>France</v>
      </c>
      <c r="K53" s="8"/>
      <c r="L53" s="12"/>
      <c r="M53" s="13"/>
      <c r="N53" s="13" t="str">
        <f>IFERROR(__xludf.DUMMYFUNCTION("IF(ISBLANK(M53),"""",M53*GOOGLEFINANCE(""USDGBP""))"),"")</f>
        <v/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</row>
    <row r="54">
      <c r="A54" s="8" t="str">
        <f>IFERROR(__xludf.DUMMYFUNCTION("""COMPUTED_VALUE"""),"101043920200600750")</f>
        <v>101043920200600750</v>
      </c>
      <c r="B54" s="9" t="str">
        <f>IFERROR(__xludf.DUMMYFUNCTION("""COMPUTED_VALUE"""),"France")</f>
        <v>France</v>
      </c>
      <c r="C54" s="9" t="str">
        <f>IFERROR(__xludf.DUMMYFUNCTION("""COMPUTED_VALUE"""),"bordeaux")</f>
        <v>bordeaux</v>
      </c>
      <c r="D54" s="9" t="str">
        <f>IFERROR(__xludf.DUMMYFUNCTION("""COMPUTED_VALUE"""),"Chateau La Gaffeliere Premier Grand Cru Classe B, Saint-Emilion Grand Cru")</f>
        <v>Chateau La Gaffeliere Premier Grand Cru Classe B, Saint-Emilion Grand Cru</v>
      </c>
      <c r="E54" s="9">
        <f>IFERROR(__xludf.DUMMYFUNCTION("""COMPUTED_VALUE"""),2020.0)</f>
        <v>2020</v>
      </c>
      <c r="F54" s="9">
        <f>IFERROR(__xludf.DUMMYFUNCTION("""COMPUTED_VALUE"""),750.0)</f>
        <v>750</v>
      </c>
      <c r="G54" s="9">
        <f>IFERROR(__xludf.DUMMYFUNCTION("""COMPUTED_VALUE"""),6.0)</f>
        <v>6</v>
      </c>
      <c r="H54" s="10">
        <f>IFERROR(__xludf.DUMMYFUNCTION("""COMPUTED_VALUE"""),2.0)</f>
        <v>2</v>
      </c>
      <c r="I54" s="11">
        <f>IFERROR(__xludf.DUMMYFUNCTION("""COMPUTED_VALUE"""),325.0)</f>
        <v>325</v>
      </c>
      <c r="J54" s="9" t="str">
        <f>IFERROR(__xludf.DUMMYFUNCTION("""COMPUTED_VALUE"""),"France")</f>
        <v>France</v>
      </c>
      <c r="K54" s="8"/>
      <c r="L54" s="12"/>
      <c r="M54" s="13"/>
      <c r="N54" s="13" t="str">
        <f>IFERROR(__xludf.DUMMYFUNCTION("IF(ISBLANK(M54),"""",M54*GOOGLEFINANCE(""USDGBP""))"),"")</f>
        <v/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</row>
    <row r="55">
      <c r="A55" s="8" t="str">
        <f>IFERROR(__xludf.DUMMYFUNCTION("""COMPUTED_VALUE"""),"101317920170301500")</f>
        <v>101317920170301500</v>
      </c>
      <c r="B55" s="9" t="str">
        <f>IFERROR(__xludf.DUMMYFUNCTION("""COMPUTED_VALUE"""),"France")</f>
        <v>France</v>
      </c>
      <c r="C55" s="9" t="str">
        <f>IFERROR(__xludf.DUMMYFUNCTION("""COMPUTED_VALUE"""),"bordeaux")</f>
        <v>bordeaux</v>
      </c>
      <c r="D55" s="9" t="str">
        <f>IFERROR(__xludf.DUMMYFUNCTION("""COMPUTED_VALUE"""),"Chateau La Mission Haut-Brion Cru Classe, Pessac-Leognan")</f>
        <v>Chateau La Mission Haut-Brion Cru Classe, Pessac-Leognan</v>
      </c>
      <c r="E55" s="9">
        <f>IFERROR(__xludf.DUMMYFUNCTION("""COMPUTED_VALUE"""),2017.0)</f>
        <v>2017</v>
      </c>
      <c r="F55" s="9">
        <f>IFERROR(__xludf.DUMMYFUNCTION("""COMPUTED_VALUE"""),1500.0)</f>
        <v>1500</v>
      </c>
      <c r="G55" s="9">
        <f>IFERROR(__xludf.DUMMYFUNCTION("""COMPUTED_VALUE"""),3.0)</f>
        <v>3</v>
      </c>
      <c r="H55" s="10">
        <f>IFERROR(__xludf.DUMMYFUNCTION("""COMPUTED_VALUE"""),1.0)</f>
        <v>1</v>
      </c>
      <c r="I55" s="11">
        <f>IFERROR(__xludf.DUMMYFUNCTION("""COMPUTED_VALUE"""),1052.0)</f>
        <v>1052</v>
      </c>
      <c r="J55" s="9" t="str">
        <f>IFERROR(__xludf.DUMMYFUNCTION("""COMPUTED_VALUE"""),"France")</f>
        <v>France</v>
      </c>
      <c r="K55" s="8"/>
      <c r="L55" s="12"/>
      <c r="M55" s="13"/>
      <c r="N55" s="13" t="str">
        <f>IFERROR(__xludf.DUMMYFUNCTION("IF(ISBLANK(M55),"""",M55*GOOGLEFINANCE(""USDGBP""))"),"")</f>
        <v/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</row>
    <row r="56">
      <c r="A56" s="8" t="str">
        <f>IFERROR(__xludf.DUMMYFUNCTION("""COMPUTED_VALUE"""),"101317920180101500")</f>
        <v>101317920180101500</v>
      </c>
      <c r="B56" s="9" t="str">
        <f>IFERROR(__xludf.DUMMYFUNCTION("""COMPUTED_VALUE"""),"France")</f>
        <v>France</v>
      </c>
      <c r="C56" s="9" t="str">
        <f>IFERROR(__xludf.DUMMYFUNCTION("""COMPUTED_VALUE"""),"bordeaux")</f>
        <v>bordeaux</v>
      </c>
      <c r="D56" s="9" t="str">
        <f>IFERROR(__xludf.DUMMYFUNCTION("""COMPUTED_VALUE"""),"Chateau La Mission Haut-Brion Cru Classe, Pessac-Leognan")</f>
        <v>Chateau La Mission Haut-Brion Cru Classe, Pessac-Leognan</v>
      </c>
      <c r="E56" s="9">
        <f>IFERROR(__xludf.DUMMYFUNCTION("""COMPUTED_VALUE"""),2018.0)</f>
        <v>2018</v>
      </c>
      <c r="F56" s="9">
        <f>IFERROR(__xludf.DUMMYFUNCTION("""COMPUTED_VALUE"""),1500.0)</f>
        <v>1500</v>
      </c>
      <c r="G56" s="9">
        <f>IFERROR(__xludf.DUMMYFUNCTION("""COMPUTED_VALUE"""),1.0)</f>
        <v>1</v>
      </c>
      <c r="H56" s="10">
        <f>IFERROR(__xludf.DUMMYFUNCTION("""COMPUTED_VALUE"""),1.0)</f>
        <v>1</v>
      </c>
      <c r="I56" s="11">
        <f>IFERROR(__xludf.DUMMYFUNCTION("""COMPUTED_VALUE"""),401.0)</f>
        <v>401</v>
      </c>
      <c r="J56" s="9" t="str">
        <f>IFERROR(__xludf.DUMMYFUNCTION("""COMPUTED_VALUE"""),"France")</f>
        <v>France</v>
      </c>
      <c r="K56" s="8"/>
      <c r="L56" s="12"/>
      <c r="M56" s="13"/>
      <c r="N56" s="13" t="str">
        <f>IFERROR(__xludf.DUMMYFUNCTION("IF(ISBLANK(M56),"""",M56*GOOGLEFINANCE(""USDGBP""))"),"")</f>
        <v/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</row>
    <row r="57">
      <c r="A57" s="8" t="str">
        <f>IFERROR(__xludf.DUMMYFUNCTION("""COMPUTED_VALUE"""),"101218520150600750")</f>
        <v>101218520150600750</v>
      </c>
      <c r="B57" s="9" t="str">
        <f>IFERROR(__xludf.DUMMYFUNCTION("""COMPUTED_VALUE"""),"France")</f>
        <v>France</v>
      </c>
      <c r="C57" s="9" t="str">
        <f>IFERROR(__xludf.DUMMYFUNCTION("""COMPUTED_VALUE"""),"bordeaux")</f>
        <v>bordeaux</v>
      </c>
      <c r="D57" s="9" t="str">
        <f>IFERROR(__xludf.DUMMYFUNCTION("""COMPUTED_VALUE"""),"Chateau Larcis Ducasse Premier Grand Cru Classe B, Saint-Emilion Grand Cru")</f>
        <v>Chateau Larcis Ducasse Premier Grand Cru Classe B, Saint-Emilion Grand Cru</v>
      </c>
      <c r="E57" s="9">
        <f>IFERROR(__xludf.DUMMYFUNCTION("""COMPUTED_VALUE"""),2015.0)</f>
        <v>2015</v>
      </c>
      <c r="F57" s="9">
        <f>IFERROR(__xludf.DUMMYFUNCTION("""COMPUTED_VALUE"""),750.0)</f>
        <v>750</v>
      </c>
      <c r="G57" s="9">
        <f>IFERROR(__xludf.DUMMYFUNCTION("""COMPUTED_VALUE"""),6.0)</f>
        <v>6</v>
      </c>
      <c r="H57" s="10">
        <f>IFERROR(__xludf.DUMMYFUNCTION("""COMPUTED_VALUE"""),1.0)</f>
        <v>1</v>
      </c>
      <c r="I57" s="11">
        <f>IFERROR(__xludf.DUMMYFUNCTION("""COMPUTED_VALUE"""),386.0)</f>
        <v>386</v>
      </c>
      <c r="J57" s="9" t="str">
        <f>IFERROR(__xludf.DUMMYFUNCTION("""COMPUTED_VALUE"""),"France")</f>
        <v>France</v>
      </c>
      <c r="K57" s="8"/>
      <c r="L57" s="12"/>
      <c r="M57" s="13"/>
      <c r="N57" s="13" t="str">
        <f>IFERROR(__xludf.DUMMYFUNCTION("IF(ISBLANK(M57),"""",M57*GOOGLEFINANCE(""USDGBP""))"),"")</f>
        <v/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</row>
    <row r="58">
      <c r="A58" s="8" t="str">
        <f>IFERROR(__xludf.DUMMYFUNCTION("""COMPUTED_VALUE"""),"101218520160600750")</f>
        <v>101218520160600750</v>
      </c>
      <c r="B58" s="9" t="str">
        <f>IFERROR(__xludf.DUMMYFUNCTION("""COMPUTED_VALUE"""),"France")</f>
        <v>France</v>
      </c>
      <c r="C58" s="9" t="str">
        <f>IFERROR(__xludf.DUMMYFUNCTION("""COMPUTED_VALUE"""),"bordeaux")</f>
        <v>bordeaux</v>
      </c>
      <c r="D58" s="9" t="str">
        <f>IFERROR(__xludf.DUMMYFUNCTION("""COMPUTED_VALUE"""),"Chateau Larcis Ducasse Premier Grand Cru Classe B, Saint-Emilion Grand Cru")</f>
        <v>Chateau Larcis Ducasse Premier Grand Cru Classe B, Saint-Emilion Grand Cru</v>
      </c>
      <c r="E58" s="9">
        <f>IFERROR(__xludf.DUMMYFUNCTION("""COMPUTED_VALUE"""),2016.0)</f>
        <v>2016</v>
      </c>
      <c r="F58" s="9">
        <f>IFERROR(__xludf.DUMMYFUNCTION("""COMPUTED_VALUE"""),750.0)</f>
        <v>750</v>
      </c>
      <c r="G58" s="9">
        <f>IFERROR(__xludf.DUMMYFUNCTION("""COMPUTED_VALUE"""),6.0)</f>
        <v>6</v>
      </c>
      <c r="H58" s="10">
        <f>IFERROR(__xludf.DUMMYFUNCTION("""COMPUTED_VALUE"""),4.0)</f>
        <v>4</v>
      </c>
      <c r="I58" s="11">
        <f>IFERROR(__xludf.DUMMYFUNCTION("""COMPUTED_VALUE"""),369.0)</f>
        <v>369</v>
      </c>
      <c r="J58" s="9" t="str">
        <f>IFERROR(__xludf.DUMMYFUNCTION("""COMPUTED_VALUE"""),"France")</f>
        <v>France</v>
      </c>
      <c r="K58" s="8"/>
      <c r="L58" s="12"/>
      <c r="M58" s="13"/>
      <c r="N58" s="13" t="str">
        <f>IFERROR(__xludf.DUMMYFUNCTION("IF(ISBLANK(M58),"""",M58*GOOGLEFINANCE(""USDGBP""))"),"")</f>
        <v/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</row>
    <row r="59">
      <c r="A59" s="8" t="str">
        <f>IFERROR(__xludf.DUMMYFUNCTION("""COMPUTED_VALUE"""),"101229920150600750")</f>
        <v>101229920150600750</v>
      </c>
      <c r="B59" s="9" t="str">
        <f>IFERROR(__xludf.DUMMYFUNCTION("""COMPUTED_VALUE"""),"France")</f>
        <v>France</v>
      </c>
      <c r="C59" s="9" t="str">
        <f>IFERROR(__xludf.DUMMYFUNCTION("""COMPUTED_VALUE"""),"bordeaux")</f>
        <v>bordeaux</v>
      </c>
      <c r="D59" s="9" t="str">
        <f>IFERROR(__xludf.DUMMYFUNCTION("""COMPUTED_VALUE"""),"Chateau Lascombes 2eme Cru Classe, Margaux")</f>
        <v>Chateau Lascombes 2eme Cru Classe, Margaux</v>
      </c>
      <c r="E59" s="9">
        <f>IFERROR(__xludf.DUMMYFUNCTION("""COMPUTED_VALUE"""),2015.0)</f>
        <v>2015</v>
      </c>
      <c r="F59" s="9">
        <f>IFERROR(__xludf.DUMMYFUNCTION("""COMPUTED_VALUE"""),750.0)</f>
        <v>750</v>
      </c>
      <c r="G59" s="9">
        <f>IFERROR(__xludf.DUMMYFUNCTION("""COMPUTED_VALUE"""),6.0)</f>
        <v>6</v>
      </c>
      <c r="H59" s="10">
        <f>IFERROR(__xludf.DUMMYFUNCTION("""COMPUTED_VALUE"""),13.0)</f>
        <v>13</v>
      </c>
      <c r="I59" s="11">
        <f>IFERROR(__xludf.DUMMYFUNCTION("""COMPUTED_VALUE"""),325.0)</f>
        <v>325</v>
      </c>
      <c r="J59" s="9" t="str">
        <f>IFERROR(__xludf.DUMMYFUNCTION("""COMPUTED_VALUE"""),"France")</f>
        <v>France</v>
      </c>
      <c r="K59" s="8"/>
      <c r="L59" s="12"/>
      <c r="M59" s="13"/>
      <c r="N59" s="13" t="str">
        <f>IFERROR(__xludf.DUMMYFUNCTION("IF(ISBLANK(M59),"""",M59*GOOGLEFINANCE(""USDGBP""))"),"")</f>
        <v/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</row>
    <row r="60">
      <c r="A60" s="8" t="str">
        <f>IFERROR(__xludf.DUMMYFUNCTION("""COMPUTED_VALUE"""),"101229920190600750")</f>
        <v>101229920190600750</v>
      </c>
      <c r="B60" s="9" t="str">
        <f>IFERROR(__xludf.DUMMYFUNCTION("""COMPUTED_VALUE"""),"France")</f>
        <v>France</v>
      </c>
      <c r="C60" s="9" t="str">
        <f>IFERROR(__xludf.DUMMYFUNCTION("""COMPUTED_VALUE"""),"bordeaux")</f>
        <v>bordeaux</v>
      </c>
      <c r="D60" s="9" t="str">
        <f>IFERROR(__xludf.DUMMYFUNCTION("""COMPUTED_VALUE"""),"Chateau Lascombes 2eme Cru Classe, Margaux")</f>
        <v>Chateau Lascombes 2eme Cru Classe, Margaux</v>
      </c>
      <c r="E60" s="9">
        <f>IFERROR(__xludf.DUMMYFUNCTION("""COMPUTED_VALUE"""),2019.0)</f>
        <v>2019</v>
      </c>
      <c r="F60" s="9">
        <f>IFERROR(__xludf.DUMMYFUNCTION("""COMPUTED_VALUE"""),750.0)</f>
        <v>750</v>
      </c>
      <c r="G60" s="9">
        <f>IFERROR(__xludf.DUMMYFUNCTION("""COMPUTED_VALUE"""),6.0)</f>
        <v>6</v>
      </c>
      <c r="H60" s="10">
        <f>IFERROR(__xludf.DUMMYFUNCTION("""COMPUTED_VALUE"""),3.0)</f>
        <v>3</v>
      </c>
      <c r="I60" s="11">
        <f>IFERROR(__xludf.DUMMYFUNCTION("""COMPUTED_VALUE"""),280.0)</f>
        <v>280</v>
      </c>
      <c r="J60" s="9" t="str">
        <f>IFERROR(__xludf.DUMMYFUNCTION("""COMPUTED_VALUE"""),"France")</f>
        <v>France</v>
      </c>
      <c r="K60" s="8"/>
      <c r="L60" s="12"/>
      <c r="M60" s="13"/>
      <c r="N60" s="13" t="str">
        <f>IFERROR(__xludf.DUMMYFUNCTION("IF(ISBLANK(M60),"""",M60*GOOGLEFINANCE(""USDGBP""))"),"")</f>
        <v/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</row>
    <row r="61">
      <c r="A61" s="8" t="str">
        <f>IFERROR(__xludf.DUMMYFUNCTION("""COMPUTED_VALUE"""),"101229920201200750")</f>
        <v>101229920201200750</v>
      </c>
      <c r="B61" s="9" t="str">
        <f>IFERROR(__xludf.DUMMYFUNCTION("""COMPUTED_VALUE"""),"France")</f>
        <v>France</v>
      </c>
      <c r="C61" s="9" t="str">
        <f>IFERROR(__xludf.DUMMYFUNCTION("""COMPUTED_VALUE"""),"bordeaux")</f>
        <v>bordeaux</v>
      </c>
      <c r="D61" s="9" t="str">
        <f>IFERROR(__xludf.DUMMYFUNCTION("""COMPUTED_VALUE"""),"Chateau Lascombes 2eme Cru Classe, Margaux")</f>
        <v>Chateau Lascombes 2eme Cru Classe, Margaux</v>
      </c>
      <c r="E61" s="9">
        <f>IFERROR(__xludf.DUMMYFUNCTION("""COMPUTED_VALUE"""),2020.0)</f>
        <v>2020</v>
      </c>
      <c r="F61" s="9">
        <f>IFERROR(__xludf.DUMMYFUNCTION("""COMPUTED_VALUE"""),750.0)</f>
        <v>750</v>
      </c>
      <c r="G61" s="9">
        <f>IFERROR(__xludf.DUMMYFUNCTION("""COMPUTED_VALUE"""),12.0)</f>
        <v>12</v>
      </c>
      <c r="H61" s="10">
        <f>IFERROR(__xludf.DUMMYFUNCTION("""COMPUTED_VALUE"""),1.0)</f>
        <v>1</v>
      </c>
      <c r="I61" s="11">
        <f>IFERROR(__xludf.DUMMYFUNCTION("""COMPUTED_VALUE"""),560.0)</f>
        <v>560</v>
      </c>
      <c r="J61" s="9" t="str">
        <f>IFERROR(__xludf.DUMMYFUNCTION("""COMPUTED_VALUE"""),"France")</f>
        <v>France</v>
      </c>
      <c r="K61" s="8"/>
      <c r="L61" s="12"/>
      <c r="M61" s="13"/>
      <c r="N61" s="13" t="str">
        <f>IFERROR(__xludf.DUMMYFUNCTION("IF(ISBLANK(M61),"""",M61*GOOGLEFINANCE(""USDGBP""))"),"")</f>
        <v/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</row>
    <row r="62">
      <c r="A62" s="8" t="str">
        <f>IFERROR(__xludf.DUMMYFUNCTION("""COMPUTED_VALUE"""),"101231620150100750")</f>
        <v>101231620150100750</v>
      </c>
      <c r="B62" s="9" t="str">
        <f>IFERROR(__xludf.DUMMYFUNCTION("""COMPUTED_VALUE"""),"France")</f>
        <v>France</v>
      </c>
      <c r="C62" s="9" t="str">
        <f>IFERROR(__xludf.DUMMYFUNCTION("""COMPUTED_VALUE"""),"bordeaux")</f>
        <v>bordeaux</v>
      </c>
      <c r="D62" s="9" t="str">
        <f>IFERROR(__xludf.DUMMYFUNCTION("""COMPUTED_VALUE"""),"Chateau Latour Premier Cru Classe, Pauillac")</f>
        <v>Chateau Latour Premier Cru Classe, Pauillac</v>
      </c>
      <c r="E62" s="9">
        <f>IFERROR(__xludf.DUMMYFUNCTION("""COMPUTED_VALUE"""),2015.0)</f>
        <v>2015</v>
      </c>
      <c r="F62" s="9">
        <f>IFERROR(__xludf.DUMMYFUNCTION("""COMPUTED_VALUE"""),750.0)</f>
        <v>750</v>
      </c>
      <c r="G62" s="9">
        <f>IFERROR(__xludf.DUMMYFUNCTION("""COMPUTED_VALUE"""),1.0)</f>
        <v>1</v>
      </c>
      <c r="H62" s="10">
        <f>IFERROR(__xludf.DUMMYFUNCTION("""COMPUTED_VALUE"""),5.0)</f>
        <v>5</v>
      </c>
      <c r="I62" s="11">
        <f>IFERROR(__xludf.DUMMYFUNCTION("""COMPUTED_VALUE"""),503.0)</f>
        <v>503</v>
      </c>
      <c r="J62" s="9" t="str">
        <f>IFERROR(__xludf.DUMMYFUNCTION("""COMPUTED_VALUE"""),"France")</f>
        <v>France</v>
      </c>
      <c r="K62" s="8"/>
      <c r="L62" s="12"/>
      <c r="M62" s="13"/>
      <c r="N62" s="13" t="str">
        <f>IFERROR(__xludf.DUMMYFUNCTION("IF(ISBLANK(M62),"""",M62*GOOGLEFINANCE(""USDGBP""))"),"")</f>
        <v/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</row>
    <row r="63">
      <c r="A63" s="8" t="str">
        <f>IFERROR(__xludf.DUMMYFUNCTION("""COMPUTED_VALUE"""),"100715620201200750")</f>
        <v>100715620201200750</v>
      </c>
      <c r="B63" s="9" t="str">
        <f>IFERROR(__xludf.DUMMYFUNCTION("""COMPUTED_VALUE"""),"France")</f>
        <v>France</v>
      </c>
      <c r="C63" s="9" t="str">
        <f>IFERROR(__xludf.DUMMYFUNCTION("""COMPUTED_VALUE"""),"bordeaux")</f>
        <v>bordeaux</v>
      </c>
      <c r="D63" s="9" t="str">
        <f>IFERROR(__xludf.DUMMYFUNCTION("""COMPUTED_VALUE"""),"Chateau Le Bon Pasteur, Pomerol")</f>
        <v>Chateau Le Bon Pasteur, Pomerol</v>
      </c>
      <c r="E63" s="9">
        <f>IFERROR(__xludf.DUMMYFUNCTION("""COMPUTED_VALUE"""),2020.0)</f>
        <v>2020</v>
      </c>
      <c r="F63" s="9">
        <f>IFERROR(__xludf.DUMMYFUNCTION("""COMPUTED_VALUE"""),750.0)</f>
        <v>750</v>
      </c>
      <c r="G63" s="9">
        <f>IFERROR(__xludf.DUMMYFUNCTION("""COMPUTED_VALUE"""),12.0)</f>
        <v>12</v>
      </c>
      <c r="H63" s="10">
        <f>IFERROR(__xludf.DUMMYFUNCTION("""COMPUTED_VALUE"""),5.0)</f>
        <v>5</v>
      </c>
      <c r="I63" s="11">
        <f>IFERROR(__xludf.DUMMYFUNCTION("""COMPUTED_VALUE"""),516.0)</f>
        <v>516</v>
      </c>
      <c r="J63" s="9" t="str">
        <f>IFERROR(__xludf.DUMMYFUNCTION("""COMPUTED_VALUE"""),"France")</f>
        <v>France</v>
      </c>
      <c r="K63" s="8"/>
      <c r="L63" s="12"/>
      <c r="M63" s="13"/>
      <c r="N63" s="13" t="str">
        <f>IFERROR(__xludf.DUMMYFUNCTION("IF(ISBLANK(M63),"""",M63*GOOGLEFINANCE(""USDGBP""))"),"")</f>
        <v/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</row>
    <row r="64">
      <c r="A64" s="8" t="str">
        <f>IFERROR(__xludf.DUMMYFUNCTION("""COMPUTED_VALUE"""),"101238720220600750")</f>
        <v>101238720220600750</v>
      </c>
      <c r="B64" s="9" t="str">
        <f>IFERROR(__xludf.DUMMYFUNCTION("""COMPUTED_VALUE"""),"France")</f>
        <v>France</v>
      </c>
      <c r="C64" s="9" t="str">
        <f>IFERROR(__xludf.DUMMYFUNCTION("""COMPUTED_VALUE"""),"bordeaux")</f>
        <v>bordeaux</v>
      </c>
      <c r="D64" s="9" t="str">
        <f>IFERROR(__xludf.DUMMYFUNCTION("""COMPUTED_VALUE"""),"Chateau Leoville Poyferre 2eme Cru Classe, Saint-Julien")</f>
        <v>Chateau Leoville Poyferre 2eme Cru Classe, Saint-Julien</v>
      </c>
      <c r="E64" s="9">
        <f>IFERROR(__xludf.DUMMYFUNCTION("""COMPUTED_VALUE"""),2022.0)</f>
        <v>2022</v>
      </c>
      <c r="F64" s="9">
        <f>IFERROR(__xludf.DUMMYFUNCTION("""COMPUTED_VALUE"""),750.0)</f>
        <v>750</v>
      </c>
      <c r="G64" s="9">
        <f>IFERROR(__xludf.DUMMYFUNCTION("""COMPUTED_VALUE"""),6.0)</f>
        <v>6</v>
      </c>
      <c r="H64" s="10">
        <f>IFERROR(__xludf.DUMMYFUNCTION("""COMPUTED_VALUE"""),1.0)</f>
        <v>1</v>
      </c>
      <c r="I64" s="11">
        <f>IFERROR(__xludf.DUMMYFUNCTION("""COMPUTED_VALUE"""),538.0)</f>
        <v>538</v>
      </c>
      <c r="J64" s="9" t="str">
        <f>IFERROR(__xludf.DUMMYFUNCTION("""COMPUTED_VALUE"""),"France")</f>
        <v>France</v>
      </c>
      <c r="K64" s="8"/>
      <c r="L64" s="12"/>
      <c r="M64" s="13"/>
      <c r="N64" s="13" t="str">
        <f>IFERROR(__xludf.DUMMYFUNCTION("IF(ISBLANK(M64),"""",M64*GOOGLEFINANCE(""USDGBP""))"),"")</f>
        <v/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</row>
    <row r="65">
      <c r="A65" s="8" t="str">
        <f>IFERROR(__xludf.DUMMYFUNCTION("""COMPUTED_VALUE"""),"101257620210600750")</f>
        <v>101257620210600750</v>
      </c>
      <c r="B65" s="9" t="str">
        <f>IFERROR(__xludf.DUMMYFUNCTION("""COMPUTED_VALUE"""),"France")</f>
        <v>France</v>
      </c>
      <c r="C65" s="9" t="str">
        <f>IFERROR(__xludf.DUMMYFUNCTION("""COMPUTED_VALUE"""),"bordeaux")</f>
        <v>bordeaux</v>
      </c>
      <c r="D65" s="9" t="str">
        <f>IFERROR(__xludf.DUMMYFUNCTION("""COMPUTED_VALUE"""),"Chateau Lynch-Bages 5eme Cru Classe, Pauillac")</f>
        <v>Chateau Lynch-Bages 5eme Cru Classe, Pauillac</v>
      </c>
      <c r="E65" s="9">
        <f>IFERROR(__xludf.DUMMYFUNCTION("""COMPUTED_VALUE"""),2021.0)</f>
        <v>2021</v>
      </c>
      <c r="F65" s="9">
        <f>IFERROR(__xludf.DUMMYFUNCTION("""COMPUTED_VALUE"""),750.0)</f>
        <v>750</v>
      </c>
      <c r="G65" s="9">
        <f>IFERROR(__xludf.DUMMYFUNCTION("""COMPUTED_VALUE"""),6.0)</f>
        <v>6</v>
      </c>
      <c r="H65" s="10">
        <f>IFERROR(__xludf.DUMMYFUNCTION("""COMPUTED_VALUE"""),4.0)</f>
        <v>4</v>
      </c>
      <c r="I65" s="11">
        <f>IFERROR(__xludf.DUMMYFUNCTION("""COMPUTED_VALUE"""),496.0)</f>
        <v>496</v>
      </c>
      <c r="J65" s="9" t="str">
        <f>IFERROR(__xludf.DUMMYFUNCTION("""COMPUTED_VALUE"""),"France")</f>
        <v>France</v>
      </c>
      <c r="K65" s="8"/>
      <c r="L65" s="12"/>
      <c r="M65" s="13"/>
      <c r="N65" s="13" t="str">
        <f>IFERROR(__xludf.DUMMYFUNCTION("IF(ISBLANK(M65),"""",M65*GOOGLEFINANCE(""USDGBP""))"),"")</f>
        <v/>
      </c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</row>
    <row r="66">
      <c r="A66" s="8" t="str">
        <f>IFERROR(__xludf.DUMMYFUNCTION("""COMPUTED_VALUE"""),"101278120090600750")</f>
        <v>101278120090600750</v>
      </c>
      <c r="B66" s="9" t="str">
        <f>IFERROR(__xludf.DUMMYFUNCTION("""COMPUTED_VALUE"""),"France")</f>
        <v>France</v>
      </c>
      <c r="C66" s="9" t="str">
        <f>IFERROR(__xludf.DUMMYFUNCTION("""COMPUTED_VALUE"""),"bordeaux")</f>
        <v>bordeaux</v>
      </c>
      <c r="D66" s="9" t="str">
        <f>IFERROR(__xludf.DUMMYFUNCTION("""COMPUTED_VALUE"""),"Chateau Margaux Premier Cru Classe, Margaux")</f>
        <v>Chateau Margaux Premier Cru Classe, Margaux</v>
      </c>
      <c r="E66" s="9">
        <f>IFERROR(__xludf.DUMMYFUNCTION("""COMPUTED_VALUE"""),2009.0)</f>
        <v>2009</v>
      </c>
      <c r="F66" s="9">
        <f>IFERROR(__xludf.DUMMYFUNCTION("""COMPUTED_VALUE"""),750.0)</f>
        <v>750</v>
      </c>
      <c r="G66" s="9">
        <f>IFERROR(__xludf.DUMMYFUNCTION("""COMPUTED_VALUE"""),6.0)</f>
        <v>6</v>
      </c>
      <c r="H66" s="10">
        <f>IFERROR(__xludf.DUMMYFUNCTION("""COMPUTED_VALUE"""),1.0)</f>
        <v>1</v>
      </c>
      <c r="I66" s="11">
        <f>IFERROR(__xludf.DUMMYFUNCTION("""COMPUTED_VALUE"""),3868.0)</f>
        <v>3868</v>
      </c>
      <c r="J66" s="9" t="str">
        <f>IFERROR(__xludf.DUMMYFUNCTION("""COMPUTED_VALUE"""),"France")</f>
        <v>France</v>
      </c>
      <c r="K66" s="8"/>
      <c r="L66" s="12"/>
      <c r="M66" s="13"/>
      <c r="N66" s="13" t="str">
        <f>IFERROR(__xludf.DUMMYFUNCTION("IF(ISBLANK(M66),"""",M66*GOOGLEFINANCE(""USDGBP""))"),"")</f>
        <v/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</row>
    <row r="67">
      <c r="A67" s="8" t="str">
        <f>IFERROR(__xludf.DUMMYFUNCTION("""COMPUTED_VALUE"""),"101278120100300750")</f>
        <v>101278120100300750</v>
      </c>
      <c r="B67" s="9" t="str">
        <f>IFERROR(__xludf.DUMMYFUNCTION("""COMPUTED_VALUE"""),"France")</f>
        <v>France</v>
      </c>
      <c r="C67" s="9" t="str">
        <f>IFERROR(__xludf.DUMMYFUNCTION("""COMPUTED_VALUE"""),"bordeaux")</f>
        <v>bordeaux</v>
      </c>
      <c r="D67" s="9" t="str">
        <f>IFERROR(__xludf.DUMMYFUNCTION("""COMPUTED_VALUE"""),"Chateau Margaux Premier Cru Classe, Margaux")</f>
        <v>Chateau Margaux Premier Cru Classe, Margaux</v>
      </c>
      <c r="E67" s="9">
        <f>IFERROR(__xludf.DUMMYFUNCTION("""COMPUTED_VALUE"""),2010.0)</f>
        <v>2010</v>
      </c>
      <c r="F67" s="9">
        <f>IFERROR(__xludf.DUMMYFUNCTION("""COMPUTED_VALUE"""),750.0)</f>
        <v>750</v>
      </c>
      <c r="G67" s="9">
        <f>IFERROR(__xludf.DUMMYFUNCTION("""COMPUTED_VALUE"""),3.0)</f>
        <v>3</v>
      </c>
      <c r="H67" s="10">
        <f>IFERROR(__xludf.DUMMYFUNCTION("""COMPUTED_VALUE"""),3.0)</f>
        <v>3</v>
      </c>
      <c r="I67" s="11">
        <f>IFERROR(__xludf.DUMMYFUNCTION("""COMPUTED_VALUE"""),1864.0)</f>
        <v>1864</v>
      </c>
      <c r="J67" s="9" t="str">
        <f>IFERROR(__xludf.DUMMYFUNCTION("""COMPUTED_VALUE"""),"France")</f>
        <v>France</v>
      </c>
      <c r="K67" s="8"/>
      <c r="L67" s="12"/>
      <c r="M67" s="13"/>
      <c r="N67" s="13" t="str">
        <f>IFERROR(__xludf.DUMMYFUNCTION("IF(ISBLANK(M67),"""",M67*GOOGLEFINANCE(""USDGBP""))"),"")</f>
        <v/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</row>
    <row r="68">
      <c r="A68" s="8" t="str">
        <f>IFERROR(__xludf.DUMMYFUNCTION("""COMPUTED_VALUE"""),"101278120110100750")</f>
        <v>101278120110100750</v>
      </c>
      <c r="B68" s="9" t="str">
        <f>IFERROR(__xludf.DUMMYFUNCTION("""COMPUTED_VALUE"""),"France")</f>
        <v>France</v>
      </c>
      <c r="C68" s="9" t="str">
        <f>IFERROR(__xludf.DUMMYFUNCTION("""COMPUTED_VALUE"""),"bordeaux")</f>
        <v>bordeaux</v>
      </c>
      <c r="D68" s="9" t="str">
        <f>IFERROR(__xludf.DUMMYFUNCTION("""COMPUTED_VALUE"""),"Chateau Margaux Premier Cru Classe, Margaux")</f>
        <v>Chateau Margaux Premier Cru Classe, Margaux</v>
      </c>
      <c r="E68" s="9">
        <f>IFERROR(__xludf.DUMMYFUNCTION("""COMPUTED_VALUE"""),2011.0)</f>
        <v>2011</v>
      </c>
      <c r="F68" s="9">
        <f>IFERROR(__xludf.DUMMYFUNCTION("""COMPUTED_VALUE"""),750.0)</f>
        <v>750</v>
      </c>
      <c r="G68" s="9">
        <f>IFERROR(__xludf.DUMMYFUNCTION("""COMPUTED_VALUE"""),1.0)</f>
        <v>1</v>
      </c>
      <c r="H68" s="10">
        <f>IFERROR(__xludf.DUMMYFUNCTION("""COMPUTED_VALUE"""),4.0)</f>
        <v>4</v>
      </c>
      <c r="I68" s="11">
        <f>IFERROR(__xludf.DUMMYFUNCTION("""COMPUTED_VALUE"""),352.0)</f>
        <v>352</v>
      </c>
      <c r="J68" s="9" t="str">
        <f>IFERROR(__xludf.DUMMYFUNCTION("""COMPUTED_VALUE"""),"France")</f>
        <v>France</v>
      </c>
      <c r="K68" s="8"/>
      <c r="L68" s="12"/>
      <c r="M68" s="13"/>
      <c r="N68" s="13" t="str">
        <f>IFERROR(__xludf.DUMMYFUNCTION("IF(ISBLANK(M68),"""",M68*GOOGLEFINANCE(""USDGBP""))"),"")</f>
        <v/>
      </c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</row>
    <row r="69">
      <c r="A69" s="8" t="str">
        <f>IFERROR(__xludf.DUMMYFUNCTION("""COMPUTED_VALUE"""),"101278120140600750")</f>
        <v>101278120140600750</v>
      </c>
      <c r="B69" s="9" t="str">
        <f>IFERROR(__xludf.DUMMYFUNCTION("""COMPUTED_VALUE"""),"France")</f>
        <v>France</v>
      </c>
      <c r="C69" s="9" t="str">
        <f>IFERROR(__xludf.DUMMYFUNCTION("""COMPUTED_VALUE"""),"bordeaux")</f>
        <v>bordeaux</v>
      </c>
      <c r="D69" s="9" t="str">
        <f>IFERROR(__xludf.DUMMYFUNCTION("""COMPUTED_VALUE"""),"Chateau Margaux Premier Cru Classe, Margaux")</f>
        <v>Chateau Margaux Premier Cru Classe, Margaux</v>
      </c>
      <c r="E69" s="9">
        <f>IFERROR(__xludf.DUMMYFUNCTION("""COMPUTED_VALUE"""),2014.0)</f>
        <v>2014</v>
      </c>
      <c r="F69" s="9">
        <f>IFERROR(__xludf.DUMMYFUNCTION("""COMPUTED_VALUE"""),750.0)</f>
        <v>750</v>
      </c>
      <c r="G69" s="9">
        <f>IFERROR(__xludf.DUMMYFUNCTION("""COMPUTED_VALUE"""),6.0)</f>
        <v>6</v>
      </c>
      <c r="H69" s="10">
        <f>IFERROR(__xludf.DUMMYFUNCTION("""COMPUTED_VALUE"""),2.0)</f>
        <v>2</v>
      </c>
      <c r="I69" s="11">
        <f>IFERROR(__xludf.DUMMYFUNCTION("""COMPUTED_VALUE"""),2197.0)</f>
        <v>2197</v>
      </c>
      <c r="J69" s="9" t="str">
        <f>IFERROR(__xludf.DUMMYFUNCTION("""COMPUTED_VALUE"""),"France")</f>
        <v>France</v>
      </c>
      <c r="K69" s="8"/>
      <c r="L69" s="12"/>
      <c r="M69" s="13"/>
      <c r="N69" s="13" t="str">
        <f>IFERROR(__xludf.DUMMYFUNCTION("IF(ISBLANK(M69),"""",M69*GOOGLEFINANCE(""USDGBP""))"),"")</f>
        <v/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</row>
    <row r="70">
      <c r="A70" s="8" t="str">
        <f>IFERROR(__xludf.DUMMYFUNCTION("""COMPUTED_VALUE"""),"101329620210600750")</f>
        <v>101329620210600750</v>
      </c>
      <c r="B70" s="9" t="str">
        <f>IFERROR(__xludf.DUMMYFUNCTION("""COMPUTED_VALUE"""),"France")</f>
        <v>France</v>
      </c>
      <c r="C70" s="9" t="str">
        <f>IFERROR(__xludf.DUMMYFUNCTION("""COMPUTED_VALUE"""),"bordeaux")</f>
        <v>bordeaux</v>
      </c>
      <c r="D70" s="9" t="str">
        <f>IFERROR(__xludf.DUMMYFUNCTION("""COMPUTED_VALUE"""),"Chateau Montrose 2eme Cru Classe, Saint-Estephe")</f>
        <v>Chateau Montrose 2eme Cru Classe, Saint-Estephe</v>
      </c>
      <c r="E70" s="9">
        <f>IFERROR(__xludf.DUMMYFUNCTION("""COMPUTED_VALUE"""),2021.0)</f>
        <v>2021</v>
      </c>
      <c r="F70" s="9">
        <f>IFERROR(__xludf.DUMMYFUNCTION("""COMPUTED_VALUE"""),750.0)</f>
        <v>750</v>
      </c>
      <c r="G70" s="9">
        <f>IFERROR(__xludf.DUMMYFUNCTION("""COMPUTED_VALUE"""),6.0)</f>
        <v>6</v>
      </c>
      <c r="H70" s="10">
        <f>IFERROR(__xludf.DUMMYFUNCTION("""COMPUTED_VALUE"""),3.0)</f>
        <v>3</v>
      </c>
      <c r="I70" s="11">
        <f>IFERROR(__xludf.DUMMYFUNCTION("""COMPUTED_VALUE"""),643.0)</f>
        <v>643</v>
      </c>
      <c r="J70" s="9" t="str">
        <f>IFERROR(__xludf.DUMMYFUNCTION("""COMPUTED_VALUE"""),"France")</f>
        <v>France</v>
      </c>
      <c r="K70" s="8"/>
      <c r="L70" s="12"/>
      <c r="M70" s="13"/>
      <c r="N70" s="13" t="str">
        <f>IFERROR(__xludf.DUMMYFUNCTION("IF(ISBLANK(M70),"""",M70*GOOGLEFINANCE(""USDGBP""))"),"")</f>
        <v/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</row>
    <row r="71">
      <c r="A71" s="8" t="str">
        <f>IFERROR(__xludf.DUMMYFUNCTION("""COMPUTED_VALUE"""),"101329620220301500")</f>
        <v>101329620220301500</v>
      </c>
      <c r="B71" s="9" t="str">
        <f>IFERROR(__xludf.DUMMYFUNCTION("""COMPUTED_VALUE"""),"France")</f>
        <v>France</v>
      </c>
      <c r="C71" s="9" t="str">
        <f>IFERROR(__xludf.DUMMYFUNCTION("""COMPUTED_VALUE"""),"bordeaux")</f>
        <v>bordeaux</v>
      </c>
      <c r="D71" s="9" t="str">
        <f>IFERROR(__xludf.DUMMYFUNCTION("""COMPUTED_VALUE"""),"Chateau Montrose 2eme Cru Classe, Saint-Estephe")</f>
        <v>Chateau Montrose 2eme Cru Classe, Saint-Estephe</v>
      </c>
      <c r="E71" s="9">
        <f>IFERROR(__xludf.DUMMYFUNCTION("""COMPUTED_VALUE"""),2022.0)</f>
        <v>2022</v>
      </c>
      <c r="F71" s="9">
        <f>IFERROR(__xludf.DUMMYFUNCTION("""COMPUTED_VALUE"""),1500.0)</f>
        <v>1500</v>
      </c>
      <c r="G71" s="9">
        <f>IFERROR(__xludf.DUMMYFUNCTION("""COMPUTED_VALUE"""),3.0)</f>
        <v>3</v>
      </c>
      <c r="H71" s="10">
        <f>IFERROR(__xludf.DUMMYFUNCTION("""COMPUTED_VALUE"""),1.0)</f>
        <v>1</v>
      </c>
      <c r="I71" s="11">
        <f>IFERROR(__xludf.DUMMYFUNCTION("""COMPUTED_VALUE"""),961.0)</f>
        <v>961</v>
      </c>
      <c r="J71" s="9" t="str">
        <f>IFERROR(__xludf.DUMMYFUNCTION("""COMPUTED_VALUE"""),"France")</f>
        <v>France</v>
      </c>
      <c r="K71" s="8"/>
      <c r="L71" s="12"/>
      <c r="M71" s="13"/>
      <c r="N71" s="13" t="str">
        <f>IFERROR(__xludf.DUMMYFUNCTION("IF(ISBLANK(M71),"""",M71*GOOGLEFINANCE(""USDGBP""))"),"")</f>
        <v/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</row>
    <row r="72">
      <c r="A72" s="8" t="str">
        <f>IFERROR(__xludf.DUMMYFUNCTION("""COMPUTED_VALUE"""),"101354420100100750")</f>
        <v>101354420100100750</v>
      </c>
      <c r="B72" s="9" t="str">
        <f>IFERROR(__xludf.DUMMYFUNCTION("""COMPUTED_VALUE"""),"France")</f>
        <v>France</v>
      </c>
      <c r="C72" s="9" t="str">
        <f>IFERROR(__xludf.DUMMYFUNCTION("""COMPUTED_VALUE"""),"bordeaux")</f>
        <v>bordeaux</v>
      </c>
      <c r="D72" s="9" t="str">
        <f>IFERROR(__xludf.DUMMYFUNCTION("""COMPUTED_VALUE"""),"Chateau Mouton Rothschild Premier Cru Classe, Pauillac")</f>
        <v>Chateau Mouton Rothschild Premier Cru Classe, Pauillac</v>
      </c>
      <c r="E72" s="9">
        <f>IFERROR(__xludf.DUMMYFUNCTION("""COMPUTED_VALUE"""),2010.0)</f>
        <v>2010</v>
      </c>
      <c r="F72" s="9">
        <f>IFERROR(__xludf.DUMMYFUNCTION("""COMPUTED_VALUE"""),750.0)</f>
        <v>750</v>
      </c>
      <c r="G72" s="9">
        <f>IFERROR(__xludf.DUMMYFUNCTION("""COMPUTED_VALUE"""),1.0)</f>
        <v>1</v>
      </c>
      <c r="H72" s="10">
        <f>IFERROR(__xludf.DUMMYFUNCTION("""COMPUTED_VALUE"""),3.0)</f>
        <v>3</v>
      </c>
      <c r="I72" s="11">
        <f>IFERROR(__xludf.DUMMYFUNCTION("""COMPUTED_VALUE"""),559.0)</f>
        <v>559</v>
      </c>
      <c r="J72" s="9" t="str">
        <f>IFERROR(__xludf.DUMMYFUNCTION("""COMPUTED_VALUE"""),"France")</f>
        <v>France</v>
      </c>
      <c r="K72" s="8"/>
      <c r="L72" s="12"/>
      <c r="M72" s="13"/>
      <c r="N72" s="13" t="str">
        <f>IFERROR(__xludf.DUMMYFUNCTION("IF(ISBLANK(M72),"""",M72*GOOGLEFINANCE(""USDGBP""))"),"")</f>
        <v/>
      </c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</row>
    <row r="73">
      <c r="A73" s="8" t="str">
        <f>IFERROR(__xludf.DUMMYFUNCTION("""COMPUTED_VALUE"""),"101354420100600750")</f>
        <v>101354420100600750</v>
      </c>
      <c r="B73" s="9" t="str">
        <f>IFERROR(__xludf.DUMMYFUNCTION("""COMPUTED_VALUE"""),"France")</f>
        <v>France</v>
      </c>
      <c r="C73" s="9" t="str">
        <f>IFERROR(__xludf.DUMMYFUNCTION("""COMPUTED_VALUE"""),"bordeaux")</f>
        <v>bordeaux</v>
      </c>
      <c r="D73" s="9" t="str">
        <f>IFERROR(__xludf.DUMMYFUNCTION("""COMPUTED_VALUE"""),"Chateau Mouton Rothschild Premier Cru Classe, Pauillac")</f>
        <v>Chateau Mouton Rothschild Premier Cru Classe, Pauillac</v>
      </c>
      <c r="E73" s="9">
        <f>IFERROR(__xludf.DUMMYFUNCTION("""COMPUTED_VALUE"""),2010.0)</f>
        <v>2010</v>
      </c>
      <c r="F73" s="9">
        <f>IFERROR(__xludf.DUMMYFUNCTION("""COMPUTED_VALUE"""),750.0)</f>
        <v>750</v>
      </c>
      <c r="G73" s="9">
        <f>IFERROR(__xludf.DUMMYFUNCTION("""COMPUTED_VALUE"""),6.0)</f>
        <v>6</v>
      </c>
      <c r="H73" s="10">
        <f>IFERROR(__xludf.DUMMYFUNCTION("""COMPUTED_VALUE"""),1.0)</f>
        <v>1</v>
      </c>
      <c r="I73" s="11">
        <f>IFERROR(__xludf.DUMMYFUNCTION("""COMPUTED_VALUE"""),3369.0)</f>
        <v>3369</v>
      </c>
      <c r="J73" s="9" t="str">
        <f>IFERROR(__xludf.DUMMYFUNCTION("""COMPUTED_VALUE"""),"France")</f>
        <v>France</v>
      </c>
      <c r="K73" s="8"/>
      <c r="L73" s="12"/>
      <c r="M73" s="13"/>
      <c r="N73" s="13" t="str">
        <f>IFERROR(__xludf.DUMMYFUNCTION("IF(ISBLANK(M73),"""",M73*GOOGLEFINANCE(""USDGBP""))"),"")</f>
        <v/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</row>
    <row r="74">
      <c r="A74" s="8" t="str">
        <f>IFERROR(__xludf.DUMMYFUNCTION("""COMPUTED_VALUE"""),"101354420150100750")</f>
        <v>101354420150100750</v>
      </c>
      <c r="B74" s="9" t="str">
        <f>IFERROR(__xludf.DUMMYFUNCTION("""COMPUTED_VALUE"""),"France")</f>
        <v>France</v>
      </c>
      <c r="C74" s="9" t="str">
        <f>IFERROR(__xludf.DUMMYFUNCTION("""COMPUTED_VALUE"""),"bordeaux")</f>
        <v>bordeaux</v>
      </c>
      <c r="D74" s="9" t="str">
        <f>IFERROR(__xludf.DUMMYFUNCTION("""COMPUTED_VALUE"""),"Chateau Mouton Rothschild Premier Cru Classe, Pauillac")</f>
        <v>Chateau Mouton Rothschild Premier Cru Classe, Pauillac</v>
      </c>
      <c r="E74" s="9">
        <f>IFERROR(__xludf.DUMMYFUNCTION("""COMPUTED_VALUE"""),2015.0)</f>
        <v>2015</v>
      </c>
      <c r="F74" s="9">
        <f>IFERROR(__xludf.DUMMYFUNCTION("""COMPUTED_VALUE"""),750.0)</f>
        <v>750</v>
      </c>
      <c r="G74" s="9">
        <f>IFERROR(__xludf.DUMMYFUNCTION("""COMPUTED_VALUE"""),1.0)</f>
        <v>1</v>
      </c>
      <c r="H74" s="10">
        <f>IFERROR(__xludf.DUMMYFUNCTION("""COMPUTED_VALUE"""),2.0)</f>
        <v>2</v>
      </c>
      <c r="I74" s="11">
        <f>IFERROR(__xludf.DUMMYFUNCTION("""COMPUTED_VALUE"""),422.0)</f>
        <v>422</v>
      </c>
      <c r="J74" s="9" t="str">
        <f>IFERROR(__xludf.DUMMYFUNCTION("""COMPUTED_VALUE"""),"France")</f>
        <v>France</v>
      </c>
      <c r="K74" s="8"/>
      <c r="L74" s="12"/>
      <c r="M74" s="13"/>
      <c r="N74" s="13" t="str">
        <f>IFERROR(__xludf.DUMMYFUNCTION("IF(ISBLANK(M74),"""",M74*GOOGLEFINANCE(""USDGBP""))"),"")</f>
        <v/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</row>
    <row r="75">
      <c r="A75" s="8" t="str">
        <f>IFERROR(__xludf.DUMMYFUNCTION("""COMPUTED_VALUE"""),"101354420160100750")</f>
        <v>101354420160100750</v>
      </c>
      <c r="B75" s="9" t="str">
        <f>IFERROR(__xludf.DUMMYFUNCTION("""COMPUTED_VALUE"""),"France")</f>
        <v>France</v>
      </c>
      <c r="C75" s="9" t="str">
        <f>IFERROR(__xludf.DUMMYFUNCTION("""COMPUTED_VALUE"""),"bordeaux")</f>
        <v>bordeaux</v>
      </c>
      <c r="D75" s="9" t="str">
        <f>IFERROR(__xludf.DUMMYFUNCTION("""COMPUTED_VALUE"""),"Chateau Mouton Rothschild Premier Cru Classe, Pauillac")</f>
        <v>Chateau Mouton Rothschild Premier Cru Classe, Pauillac</v>
      </c>
      <c r="E75" s="9">
        <f>IFERROR(__xludf.DUMMYFUNCTION("""COMPUTED_VALUE"""),2016.0)</f>
        <v>2016</v>
      </c>
      <c r="F75" s="9">
        <f>IFERROR(__xludf.DUMMYFUNCTION("""COMPUTED_VALUE"""),750.0)</f>
        <v>750</v>
      </c>
      <c r="G75" s="9">
        <f>IFERROR(__xludf.DUMMYFUNCTION("""COMPUTED_VALUE"""),1.0)</f>
        <v>1</v>
      </c>
      <c r="H75" s="10">
        <f>IFERROR(__xludf.DUMMYFUNCTION("""COMPUTED_VALUE"""),3.0)</f>
        <v>3</v>
      </c>
      <c r="I75" s="11">
        <f>IFERROR(__xludf.DUMMYFUNCTION("""COMPUTED_VALUE"""),517.0)</f>
        <v>517</v>
      </c>
      <c r="J75" s="9" t="str">
        <f>IFERROR(__xludf.DUMMYFUNCTION("""COMPUTED_VALUE"""),"France")</f>
        <v>France</v>
      </c>
      <c r="K75" s="8"/>
      <c r="L75" s="12"/>
      <c r="M75" s="13"/>
      <c r="N75" s="13" t="str">
        <f>IFERROR(__xludf.DUMMYFUNCTION("IF(ISBLANK(M75),"""",M75*GOOGLEFINANCE(""USDGBP""))"),"")</f>
        <v/>
      </c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</row>
    <row r="76">
      <c r="A76" s="8" t="str">
        <f>IFERROR(__xludf.DUMMYFUNCTION("""COMPUTED_VALUE"""),"101354420180100750")</f>
        <v>101354420180100750</v>
      </c>
      <c r="B76" s="9" t="str">
        <f>IFERROR(__xludf.DUMMYFUNCTION("""COMPUTED_VALUE"""),"France")</f>
        <v>France</v>
      </c>
      <c r="C76" s="9" t="str">
        <f>IFERROR(__xludf.DUMMYFUNCTION("""COMPUTED_VALUE"""),"bordeaux")</f>
        <v>bordeaux</v>
      </c>
      <c r="D76" s="9" t="str">
        <f>IFERROR(__xludf.DUMMYFUNCTION("""COMPUTED_VALUE"""),"Chateau Mouton Rothschild Premier Cru Classe, Pauillac")</f>
        <v>Chateau Mouton Rothschild Premier Cru Classe, Pauillac</v>
      </c>
      <c r="E76" s="9">
        <f>IFERROR(__xludf.DUMMYFUNCTION("""COMPUTED_VALUE"""),2018.0)</f>
        <v>2018</v>
      </c>
      <c r="F76" s="9">
        <f>IFERROR(__xludf.DUMMYFUNCTION("""COMPUTED_VALUE"""),750.0)</f>
        <v>750</v>
      </c>
      <c r="G76" s="9">
        <f>IFERROR(__xludf.DUMMYFUNCTION("""COMPUTED_VALUE"""),1.0)</f>
        <v>1</v>
      </c>
      <c r="H76" s="10">
        <f>IFERROR(__xludf.DUMMYFUNCTION("""COMPUTED_VALUE"""),6.0)</f>
        <v>6</v>
      </c>
      <c r="I76" s="11">
        <f>IFERROR(__xludf.DUMMYFUNCTION("""COMPUTED_VALUE"""),465.0)</f>
        <v>465</v>
      </c>
      <c r="J76" s="9" t="str">
        <f>IFERROR(__xludf.DUMMYFUNCTION("""COMPUTED_VALUE"""),"France")</f>
        <v>France</v>
      </c>
      <c r="K76" s="8"/>
      <c r="L76" s="12"/>
      <c r="M76" s="13"/>
      <c r="N76" s="13" t="str">
        <f>IFERROR(__xludf.DUMMYFUNCTION("IF(ISBLANK(M76),"""",M76*GOOGLEFINANCE(""USDGBP""))"),"")</f>
        <v/>
      </c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</row>
    <row r="77">
      <c r="A77" s="8" t="str">
        <f>IFERROR(__xludf.DUMMYFUNCTION("""COMPUTED_VALUE"""),"101354420220300750")</f>
        <v>101354420220300750</v>
      </c>
      <c r="B77" s="9" t="str">
        <f>IFERROR(__xludf.DUMMYFUNCTION("""COMPUTED_VALUE"""),"France")</f>
        <v>France</v>
      </c>
      <c r="C77" s="9" t="str">
        <f>IFERROR(__xludf.DUMMYFUNCTION("""COMPUTED_VALUE"""),"bordeaux")</f>
        <v>bordeaux</v>
      </c>
      <c r="D77" s="9" t="str">
        <f>IFERROR(__xludf.DUMMYFUNCTION("""COMPUTED_VALUE"""),"Chateau Mouton Rothschild Premier Cru Classe, Pauillac")</f>
        <v>Chateau Mouton Rothschild Premier Cru Classe, Pauillac</v>
      </c>
      <c r="E77" s="9">
        <f>IFERROR(__xludf.DUMMYFUNCTION("""COMPUTED_VALUE"""),2022.0)</f>
        <v>2022</v>
      </c>
      <c r="F77" s="9">
        <f>IFERROR(__xludf.DUMMYFUNCTION("""COMPUTED_VALUE"""),750.0)</f>
        <v>750</v>
      </c>
      <c r="G77" s="9">
        <f>IFERROR(__xludf.DUMMYFUNCTION("""COMPUTED_VALUE"""),3.0)</f>
        <v>3</v>
      </c>
      <c r="H77" s="10">
        <f>IFERROR(__xludf.DUMMYFUNCTION("""COMPUTED_VALUE"""),1.0)</f>
        <v>1</v>
      </c>
      <c r="I77" s="11">
        <f>IFERROR(__xludf.DUMMYFUNCTION("""COMPUTED_VALUE"""),1668.0)</f>
        <v>1668</v>
      </c>
      <c r="J77" s="9" t="str">
        <f>IFERROR(__xludf.DUMMYFUNCTION("""COMPUTED_VALUE"""),"France")</f>
        <v>France</v>
      </c>
      <c r="K77" s="8"/>
      <c r="L77" s="12"/>
      <c r="M77" s="13"/>
      <c r="N77" s="13" t="str">
        <f>IFERROR(__xludf.DUMMYFUNCTION("IF(ISBLANK(M77),"""",M77*GOOGLEFINANCE(""USDGBP""))"),"")</f>
        <v/>
      </c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</row>
    <row r="78">
      <c r="A78" s="8" t="str">
        <f>IFERROR(__xludf.DUMMYFUNCTION("""COMPUTED_VALUE"""),"101357320180600750")</f>
        <v>101357320180600750</v>
      </c>
      <c r="B78" s="9" t="str">
        <f>IFERROR(__xludf.DUMMYFUNCTION("""COMPUTED_VALUE"""),"France")</f>
        <v>France</v>
      </c>
      <c r="C78" s="9" t="str">
        <f>IFERROR(__xludf.DUMMYFUNCTION("""COMPUTED_VALUE"""),"bordeaux")</f>
        <v>bordeaux</v>
      </c>
      <c r="D78" s="9" t="str">
        <f>IFERROR(__xludf.DUMMYFUNCTION("""COMPUTED_VALUE"""),"Chateau Nenin, Pomerol")</f>
        <v>Chateau Nenin, Pomerol</v>
      </c>
      <c r="E78" s="9">
        <f>IFERROR(__xludf.DUMMYFUNCTION("""COMPUTED_VALUE"""),2018.0)</f>
        <v>2018</v>
      </c>
      <c r="F78" s="9">
        <f>IFERROR(__xludf.DUMMYFUNCTION("""COMPUTED_VALUE"""),750.0)</f>
        <v>750</v>
      </c>
      <c r="G78" s="9">
        <f>IFERROR(__xludf.DUMMYFUNCTION("""COMPUTED_VALUE"""),6.0)</f>
        <v>6</v>
      </c>
      <c r="H78" s="10">
        <f>IFERROR(__xludf.DUMMYFUNCTION("""COMPUTED_VALUE"""),4.0)</f>
        <v>4</v>
      </c>
      <c r="I78" s="11">
        <f>IFERROR(__xludf.DUMMYFUNCTION("""COMPUTED_VALUE"""),291.0)</f>
        <v>291</v>
      </c>
      <c r="J78" s="9" t="str">
        <f>IFERROR(__xludf.DUMMYFUNCTION("""COMPUTED_VALUE"""),"France")</f>
        <v>France</v>
      </c>
      <c r="K78" s="8"/>
      <c r="L78" s="12"/>
      <c r="M78" s="13"/>
      <c r="N78" s="13" t="str">
        <f>IFERROR(__xludf.DUMMYFUNCTION("IF(ISBLANK(M78),"""",M78*GOOGLEFINANCE(""USDGBP""))"),"")</f>
        <v/>
      </c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</row>
    <row r="79">
      <c r="A79" s="8" t="str">
        <f>IFERROR(__xludf.DUMMYFUNCTION("""COMPUTED_VALUE"""),"101357320200600750")</f>
        <v>101357320200600750</v>
      </c>
      <c r="B79" s="9" t="str">
        <f>IFERROR(__xludf.DUMMYFUNCTION("""COMPUTED_VALUE"""),"France")</f>
        <v>France</v>
      </c>
      <c r="C79" s="9" t="str">
        <f>IFERROR(__xludf.DUMMYFUNCTION("""COMPUTED_VALUE"""),"bordeaux")</f>
        <v>bordeaux</v>
      </c>
      <c r="D79" s="9" t="str">
        <f>IFERROR(__xludf.DUMMYFUNCTION("""COMPUTED_VALUE"""),"Chateau Nenin, Pomerol")</f>
        <v>Chateau Nenin, Pomerol</v>
      </c>
      <c r="E79" s="9">
        <f>IFERROR(__xludf.DUMMYFUNCTION("""COMPUTED_VALUE"""),2020.0)</f>
        <v>2020</v>
      </c>
      <c r="F79" s="9">
        <f>IFERROR(__xludf.DUMMYFUNCTION("""COMPUTED_VALUE"""),750.0)</f>
        <v>750</v>
      </c>
      <c r="G79" s="9">
        <f>IFERROR(__xludf.DUMMYFUNCTION("""COMPUTED_VALUE"""),6.0)</f>
        <v>6</v>
      </c>
      <c r="H79" s="10">
        <f>IFERROR(__xludf.DUMMYFUNCTION("""COMPUTED_VALUE"""),1.0)</f>
        <v>1</v>
      </c>
      <c r="I79" s="11">
        <f>IFERROR(__xludf.DUMMYFUNCTION("""COMPUTED_VALUE"""),319.0)</f>
        <v>319</v>
      </c>
      <c r="J79" s="9" t="str">
        <f>IFERROR(__xludf.DUMMYFUNCTION("""COMPUTED_VALUE"""),"France")</f>
        <v>France</v>
      </c>
      <c r="K79" s="8"/>
      <c r="L79" s="12"/>
      <c r="M79" s="13"/>
      <c r="N79" s="13" t="str">
        <f>IFERROR(__xludf.DUMMYFUNCTION("IF(ISBLANK(M79),"""",M79*GOOGLEFINANCE(""USDGBP""))"),"")</f>
        <v/>
      </c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</row>
    <row r="80">
      <c r="A80" s="8" t="str">
        <f>IFERROR(__xludf.DUMMYFUNCTION("""COMPUTED_VALUE"""),"101357320210600750")</f>
        <v>101357320210600750</v>
      </c>
      <c r="B80" s="9" t="str">
        <f>IFERROR(__xludf.DUMMYFUNCTION("""COMPUTED_VALUE"""),"France")</f>
        <v>France</v>
      </c>
      <c r="C80" s="9" t="str">
        <f>IFERROR(__xludf.DUMMYFUNCTION("""COMPUTED_VALUE"""),"bordeaux")</f>
        <v>bordeaux</v>
      </c>
      <c r="D80" s="9" t="str">
        <f>IFERROR(__xludf.DUMMYFUNCTION("""COMPUTED_VALUE"""),"Chateau Nenin, Pomerol")</f>
        <v>Chateau Nenin, Pomerol</v>
      </c>
      <c r="E80" s="9">
        <f>IFERROR(__xludf.DUMMYFUNCTION("""COMPUTED_VALUE"""),2021.0)</f>
        <v>2021</v>
      </c>
      <c r="F80" s="9">
        <f>IFERROR(__xludf.DUMMYFUNCTION("""COMPUTED_VALUE"""),750.0)</f>
        <v>750</v>
      </c>
      <c r="G80" s="9">
        <f>IFERROR(__xludf.DUMMYFUNCTION("""COMPUTED_VALUE"""),6.0)</f>
        <v>6</v>
      </c>
      <c r="H80" s="10">
        <f>IFERROR(__xludf.DUMMYFUNCTION("""COMPUTED_VALUE"""),2.0)</f>
        <v>2</v>
      </c>
      <c r="I80" s="11">
        <f>IFERROR(__xludf.DUMMYFUNCTION("""COMPUTED_VALUE"""),269.0)</f>
        <v>269</v>
      </c>
      <c r="J80" s="9" t="str">
        <f>IFERROR(__xludf.DUMMYFUNCTION("""COMPUTED_VALUE"""),"France")</f>
        <v>France</v>
      </c>
      <c r="K80" s="8"/>
      <c r="L80" s="12"/>
      <c r="M80" s="13"/>
      <c r="N80" s="13" t="str">
        <f>IFERROR(__xludf.DUMMYFUNCTION("IF(ISBLANK(M80),"""",M80*GOOGLEFINANCE(""USDGBP""))"),"")</f>
        <v/>
      </c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</row>
    <row r="81">
      <c r="A81" s="8" t="str">
        <f>IFERROR(__xludf.DUMMYFUNCTION("""COMPUTED_VALUE"""),"101387620150600750")</f>
        <v>101387620150600750</v>
      </c>
      <c r="B81" s="9" t="str">
        <f>IFERROR(__xludf.DUMMYFUNCTION("""COMPUTED_VALUE"""),"France")</f>
        <v>France</v>
      </c>
      <c r="C81" s="9" t="str">
        <f>IFERROR(__xludf.DUMMYFUNCTION("""COMPUTED_VALUE"""),"bordeaux")</f>
        <v>bordeaux</v>
      </c>
      <c r="D81" s="9" t="str">
        <f>IFERROR(__xludf.DUMMYFUNCTION("""COMPUTED_VALUE"""),"Chateau Pavie Macquin Premier Grand Cru Classe B, Saint-Emilion Grand Cru")</f>
        <v>Chateau Pavie Macquin Premier Grand Cru Classe B, Saint-Emilion Grand Cru</v>
      </c>
      <c r="E81" s="9">
        <f>IFERROR(__xludf.DUMMYFUNCTION("""COMPUTED_VALUE"""),2015.0)</f>
        <v>2015</v>
      </c>
      <c r="F81" s="9">
        <f>IFERROR(__xludf.DUMMYFUNCTION("""COMPUTED_VALUE"""),750.0)</f>
        <v>750</v>
      </c>
      <c r="G81" s="9">
        <f>IFERROR(__xludf.DUMMYFUNCTION("""COMPUTED_VALUE"""),6.0)</f>
        <v>6</v>
      </c>
      <c r="H81" s="10">
        <f>IFERROR(__xludf.DUMMYFUNCTION("""COMPUTED_VALUE"""),10.0)</f>
        <v>10</v>
      </c>
      <c r="I81" s="11">
        <f>IFERROR(__xludf.DUMMYFUNCTION("""COMPUTED_VALUE"""),392.0)</f>
        <v>392</v>
      </c>
      <c r="J81" s="9" t="str">
        <f>IFERROR(__xludf.DUMMYFUNCTION("""COMPUTED_VALUE"""),"France")</f>
        <v>France</v>
      </c>
      <c r="K81" s="8"/>
      <c r="L81" s="12"/>
      <c r="M81" s="13"/>
      <c r="N81" s="13" t="str">
        <f>IFERROR(__xludf.DUMMYFUNCTION("IF(ISBLANK(M81),"""",M81*GOOGLEFINANCE(""USDGBP""))"),"")</f>
        <v/>
      </c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</row>
    <row r="82">
      <c r="A82" s="8" t="str">
        <f>IFERROR(__xludf.DUMMYFUNCTION("""COMPUTED_VALUE"""),"101387620170600750")</f>
        <v>101387620170600750</v>
      </c>
      <c r="B82" s="9" t="str">
        <f>IFERROR(__xludf.DUMMYFUNCTION("""COMPUTED_VALUE"""),"France")</f>
        <v>France</v>
      </c>
      <c r="C82" s="9" t="str">
        <f>IFERROR(__xludf.DUMMYFUNCTION("""COMPUTED_VALUE"""),"bordeaux")</f>
        <v>bordeaux</v>
      </c>
      <c r="D82" s="9" t="str">
        <f>IFERROR(__xludf.DUMMYFUNCTION("""COMPUTED_VALUE"""),"Chateau Pavie Macquin Premier Grand Cru Classe B, Saint-Emilion Grand Cru")</f>
        <v>Chateau Pavie Macquin Premier Grand Cru Classe B, Saint-Emilion Grand Cru</v>
      </c>
      <c r="E82" s="9">
        <f>IFERROR(__xludf.DUMMYFUNCTION("""COMPUTED_VALUE"""),2017.0)</f>
        <v>2017</v>
      </c>
      <c r="F82" s="9">
        <f>IFERROR(__xludf.DUMMYFUNCTION("""COMPUTED_VALUE"""),750.0)</f>
        <v>750</v>
      </c>
      <c r="G82" s="9">
        <f>IFERROR(__xludf.DUMMYFUNCTION("""COMPUTED_VALUE"""),6.0)</f>
        <v>6</v>
      </c>
      <c r="H82" s="10">
        <f>IFERROR(__xludf.DUMMYFUNCTION("""COMPUTED_VALUE"""),8.0)</f>
        <v>8</v>
      </c>
      <c r="I82" s="11">
        <f>IFERROR(__xludf.DUMMYFUNCTION("""COMPUTED_VALUE"""),308.0)</f>
        <v>308</v>
      </c>
      <c r="J82" s="9" t="str">
        <f>IFERROR(__xludf.DUMMYFUNCTION("""COMPUTED_VALUE"""),"France")</f>
        <v>France</v>
      </c>
      <c r="K82" s="8"/>
      <c r="L82" s="12"/>
      <c r="M82" s="13"/>
      <c r="N82" s="13" t="str">
        <f>IFERROR(__xludf.DUMMYFUNCTION("IF(ISBLANK(M82),"""",M82*GOOGLEFINANCE(""USDGBP""))"),"")</f>
        <v/>
      </c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</row>
    <row r="83">
      <c r="A83" s="8" t="str">
        <f>IFERROR(__xludf.DUMMYFUNCTION("""COMPUTED_VALUE"""),"101387620171200750")</f>
        <v>101387620171200750</v>
      </c>
      <c r="B83" s="9" t="str">
        <f>IFERROR(__xludf.DUMMYFUNCTION("""COMPUTED_VALUE"""),"France")</f>
        <v>France</v>
      </c>
      <c r="C83" s="9" t="str">
        <f>IFERROR(__xludf.DUMMYFUNCTION("""COMPUTED_VALUE"""),"bordeaux")</f>
        <v>bordeaux</v>
      </c>
      <c r="D83" s="9" t="str">
        <f>IFERROR(__xludf.DUMMYFUNCTION("""COMPUTED_VALUE"""),"Chateau Pavie Macquin Premier Grand Cru Classe B, Saint-Emilion Grand Cru")</f>
        <v>Chateau Pavie Macquin Premier Grand Cru Classe B, Saint-Emilion Grand Cru</v>
      </c>
      <c r="E83" s="9">
        <f>IFERROR(__xludf.DUMMYFUNCTION("""COMPUTED_VALUE"""),2017.0)</f>
        <v>2017</v>
      </c>
      <c r="F83" s="9">
        <f>IFERROR(__xludf.DUMMYFUNCTION("""COMPUTED_VALUE"""),750.0)</f>
        <v>750</v>
      </c>
      <c r="G83" s="9">
        <f>IFERROR(__xludf.DUMMYFUNCTION("""COMPUTED_VALUE"""),12.0)</f>
        <v>12</v>
      </c>
      <c r="H83" s="10">
        <f>IFERROR(__xludf.DUMMYFUNCTION("""COMPUTED_VALUE"""),1.0)</f>
        <v>1</v>
      </c>
      <c r="I83" s="11">
        <f>IFERROR(__xludf.DUMMYFUNCTION("""COMPUTED_VALUE"""),616.0)</f>
        <v>616</v>
      </c>
      <c r="J83" s="9" t="str">
        <f>IFERROR(__xludf.DUMMYFUNCTION("""COMPUTED_VALUE"""),"France")</f>
        <v>France</v>
      </c>
      <c r="K83" s="8"/>
      <c r="L83" s="12"/>
      <c r="M83" s="13"/>
      <c r="N83" s="13" t="str">
        <f>IFERROR(__xludf.DUMMYFUNCTION("IF(ISBLANK(M83),"""",M83*GOOGLEFINANCE(""USDGBP""))"),"")</f>
        <v/>
      </c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</row>
    <row r="84">
      <c r="A84" s="8" t="str">
        <f>IFERROR(__xludf.DUMMYFUNCTION("""COMPUTED_VALUE"""),"101387620200600750")</f>
        <v>101387620200600750</v>
      </c>
      <c r="B84" s="9" t="str">
        <f>IFERROR(__xludf.DUMMYFUNCTION("""COMPUTED_VALUE"""),"France")</f>
        <v>France</v>
      </c>
      <c r="C84" s="9" t="str">
        <f>IFERROR(__xludf.DUMMYFUNCTION("""COMPUTED_VALUE"""),"bordeaux")</f>
        <v>bordeaux</v>
      </c>
      <c r="D84" s="9" t="str">
        <f>IFERROR(__xludf.DUMMYFUNCTION("""COMPUTED_VALUE"""),"Chateau Pavie Macquin Premier Grand Cru Classe B, Saint-Emilion Grand Cru")</f>
        <v>Chateau Pavie Macquin Premier Grand Cru Classe B, Saint-Emilion Grand Cru</v>
      </c>
      <c r="E84" s="9">
        <f>IFERROR(__xludf.DUMMYFUNCTION("""COMPUTED_VALUE"""),2020.0)</f>
        <v>2020</v>
      </c>
      <c r="F84" s="9">
        <f>IFERROR(__xludf.DUMMYFUNCTION("""COMPUTED_VALUE"""),750.0)</f>
        <v>750</v>
      </c>
      <c r="G84" s="9">
        <f>IFERROR(__xludf.DUMMYFUNCTION("""COMPUTED_VALUE"""),6.0)</f>
        <v>6</v>
      </c>
      <c r="H84" s="10">
        <f>IFERROR(__xludf.DUMMYFUNCTION("""COMPUTED_VALUE"""),7.0)</f>
        <v>7</v>
      </c>
      <c r="I84" s="11">
        <f>IFERROR(__xludf.DUMMYFUNCTION("""COMPUTED_VALUE"""),408.0)</f>
        <v>408</v>
      </c>
      <c r="J84" s="9" t="str">
        <f>IFERROR(__xludf.DUMMYFUNCTION("""COMPUTED_VALUE"""),"France")</f>
        <v>France</v>
      </c>
      <c r="K84" s="8"/>
      <c r="L84" s="12"/>
      <c r="M84" s="13"/>
      <c r="N84" s="13" t="str">
        <f>IFERROR(__xludf.DUMMYFUNCTION("IF(ISBLANK(M84),"""",M84*GOOGLEFINANCE(""USDGBP""))"),"")</f>
        <v/>
      </c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</row>
    <row r="85">
      <c r="A85" s="8" t="str">
        <f>IFERROR(__xludf.DUMMYFUNCTION("""COMPUTED_VALUE"""),"101387620220600750")</f>
        <v>101387620220600750</v>
      </c>
      <c r="B85" s="9" t="str">
        <f>IFERROR(__xludf.DUMMYFUNCTION("""COMPUTED_VALUE"""),"France")</f>
        <v>France</v>
      </c>
      <c r="C85" s="9" t="str">
        <f>IFERROR(__xludf.DUMMYFUNCTION("""COMPUTED_VALUE"""),"bordeaux")</f>
        <v>bordeaux</v>
      </c>
      <c r="D85" s="9" t="str">
        <f>IFERROR(__xludf.DUMMYFUNCTION("""COMPUTED_VALUE"""),"Chateau Pavie Macquin Premier Grand Cru Classe B, Saint-Emilion Grand Cru")</f>
        <v>Chateau Pavie Macquin Premier Grand Cru Classe B, Saint-Emilion Grand Cru</v>
      </c>
      <c r="E85" s="9">
        <f>IFERROR(__xludf.DUMMYFUNCTION("""COMPUTED_VALUE"""),2022.0)</f>
        <v>2022</v>
      </c>
      <c r="F85" s="9">
        <f>IFERROR(__xludf.DUMMYFUNCTION("""COMPUTED_VALUE"""),750.0)</f>
        <v>750</v>
      </c>
      <c r="G85" s="9">
        <f>IFERROR(__xludf.DUMMYFUNCTION("""COMPUTED_VALUE"""),6.0)</f>
        <v>6</v>
      </c>
      <c r="H85" s="10">
        <f>IFERROR(__xludf.DUMMYFUNCTION("""COMPUTED_VALUE"""),2.0)</f>
        <v>2</v>
      </c>
      <c r="I85" s="11">
        <f>IFERROR(__xludf.DUMMYFUNCTION("""COMPUTED_VALUE"""),441.0)</f>
        <v>441</v>
      </c>
      <c r="J85" s="9" t="str">
        <f>IFERROR(__xludf.DUMMYFUNCTION("""COMPUTED_VALUE"""),"France")</f>
        <v>France</v>
      </c>
      <c r="K85" s="8"/>
      <c r="L85" s="12"/>
      <c r="M85" s="13"/>
      <c r="N85" s="13" t="str">
        <f>IFERROR(__xludf.DUMMYFUNCTION("IF(ISBLANK(M85),"""",M85*GOOGLEFINANCE(""USDGBP""))"),"")</f>
        <v/>
      </c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</row>
    <row r="86">
      <c r="A86" s="8" t="str">
        <f>IFERROR(__xludf.DUMMYFUNCTION("""COMPUTED_VALUE"""),"101385020210600750")</f>
        <v>101385020210600750</v>
      </c>
      <c r="B86" s="9" t="str">
        <f>IFERROR(__xludf.DUMMYFUNCTION("""COMPUTED_VALUE"""),"France")</f>
        <v>France</v>
      </c>
      <c r="C86" s="9" t="str">
        <f>IFERROR(__xludf.DUMMYFUNCTION("""COMPUTED_VALUE"""),"bordeaux")</f>
        <v>bordeaux</v>
      </c>
      <c r="D86" s="9" t="str">
        <f>IFERROR(__xludf.DUMMYFUNCTION("""COMPUTED_VALUE"""),"Chateau Pavie Premier Grand Cru Classe A, Saint-Emilion Grand Cru")</f>
        <v>Chateau Pavie Premier Grand Cru Classe A, Saint-Emilion Grand Cru</v>
      </c>
      <c r="E86" s="9">
        <f>IFERROR(__xludf.DUMMYFUNCTION("""COMPUTED_VALUE"""),2021.0)</f>
        <v>2021</v>
      </c>
      <c r="F86" s="9">
        <f>IFERROR(__xludf.DUMMYFUNCTION("""COMPUTED_VALUE"""),750.0)</f>
        <v>750</v>
      </c>
      <c r="G86" s="9">
        <f>IFERROR(__xludf.DUMMYFUNCTION("""COMPUTED_VALUE"""),6.0)</f>
        <v>6</v>
      </c>
      <c r="H86" s="10">
        <f>IFERROR(__xludf.DUMMYFUNCTION("""COMPUTED_VALUE"""),8.0)</f>
        <v>8</v>
      </c>
      <c r="I86" s="11">
        <f>IFERROR(__xludf.DUMMYFUNCTION("""COMPUTED_VALUE"""),1317.0)</f>
        <v>1317</v>
      </c>
      <c r="J86" s="9" t="str">
        <f>IFERROR(__xludf.DUMMYFUNCTION("""COMPUTED_VALUE"""),"France")</f>
        <v>France</v>
      </c>
      <c r="K86" s="8"/>
      <c r="L86" s="12"/>
      <c r="M86" s="13"/>
      <c r="N86" s="13" t="str">
        <f>IFERROR(__xludf.DUMMYFUNCTION("IF(ISBLANK(M86),"""",M86*GOOGLEFINANCE(""USDGBP""))"),"")</f>
        <v/>
      </c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</row>
    <row r="87">
      <c r="A87" s="8" t="str">
        <f>IFERROR(__xludf.DUMMYFUNCTION("""COMPUTED_VALUE"""),"101430720160100750")</f>
        <v>101430720160100750</v>
      </c>
      <c r="B87" s="9" t="str">
        <f>IFERROR(__xludf.DUMMYFUNCTION("""COMPUTED_VALUE"""),"France")</f>
        <v>France</v>
      </c>
      <c r="C87" s="9" t="str">
        <f>IFERROR(__xludf.DUMMYFUNCTION("""COMPUTED_VALUE"""),"bordeaux")</f>
        <v>bordeaux</v>
      </c>
      <c r="D87" s="9" t="str">
        <f>IFERROR(__xludf.DUMMYFUNCTION("""COMPUTED_VALUE"""),"Chateau Pontet-Canet 5eme Cru Classe, Pauillac")</f>
        <v>Chateau Pontet-Canet 5eme Cru Classe, Pauillac</v>
      </c>
      <c r="E87" s="9">
        <f>IFERROR(__xludf.DUMMYFUNCTION("""COMPUTED_VALUE"""),2016.0)</f>
        <v>2016</v>
      </c>
      <c r="F87" s="9">
        <f>IFERROR(__xludf.DUMMYFUNCTION("""COMPUTED_VALUE"""),750.0)</f>
        <v>750</v>
      </c>
      <c r="G87" s="9">
        <f>IFERROR(__xludf.DUMMYFUNCTION("""COMPUTED_VALUE"""),1.0)</f>
        <v>1</v>
      </c>
      <c r="H87" s="10">
        <f>IFERROR(__xludf.DUMMYFUNCTION("""COMPUTED_VALUE"""),43.0)</f>
        <v>43</v>
      </c>
      <c r="I87" s="11">
        <f>IFERROR(__xludf.DUMMYFUNCTION("""COMPUTED_VALUE"""),109.0)</f>
        <v>109</v>
      </c>
      <c r="J87" s="9" t="str">
        <f>IFERROR(__xludf.DUMMYFUNCTION("""COMPUTED_VALUE"""),"France")</f>
        <v>France</v>
      </c>
      <c r="K87" s="8"/>
      <c r="L87" s="12"/>
      <c r="M87" s="13"/>
      <c r="N87" s="13" t="str">
        <f>IFERROR(__xludf.DUMMYFUNCTION("IF(ISBLANK(M87),"""",M87*GOOGLEFINANCE(""USDGBP""))"),"")</f>
        <v/>
      </c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</row>
    <row r="88">
      <c r="A88" s="8" t="str">
        <f>IFERROR(__xludf.DUMMYFUNCTION("""COMPUTED_VALUE"""),"101430720210600750")</f>
        <v>101430720210600750</v>
      </c>
      <c r="B88" s="9" t="str">
        <f>IFERROR(__xludf.DUMMYFUNCTION("""COMPUTED_VALUE"""),"France")</f>
        <v>France</v>
      </c>
      <c r="C88" s="9" t="str">
        <f>IFERROR(__xludf.DUMMYFUNCTION("""COMPUTED_VALUE"""),"bordeaux")</f>
        <v>bordeaux</v>
      </c>
      <c r="D88" s="9" t="str">
        <f>IFERROR(__xludf.DUMMYFUNCTION("""COMPUTED_VALUE"""),"Chateau Pontet-Canet 5eme Cru Classe, Pauillac")</f>
        <v>Chateau Pontet-Canet 5eme Cru Classe, Pauillac</v>
      </c>
      <c r="E88" s="9">
        <f>IFERROR(__xludf.DUMMYFUNCTION("""COMPUTED_VALUE"""),2021.0)</f>
        <v>2021</v>
      </c>
      <c r="F88" s="9">
        <f>IFERROR(__xludf.DUMMYFUNCTION("""COMPUTED_VALUE"""),750.0)</f>
        <v>750</v>
      </c>
      <c r="G88" s="9">
        <f>IFERROR(__xludf.DUMMYFUNCTION("""COMPUTED_VALUE"""),6.0)</f>
        <v>6</v>
      </c>
      <c r="H88" s="10">
        <f>IFERROR(__xludf.DUMMYFUNCTION("""COMPUTED_VALUE"""),4.0)</f>
        <v>4</v>
      </c>
      <c r="I88" s="11">
        <f>IFERROR(__xludf.DUMMYFUNCTION("""COMPUTED_VALUE"""),420.0)</f>
        <v>420</v>
      </c>
      <c r="J88" s="9" t="str">
        <f>IFERROR(__xludf.DUMMYFUNCTION("""COMPUTED_VALUE"""),"France")</f>
        <v>France</v>
      </c>
      <c r="K88" s="8"/>
      <c r="L88" s="12"/>
      <c r="M88" s="13"/>
      <c r="N88" s="13" t="str">
        <f>IFERROR(__xludf.DUMMYFUNCTION("IF(ISBLANK(M88),"""",M88*GOOGLEFINANCE(""USDGBP""))"),"")</f>
        <v/>
      </c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</row>
    <row r="89">
      <c r="A89" s="8" t="str">
        <f>IFERROR(__xludf.DUMMYFUNCTION("""COMPUTED_VALUE"""),"117091120210600750")</f>
        <v>117091120210600750</v>
      </c>
      <c r="B89" s="9" t="str">
        <f>IFERROR(__xludf.DUMMYFUNCTION("""COMPUTED_VALUE"""),"France")</f>
        <v>France</v>
      </c>
      <c r="C89" s="9" t="str">
        <f>IFERROR(__xludf.DUMMYFUNCTION("""COMPUTED_VALUE"""),"bordeaux")</f>
        <v>bordeaux</v>
      </c>
      <c r="D89" s="9" t="str">
        <f>IFERROR(__xludf.DUMMYFUNCTION("""COMPUTED_VALUE"""),"Chateau Quintus, Saint-Emilion Grand Cru")</f>
        <v>Chateau Quintus, Saint-Emilion Grand Cru</v>
      </c>
      <c r="E89" s="9">
        <f>IFERROR(__xludf.DUMMYFUNCTION("""COMPUTED_VALUE"""),2021.0)</f>
        <v>2021</v>
      </c>
      <c r="F89" s="9">
        <f>IFERROR(__xludf.DUMMYFUNCTION("""COMPUTED_VALUE"""),750.0)</f>
        <v>750</v>
      </c>
      <c r="G89" s="9">
        <f>IFERROR(__xludf.DUMMYFUNCTION("""COMPUTED_VALUE"""),6.0)</f>
        <v>6</v>
      </c>
      <c r="H89" s="10">
        <f>IFERROR(__xludf.DUMMYFUNCTION("""COMPUTED_VALUE"""),1.0)</f>
        <v>1</v>
      </c>
      <c r="I89" s="11">
        <f>IFERROR(__xludf.DUMMYFUNCTION("""COMPUTED_VALUE"""),398.0)</f>
        <v>398</v>
      </c>
      <c r="J89" s="9" t="str">
        <f>IFERROR(__xludf.DUMMYFUNCTION("""COMPUTED_VALUE"""),"France")</f>
        <v>France</v>
      </c>
      <c r="K89" s="8"/>
      <c r="L89" s="12"/>
      <c r="M89" s="13"/>
      <c r="N89" s="13" t="str">
        <f>IFERROR(__xludf.DUMMYFUNCTION("IF(ISBLANK(M89),"""",M89*GOOGLEFINANCE(""USDGBP""))"),"")</f>
        <v/>
      </c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</row>
    <row r="90">
      <c r="A90" s="8" t="str">
        <f>IFERROR(__xludf.DUMMYFUNCTION("""COMPUTED_VALUE"""),"117091120220600750")</f>
        <v>117091120220600750</v>
      </c>
      <c r="B90" s="9" t="str">
        <f>IFERROR(__xludf.DUMMYFUNCTION("""COMPUTED_VALUE"""),"France")</f>
        <v>France</v>
      </c>
      <c r="C90" s="9" t="str">
        <f>IFERROR(__xludf.DUMMYFUNCTION("""COMPUTED_VALUE"""),"bordeaux")</f>
        <v>bordeaux</v>
      </c>
      <c r="D90" s="9" t="str">
        <f>IFERROR(__xludf.DUMMYFUNCTION("""COMPUTED_VALUE"""),"Chateau Quintus, Saint-Emilion Grand Cru")</f>
        <v>Chateau Quintus, Saint-Emilion Grand Cru</v>
      </c>
      <c r="E90" s="9">
        <f>IFERROR(__xludf.DUMMYFUNCTION("""COMPUTED_VALUE"""),2022.0)</f>
        <v>2022</v>
      </c>
      <c r="F90" s="9">
        <f>IFERROR(__xludf.DUMMYFUNCTION("""COMPUTED_VALUE"""),750.0)</f>
        <v>750</v>
      </c>
      <c r="G90" s="9">
        <f>IFERROR(__xludf.DUMMYFUNCTION("""COMPUTED_VALUE"""),6.0)</f>
        <v>6</v>
      </c>
      <c r="H90" s="10">
        <f>IFERROR(__xludf.DUMMYFUNCTION("""COMPUTED_VALUE"""),1.0)</f>
        <v>1</v>
      </c>
      <c r="I90" s="11">
        <f>IFERROR(__xludf.DUMMYFUNCTION("""COMPUTED_VALUE"""),615.0)</f>
        <v>615</v>
      </c>
      <c r="J90" s="9" t="str">
        <f>IFERROR(__xludf.DUMMYFUNCTION("""COMPUTED_VALUE"""),"France")</f>
        <v>France</v>
      </c>
      <c r="K90" s="8"/>
      <c r="L90" s="12"/>
      <c r="M90" s="13"/>
      <c r="N90" s="13" t="str">
        <f>IFERROR(__xludf.DUMMYFUNCTION("IF(ISBLANK(M90),"""",M90*GOOGLEFINANCE(""USDGBP""))"),"")</f>
        <v/>
      </c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</row>
    <row r="91">
      <c r="A91" s="8" t="str">
        <f>IFERROR(__xludf.DUMMYFUNCTION("""COMPUTED_VALUE"""),"101460020210600750")</f>
        <v>101460020210600750</v>
      </c>
      <c r="B91" s="9" t="str">
        <f>IFERROR(__xludf.DUMMYFUNCTION("""COMPUTED_VALUE"""),"France")</f>
        <v>France</v>
      </c>
      <c r="C91" s="9" t="str">
        <f>IFERROR(__xludf.DUMMYFUNCTION("""COMPUTED_VALUE"""),"bordeaux")</f>
        <v>bordeaux</v>
      </c>
      <c r="D91" s="9" t="str">
        <f>IFERROR(__xludf.DUMMYFUNCTION("""COMPUTED_VALUE"""),"Chateau Rauzan-Segla 2eme Cru Classe, Margaux")</f>
        <v>Chateau Rauzan-Segla 2eme Cru Classe, Margaux</v>
      </c>
      <c r="E91" s="9">
        <f>IFERROR(__xludf.DUMMYFUNCTION("""COMPUTED_VALUE"""),2021.0)</f>
        <v>2021</v>
      </c>
      <c r="F91" s="9">
        <f>IFERROR(__xludf.DUMMYFUNCTION("""COMPUTED_VALUE"""),750.0)</f>
        <v>750</v>
      </c>
      <c r="G91" s="9">
        <f>IFERROR(__xludf.DUMMYFUNCTION("""COMPUTED_VALUE"""),6.0)</f>
        <v>6</v>
      </c>
      <c r="H91" s="10">
        <f>IFERROR(__xludf.DUMMYFUNCTION("""COMPUTED_VALUE"""),2.0)</f>
        <v>2</v>
      </c>
      <c r="I91" s="11">
        <f>IFERROR(__xludf.DUMMYFUNCTION("""COMPUTED_VALUE"""),352.0)</f>
        <v>352</v>
      </c>
      <c r="J91" s="9" t="str">
        <f>IFERROR(__xludf.DUMMYFUNCTION("""COMPUTED_VALUE"""),"France")</f>
        <v>France</v>
      </c>
      <c r="K91" s="8"/>
      <c r="L91" s="12"/>
      <c r="M91" s="13"/>
      <c r="N91" s="13" t="str">
        <f>IFERROR(__xludf.DUMMYFUNCTION("IF(ISBLANK(M91),"""",M91*GOOGLEFINANCE(""USDGBP""))"),"")</f>
        <v/>
      </c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</row>
    <row r="92">
      <c r="A92" s="8" t="str">
        <f>IFERROR(__xludf.DUMMYFUNCTION("""COMPUTED_VALUE"""),"101541820181200750")</f>
        <v>101541820181200750</v>
      </c>
      <c r="B92" s="9" t="str">
        <f>IFERROR(__xludf.DUMMYFUNCTION("""COMPUTED_VALUE"""),"France")</f>
        <v>France</v>
      </c>
      <c r="C92" s="9" t="str">
        <f>IFERROR(__xludf.DUMMYFUNCTION("""COMPUTED_VALUE"""),"bordeaux")</f>
        <v>bordeaux</v>
      </c>
      <c r="D92" s="9" t="str">
        <f>IFERROR(__xludf.DUMMYFUNCTION("""COMPUTED_VALUE"""),"Chateau Tertre Roteboeuf, Saint-Emilion Grand Cru")</f>
        <v>Chateau Tertre Roteboeuf, Saint-Emilion Grand Cru</v>
      </c>
      <c r="E92" s="9">
        <f>IFERROR(__xludf.DUMMYFUNCTION("""COMPUTED_VALUE"""),2018.0)</f>
        <v>2018</v>
      </c>
      <c r="F92" s="9">
        <f>IFERROR(__xludf.DUMMYFUNCTION("""COMPUTED_VALUE"""),750.0)</f>
        <v>750</v>
      </c>
      <c r="G92" s="9">
        <f>IFERROR(__xludf.DUMMYFUNCTION("""COMPUTED_VALUE"""),12.0)</f>
        <v>12</v>
      </c>
      <c r="H92" s="10">
        <f>IFERROR(__xludf.DUMMYFUNCTION("""COMPUTED_VALUE"""),1.0)</f>
        <v>1</v>
      </c>
      <c r="I92" s="11">
        <f>IFERROR(__xludf.DUMMYFUNCTION("""COMPUTED_VALUE"""),1630.0)</f>
        <v>1630</v>
      </c>
      <c r="J92" s="9" t="str">
        <f>IFERROR(__xludf.DUMMYFUNCTION("""COMPUTED_VALUE"""),"France")</f>
        <v>France</v>
      </c>
      <c r="K92" s="8"/>
      <c r="L92" s="12"/>
      <c r="M92" s="13"/>
      <c r="N92" s="13" t="str">
        <f>IFERROR(__xludf.DUMMYFUNCTION("IF(ISBLANK(M92),"""",M92*GOOGLEFINANCE(""USDGBP""))"),"")</f>
        <v/>
      </c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</row>
    <row r="93">
      <c r="A93" s="8" t="str">
        <f>IFERROR(__xludf.DUMMYFUNCTION("""COMPUTED_VALUE"""),"101594220150600750")</f>
        <v>101594220150600750</v>
      </c>
      <c r="B93" s="9" t="str">
        <f>IFERROR(__xludf.DUMMYFUNCTION("""COMPUTED_VALUE"""),"France")</f>
        <v>France</v>
      </c>
      <c r="C93" s="9" t="str">
        <f>IFERROR(__xludf.DUMMYFUNCTION("""COMPUTED_VALUE"""),"bordeaux")</f>
        <v>bordeaux</v>
      </c>
      <c r="D93" s="9" t="str">
        <f>IFERROR(__xludf.DUMMYFUNCTION("""COMPUTED_VALUE"""),"Chateau Troplong Mondot Premier Grand Cru Classe B, Saint-Emilion Grand Cru")</f>
        <v>Chateau Troplong Mondot Premier Grand Cru Classe B, Saint-Emilion Grand Cru</v>
      </c>
      <c r="E93" s="9">
        <f>IFERROR(__xludf.DUMMYFUNCTION("""COMPUTED_VALUE"""),2015.0)</f>
        <v>2015</v>
      </c>
      <c r="F93" s="9">
        <f>IFERROR(__xludf.DUMMYFUNCTION("""COMPUTED_VALUE"""),750.0)</f>
        <v>750</v>
      </c>
      <c r="G93" s="9">
        <f>IFERROR(__xludf.DUMMYFUNCTION("""COMPUTED_VALUE"""),6.0)</f>
        <v>6</v>
      </c>
      <c r="H93" s="10">
        <f>IFERROR(__xludf.DUMMYFUNCTION("""COMPUTED_VALUE"""),4.0)</f>
        <v>4</v>
      </c>
      <c r="I93" s="11">
        <f>IFERROR(__xludf.DUMMYFUNCTION("""COMPUTED_VALUE"""),521.0)</f>
        <v>521</v>
      </c>
      <c r="J93" s="9" t="str">
        <f>IFERROR(__xludf.DUMMYFUNCTION("""COMPUTED_VALUE"""),"France")</f>
        <v>France</v>
      </c>
      <c r="K93" s="8"/>
      <c r="L93" s="12"/>
      <c r="M93" s="13"/>
      <c r="N93" s="13" t="str">
        <f>IFERROR(__xludf.DUMMYFUNCTION("IF(ISBLANK(M93),"""",M93*GOOGLEFINANCE(""USDGBP""))"),"")</f>
        <v/>
      </c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</row>
    <row r="94">
      <c r="A94" s="8" t="str">
        <f>IFERROR(__xludf.DUMMYFUNCTION("""COMPUTED_VALUE"""),"101594220210600750")</f>
        <v>101594220210600750</v>
      </c>
      <c r="B94" s="9" t="str">
        <f>IFERROR(__xludf.DUMMYFUNCTION("""COMPUTED_VALUE"""),"France")</f>
        <v>France</v>
      </c>
      <c r="C94" s="9" t="str">
        <f>IFERROR(__xludf.DUMMYFUNCTION("""COMPUTED_VALUE"""),"bordeaux")</f>
        <v>bordeaux</v>
      </c>
      <c r="D94" s="9" t="str">
        <f>IFERROR(__xludf.DUMMYFUNCTION("""COMPUTED_VALUE"""),"Chateau Troplong Mondot Premier Grand Cru Classe B, Saint-Emilion Grand Cru")</f>
        <v>Chateau Troplong Mondot Premier Grand Cru Classe B, Saint-Emilion Grand Cru</v>
      </c>
      <c r="E94" s="9">
        <f>IFERROR(__xludf.DUMMYFUNCTION("""COMPUTED_VALUE"""),2021.0)</f>
        <v>2021</v>
      </c>
      <c r="F94" s="9">
        <f>IFERROR(__xludf.DUMMYFUNCTION("""COMPUTED_VALUE"""),750.0)</f>
        <v>750</v>
      </c>
      <c r="G94" s="9">
        <f>IFERROR(__xludf.DUMMYFUNCTION("""COMPUTED_VALUE"""),6.0)</f>
        <v>6</v>
      </c>
      <c r="H94" s="10">
        <f>IFERROR(__xludf.DUMMYFUNCTION("""COMPUTED_VALUE"""),3.0)</f>
        <v>3</v>
      </c>
      <c r="I94" s="11">
        <f>IFERROR(__xludf.DUMMYFUNCTION("""COMPUTED_VALUE"""),403.0)</f>
        <v>403</v>
      </c>
      <c r="J94" s="9" t="str">
        <f>IFERROR(__xludf.DUMMYFUNCTION("""COMPUTED_VALUE"""),"France")</f>
        <v>France</v>
      </c>
      <c r="K94" s="8"/>
      <c r="L94" s="12"/>
      <c r="M94" s="13"/>
      <c r="N94" s="13" t="str">
        <f>IFERROR(__xludf.DUMMYFUNCTION("IF(ISBLANK(M94),"""",M94*GOOGLEFINANCE(""USDGBP""))"),"")</f>
        <v/>
      </c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</row>
    <row r="95">
      <c r="A95" s="8" t="str">
        <f>IFERROR(__xludf.DUMMYFUNCTION("""COMPUTED_VALUE"""),"101595520150100750")</f>
        <v>101595520150100750</v>
      </c>
      <c r="B95" s="9" t="str">
        <f>IFERROR(__xludf.DUMMYFUNCTION("""COMPUTED_VALUE"""),"France")</f>
        <v>France</v>
      </c>
      <c r="C95" s="9" t="str">
        <f>IFERROR(__xludf.DUMMYFUNCTION("""COMPUTED_VALUE"""),"bordeaux")</f>
        <v>bordeaux</v>
      </c>
      <c r="D95" s="9" t="str">
        <f>IFERROR(__xludf.DUMMYFUNCTION("""COMPUTED_VALUE"""),"Chateau Trotanoy, Pomerol")</f>
        <v>Chateau Trotanoy, Pomerol</v>
      </c>
      <c r="E95" s="9">
        <f>IFERROR(__xludf.DUMMYFUNCTION("""COMPUTED_VALUE"""),2015.0)</f>
        <v>2015</v>
      </c>
      <c r="F95" s="9">
        <f>IFERROR(__xludf.DUMMYFUNCTION("""COMPUTED_VALUE"""),750.0)</f>
        <v>750</v>
      </c>
      <c r="G95" s="9">
        <f>IFERROR(__xludf.DUMMYFUNCTION("""COMPUTED_VALUE"""),1.0)</f>
        <v>1</v>
      </c>
      <c r="H95" s="10">
        <f>IFERROR(__xludf.DUMMYFUNCTION("""COMPUTED_VALUE"""),3.0)</f>
        <v>3</v>
      </c>
      <c r="I95" s="11">
        <f>IFERROR(__xludf.DUMMYFUNCTION("""COMPUTED_VALUE"""),231.0)</f>
        <v>231</v>
      </c>
      <c r="J95" s="9" t="str">
        <f>IFERROR(__xludf.DUMMYFUNCTION("""COMPUTED_VALUE"""),"France")</f>
        <v>France</v>
      </c>
      <c r="K95" s="8"/>
      <c r="L95" s="12"/>
      <c r="M95" s="13"/>
      <c r="N95" s="13" t="str">
        <f>IFERROR(__xludf.DUMMYFUNCTION("IF(ISBLANK(M95),"""",M95*GOOGLEFINANCE(""USDGBP""))"),"")</f>
        <v/>
      </c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</row>
    <row r="96">
      <c r="A96" s="8" t="str">
        <f>IFERROR(__xludf.DUMMYFUNCTION("""COMPUTED_VALUE"""),"100609020100600750")</f>
        <v>100609020100600750</v>
      </c>
      <c r="B96" s="9" t="str">
        <f>IFERROR(__xludf.DUMMYFUNCTION("""COMPUTED_VALUE"""),"France")</f>
        <v>France</v>
      </c>
      <c r="C96" s="9" t="str">
        <f>IFERROR(__xludf.DUMMYFUNCTION("""COMPUTED_VALUE"""),"bordeaux")</f>
        <v>bordeaux</v>
      </c>
      <c r="D96" s="9" t="str">
        <f>IFERROR(__xludf.DUMMYFUNCTION("""COMPUTED_VALUE"""),"Chateau d'Armailhac 5eme Cru Classe, Pauillac")</f>
        <v>Chateau d'Armailhac 5eme Cru Classe, Pauillac</v>
      </c>
      <c r="E96" s="9">
        <f>IFERROR(__xludf.DUMMYFUNCTION("""COMPUTED_VALUE"""),2010.0)</f>
        <v>2010</v>
      </c>
      <c r="F96" s="9">
        <f>IFERROR(__xludf.DUMMYFUNCTION("""COMPUTED_VALUE"""),750.0)</f>
        <v>750</v>
      </c>
      <c r="G96" s="9">
        <f>IFERROR(__xludf.DUMMYFUNCTION("""COMPUTED_VALUE"""),6.0)</f>
        <v>6</v>
      </c>
      <c r="H96" s="10">
        <f>IFERROR(__xludf.DUMMYFUNCTION("""COMPUTED_VALUE"""),3.0)</f>
        <v>3</v>
      </c>
      <c r="I96" s="11">
        <f>IFERROR(__xludf.DUMMYFUNCTION("""COMPUTED_VALUE"""),374.0)</f>
        <v>374</v>
      </c>
      <c r="J96" s="9" t="str">
        <f>IFERROR(__xludf.DUMMYFUNCTION("""COMPUTED_VALUE"""),"France")</f>
        <v>France</v>
      </c>
      <c r="K96" s="8"/>
      <c r="L96" s="12"/>
      <c r="M96" s="13"/>
      <c r="N96" s="13" t="str">
        <f>IFERROR(__xludf.DUMMYFUNCTION("IF(ISBLANK(M96),"""",M96*GOOGLEFINANCE(""USDGBP""))"),"")</f>
        <v/>
      </c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</row>
    <row r="97">
      <c r="A97" s="8" t="str">
        <f>IFERROR(__xludf.DUMMYFUNCTION("""COMPUTED_VALUE"""),"100837120180600750")</f>
        <v>100837120180600750</v>
      </c>
      <c r="B97" s="9" t="str">
        <f>IFERROR(__xludf.DUMMYFUNCTION("""COMPUTED_VALUE"""),"France")</f>
        <v>France</v>
      </c>
      <c r="C97" s="9" t="str">
        <f>IFERROR(__xludf.DUMMYFUNCTION("""COMPUTED_VALUE"""),"bordeaux")</f>
        <v>bordeaux</v>
      </c>
      <c r="D97" s="9" t="str">
        <f>IFERROR(__xludf.DUMMYFUNCTION("""COMPUTED_VALUE"""),"Clos L'Eglise, Pomerol")</f>
        <v>Clos L'Eglise, Pomerol</v>
      </c>
      <c r="E97" s="9">
        <f>IFERROR(__xludf.DUMMYFUNCTION("""COMPUTED_VALUE"""),2018.0)</f>
        <v>2018</v>
      </c>
      <c r="F97" s="9">
        <f>IFERROR(__xludf.DUMMYFUNCTION("""COMPUTED_VALUE"""),750.0)</f>
        <v>750</v>
      </c>
      <c r="G97" s="9">
        <f>IFERROR(__xludf.DUMMYFUNCTION("""COMPUTED_VALUE"""),6.0)</f>
        <v>6</v>
      </c>
      <c r="H97" s="10">
        <f>IFERROR(__xludf.DUMMYFUNCTION("""COMPUTED_VALUE"""),3.0)</f>
        <v>3</v>
      </c>
      <c r="I97" s="11">
        <f>IFERROR(__xludf.DUMMYFUNCTION("""COMPUTED_VALUE"""),375.0)</f>
        <v>375</v>
      </c>
      <c r="J97" s="9" t="str">
        <f>IFERROR(__xludf.DUMMYFUNCTION("""COMPUTED_VALUE"""),"France")</f>
        <v>France</v>
      </c>
      <c r="K97" s="8"/>
      <c r="L97" s="12"/>
      <c r="M97" s="13"/>
      <c r="N97" s="13" t="str">
        <f>IFERROR(__xludf.DUMMYFUNCTION("IF(ISBLANK(M97),"""",M97*GOOGLEFINANCE(""USDGBP""))"),"")</f>
        <v/>
      </c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</row>
    <row r="98">
      <c r="A98" s="8" t="str">
        <f>IFERROR(__xludf.DUMMYFUNCTION("""COMPUTED_VALUE"""),"100837120200600750")</f>
        <v>100837120200600750</v>
      </c>
      <c r="B98" s="9" t="str">
        <f>IFERROR(__xludf.DUMMYFUNCTION("""COMPUTED_VALUE"""),"France")</f>
        <v>France</v>
      </c>
      <c r="C98" s="9" t="str">
        <f>IFERROR(__xludf.DUMMYFUNCTION("""COMPUTED_VALUE"""),"bordeaux")</f>
        <v>bordeaux</v>
      </c>
      <c r="D98" s="9" t="str">
        <f>IFERROR(__xludf.DUMMYFUNCTION("""COMPUTED_VALUE"""),"Clos L'Eglise, Pomerol")</f>
        <v>Clos L'Eglise, Pomerol</v>
      </c>
      <c r="E98" s="9">
        <f>IFERROR(__xludf.DUMMYFUNCTION("""COMPUTED_VALUE"""),2020.0)</f>
        <v>2020</v>
      </c>
      <c r="F98" s="9">
        <f>IFERROR(__xludf.DUMMYFUNCTION("""COMPUTED_VALUE"""),750.0)</f>
        <v>750</v>
      </c>
      <c r="G98" s="9">
        <f>IFERROR(__xludf.DUMMYFUNCTION("""COMPUTED_VALUE"""),6.0)</f>
        <v>6</v>
      </c>
      <c r="H98" s="10">
        <f>IFERROR(__xludf.DUMMYFUNCTION("""COMPUTED_VALUE"""),2.0)</f>
        <v>2</v>
      </c>
      <c r="I98" s="11">
        <f>IFERROR(__xludf.DUMMYFUNCTION("""COMPUTED_VALUE"""),341.0)</f>
        <v>341</v>
      </c>
      <c r="J98" s="9" t="str">
        <f>IFERROR(__xludf.DUMMYFUNCTION("""COMPUTED_VALUE"""),"France")</f>
        <v>France</v>
      </c>
      <c r="K98" s="8"/>
      <c r="L98" s="12"/>
      <c r="M98" s="13"/>
      <c r="N98" s="13" t="str">
        <f>IFERROR(__xludf.DUMMYFUNCTION("IF(ISBLANK(M98),"""",M98*GOOGLEFINANCE(""USDGBP""))"),"")</f>
        <v/>
      </c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</row>
    <row r="99">
      <c r="A99" s="8" t="str">
        <f>IFERROR(__xludf.DUMMYFUNCTION("""COMPUTED_VALUE"""),"100940820170600750")</f>
        <v>100940820170600750</v>
      </c>
      <c r="B99" s="9" t="str">
        <f>IFERROR(__xludf.DUMMYFUNCTION("""COMPUTED_VALUE"""),"France")</f>
        <v>France</v>
      </c>
      <c r="C99" s="9" t="str">
        <f>IFERROR(__xludf.DUMMYFUNCTION("""COMPUTED_VALUE"""),"bordeaux")</f>
        <v>bordeaux</v>
      </c>
      <c r="D99" s="9" t="str">
        <f>IFERROR(__xludf.DUMMYFUNCTION("""COMPUTED_VALUE"""),"Domaine de Chevalier, Rouge Cru Classe, Pessac-Leognan")</f>
        <v>Domaine de Chevalier, Rouge Cru Classe, Pessac-Leognan</v>
      </c>
      <c r="E99" s="9">
        <f>IFERROR(__xludf.DUMMYFUNCTION("""COMPUTED_VALUE"""),2017.0)</f>
        <v>2017</v>
      </c>
      <c r="F99" s="9">
        <f>IFERROR(__xludf.DUMMYFUNCTION("""COMPUTED_VALUE"""),750.0)</f>
        <v>750</v>
      </c>
      <c r="G99" s="9">
        <f>IFERROR(__xludf.DUMMYFUNCTION("""COMPUTED_VALUE"""),6.0)</f>
        <v>6</v>
      </c>
      <c r="H99" s="10">
        <f>IFERROR(__xludf.DUMMYFUNCTION("""COMPUTED_VALUE"""),4.0)</f>
        <v>4</v>
      </c>
      <c r="I99" s="11">
        <f>IFERROR(__xludf.DUMMYFUNCTION("""COMPUTED_VALUE"""),235.0)</f>
        <v>235</v>
      </c>
      <c r="J99" s="9" t="str">
        <f>IFERROR(__xludf.DUMMYFUNCTION("""COMPUTED_VALUE"""),"France")</f>
        <v>France</v>
      </c>
      <c r="K99" s="8"/>
      <c r="L99" s="12"/>
      <c r="M99" s="13"/>
      <c r="N99" s="13" t="str">
        <f>IFERROR(__xludf.DUMMYFUNCTION("IF(ISBLANK(M99),"""",M99*GOOGLEFINANCE(""USDGBP""))"),"")</f>
        <v/>
      </c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</row>
    <row r="100">
      <c r="A100" s="8" t="str">
        <f>IFERROR(__xludf.DUMMYFUNCTION("""COMPUTED_VALUE"""),"100940820180600750")</f>
        <v>100940820180600750</v>
      </c>
      <c r="B100" s="9" t="str">
        <f>IFERROR(__xludf.DUMMYFUNCTION("""COMPUTED_VALUE"""),"France")</f>
        <v>France</v>
      </c>
      <c r="C100" s="9" t="str">
        <f>IFERROR(__xludf.DUMMYFUNCTION("""COMPUTED_VALUE"""),"bordeaux")</f>
        <v>bordeaux</v>
      </c>
      <c r="D100" s="9" t="str">
        <f>IFERROR(__xludf.DUMMYFUNCTION("""COMPUTED_VALUE"""),"Domaine de Chevalier, Rouge Cru Classe, Pessac-Leognan")</f>
        <v>Domaine de Chevalier, Rouge Cru Classe, Pessac-Leognan</v>
      </c>
      <c r="E100" s="9">
        <f>IFERROR(__xludf.DUMMYFUNCTION("""COMPUTED_VALUE"""),2018.0)</f>
        <v>2018</v>
      </c>
      <c r="F100" s="9">
        <f>IFERROR(__xludf.DUMMYFUNCTION("""COMPUTED_VALUE"""),750.0)</f>
        <v>750</v>
      </c>
      <c r="G100" s="9">
        <f>IFERROR(__xludf.DUMMYFUNCTION("""COMPUTED_VALUE"""),6.0)</f>
        <v>6</v>
      </c>
      <c r="H100" s="10">
        <f>IFERROR(__xludf.DUMMYFUNCTION("""COMPUTED_VALUE"""),11.0)</f>
        <v>11</v>
      </c>
      <c r="I100" s="11">
        <f>IFERROR(__xludf.DUMMYFUNCTION("""COMPUTED_VALUE"""),308.0)</f>
        <v>308</v>
      </c>
      <c r="J100" s="9" t="str">
        <f>IFERROR(__xludf.DUMMYFUNCTION("""COMPUTED_VALUE"""),"France")</f>
        <v>France</v>
      </c>
      <c r="K100" s="8"/>
      <c r="L100" s="12"/>
      <c r="M100" s="13"/>
      <c r="N100" s="13" t="str">
        <f>IFERROR(__xludf.DUMMYFUNCTION("IF(ISBLANK(M100),"""",M100*GOOGLEFINANCE(""USDGBP""))"),"")</f>
        <v/>
      </c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</row>
    <row r="101">
      <c r="A101" s="8" t="str">
        <f>IFERROR(__xludf.DUMMYFUNCTION("""COMPUTED_VALUE"""),"100940820201200750")</f>
        <v>100940820201200750</v>
      </c>
      <c r="B101" s="9" t="str">
        <f>IFERROR(__xludf.DUMMYFUNCTION("""COMPUTED_VALUE"""),"France")</f>
        <v>France</v>
      </c>
      <c r="C101" s="9" t="str">
        <f>IFERROR(__xludf.DUMMYFUNCTION("""COMPUTED_VALUE"""),"bordeaux")</f>
        <v>bordeaux</v>
      </c>
      <c r="D101" s="9" t="str">
        <f>IFERROR(__xludf.DUMMYFUNCTION("""COMPUTED_VALUE"""),"Domaine de Chevalier, Rouge Cru Classe, Pessac-Leognan")</f>
        <v>Domaine de Chevalier, Rouge Cru Classe, Pessac-Leognan</v>
      </c>
      <c r="E101" s="9">
        <f>IFERROR(__xludf.DUMMYFUNCTION("""COMPUTED_VALUE"""),2020.0)</f>
        <v>2020</v>
      </c>
      <c r="F101" s="9">
        <f>IFERROR(__xludf.DUMMYFUNCTION("""COMPUTED_VALUE"""),750.0)</f>
        <v>750</v>
      </c>
      <c r="G101" s="9">
        <f>IFERROR(__xludf.DUMMYFUNCTION("""COMPUTED_VALUE"""),12.0)</f>
        <v>12</v>
      </c>
      <c r="H101" s="10">
        <f>IFERROR(__xludf.DUMMYFUNCTION("""COMPUTED_VALUE"""),1.0)</f>
        <v>1</v>
      </c>
      <c r="I101" s="11">
        <f>IFERROR(__xludf.DUMMYFUNCTION("""COMPUTED_VALUE"""),597.0)</f>
        <v>597</v>
      </c>
      <c r="J101" s="9" t="str">
        <f>IFERROR(__xludf.DUMMYFUNCTION("""COMPUTED_VALUE"""),"France")</f>
        <v>France</v>
      </c>
      <c r="K101" s="8"/>
      <c r="L101" s="12"/>
      <c r="M101" s="13"/>
      <c r="N101" s="13" t="str">
        <f>IFERROR(__xludf.DUMMYFUNCTION("IF(ISBLANK(M101),"""",M101*GOOGLEFINANCE(""USDGBP""))"),"")</f>
        <v/>
      </c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</row>
    <row r="102">
      <c r="A102" s="8" t="str">
        <f>IFERROR(__xludf.DUMMYFUNCTION("""COMPUTED_VALUE"""),"100947920171200750")</f>
        <v>100947920171200750</v>
      </c>
      <c r="B102" s="9" t="str">
        <f>IFERROR(__xludf.DUMMYFUNCTION("""COMPUTED_VALUE"""),"France")</f>
        <v>France</v>
      </c>
      <c r="C102" s="9" t="str">
        <f>IFERROR(__xludf.DUMMYFUNCTION("""COMPUTED_VALUE"""),"bordeaux")</f>
        <v>bordeaux</v>
      </c>
      <c r="D102" s="9" t="str">
        <f>IFERROR(__xludf.DUMMYFUNCTION("""COMPUTED_VALUE"""),"Ducru-Beaucaillou 2eme Cru Classe, Saint-Julien")</f>
        <v>Ducru-Beaucaillou 2eme Cru Classe, Saint-Julien</v>
      </c>
      <c r="E102" s="9">
        <f>IFERROR(__xludf.DUMMYFUNCTION("""COMPUTED_VALUE"""),2017.0)</f>
        <v>2017</v>
      </c>
      <c r="F102" s="9">
        <f>IFERROR(__xludf.DUMMYFUNCTION("""COMPUTED_VALUE"""),750.0)</f>
        <v>750</v>
      </c>
      <c r="G102" s="9">
        <f>IFERROR(__xludf.DUMMYFUNCTION("""COMPUTED_VALUE"""),12.0)</f>
        <v>12</v>
      </c>
      <c r="H102" s="10">
        <f>IFERROR(__xludf.DUMMYFUNCTION("""COMPUTED_VALUE"""),1.0)</f>
        <v>1</v>
      </c>
      <c r="I102" s="11">
        <f>IFERROR(__xludf.DUMMYFUNCTION("""COMPUTED_VALUE"""),1598.0)</f>
        <v>1598</v>
      </c>
      <c r="J102" s="9" t="str">
        <f>IFERROR(__xludf.DUMMYFUNCTION("""COMPUTED_VALUE"""),"France")</f>
        <v>France</v>
      </c>
      <c r="K102" s="8"/>
      <c r="L102" s="12"/>
      <c r="M102" s="13"/>
      <c r="N102" s="13" t="str">
        <f>IFERROR(__xludf.DUMMYFUNCTION("IF(ISBLANK(M102),"""",M102*GOOGLEFINANCE(""USDGBP""))"),"")</f>
        <v/>
      </c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</row>
    <row r="103">
      <c r="A103" s="8" t="str">
        <f>IFERROR(__xludf.DUMMYFUNCTION("""COMPUTED_VALUE"""),"100947920200600750")</f>
        <v>100947920200600750</v>
      </c>
      <c r="B103" s="9" t="str">
        <f>IFERROR(__xludf.DUMMYFUNCTION("""COMPUTED_VALUE"""),"France")</f>
        <v>France</v>
      </c>
      <c r="C103" s="9" t="str">
        <f>IFERROR(__xludf.DUMMYFUNCTION("""COMPUTED_VALUE"""),"bordeaux")</f>
        <v>bordeaux</v>
      </c>
      <c r="D103" s="9" t="str">
        <f>IFERROR(__xludf.DUMMYFUNCTION("""COMPUTED_VALUE"""),"Ducru-Beaucaillou 2eme Cru Classe, Saint-Julien")</f>
        <v>Ducru-Beaucaillou 2eme Cru Classe, Saint-Julien</v>
      </c>
      <c r="E103" s="9">
        <f>IFERROR(__xludf.DUMMYFUNCTION("""COMPUTED_VALUE"""),2020.0)</f>
        <v>2020</v>
      </c>
      <c r="F103" s="9">
        <f>IFERROR(__xludf.DUMMYFUNCTION("""COMPUTED_VALUE"""),750.0)</f>
        <v>750</v>
      </c>
      <c r="G103" s="9">
        <f>IFERROR(__xludf.DUMMYFUNCTION("""COMPUTED_VALUE"""),6.0)</f>
        <v>6</v>
      </c>
      <c r="H103" s="10">
        <f>IFERROR(__xludf.DUMMYFUNCTION("""COMPUTED_VALUE"""),2.0)</f>
        <v>2</v>
      </c>
      <c r="I103" s="11">
        <f>IFERROR(__xludf.DUMMYFUNCTION("""COMPUTED_VALUE"""),996.0)</f>
        <v>996</v>
      </c>
      <c r="J103" s="9" t="str">
        <f>IFERROR(__xludf.DUMMYFUNCTION("""COMPUTED_VALUE"""),"France")</f>
        <v>France</v>
      </c>
      <c r="K103" s="8"/>
      <c r="L103" s="12"/>
      <c r="M103" s="13"/>
      <c r="N103" s="13" t="str">
        <f>IFERROR(__xludf.DUMMYFUNCTION("IF(ISBLANK(M103),"""",M103*GOOGLEFINANCE(""USDGBP""))"),"")</f>
        <v/>
      </c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</row>
    <row r="104">
      <c r="A104" s="8" t="str">
        <f>IFERROR(__xludf.DUMMYFUNCTION("""COMPUTED_VALUE"""),"101322520180101500")</f>
        <v>101322520180101500</v>
      </c>
      <c r="B104" s="9" t="str">
        <f>IFERROR(__xludf.DUMMYFUNCTION("""COMPUTED_VALUE"""),"France")</f>
        <v>France</v>
      </c>
      <c r="C104" s="9" t="str">
        <f>IFERROR(__xludf.DUMMYFUNCTION("""COMPUTED_VALUE"""),"bordeaux")</f>
        <v>bordeaux</v>
      </c>
      <c r="D104" s="9" t="str">
        <f>IFERROR(__xludf.DUMMYFUNCTION("""COMPUTED_VALUE"""),"La Mondotte Premier Grand Cru Classe B, Saint-Emilion Grand Cru")</f>
        <v>La Mondotte Premier Grand Cru Classe B, Saint-Emilion Grand Cru</v>
      </c>
      <c r="E104" s="9">
        <f>IFERROR(__xludf.DUMMYFUNCTION("""COMPUTED_VALUE"""),2018.0)</f>
        <v>2018</v>
      </c>
      <c r="F104" s="9">
        <f>IFERROR(__xludf.DUMMYFUNCTION("""COMPUTED_VALUE"""),1500.0)</f>
        <v>1500</v>
      </c>
      <c r="G104" s="9">
        <f>IFERROR(__xludf.DUMMYFUNCTION("""COMPUTED_VALUE"""),1.0)</f>
        <v>1</v>
      </c>
      <c r="H104" s="10">
        <f>IFERROR(__xludf.DUMMYFUNCTION("""COMPUTED_VALUE"""),1.0)</f>
        <v>1</v>
      </c>
      <c r="I104" s="11">
        <f>IFERROR(__xludf.DUMMYFUNCTION("""COMPUTED_VALUE"""),299.0)</f>
        <v>299</v>
      </c>
      <c r="J104" s="9" t="str">
        <f>IFERROR(__xludf.DUMMYFUNCTION("""COMPUTED_VALUE"""),"France")</f>
        <v>France</v>
      </c>
      <c r="K104" s="8"/>
      <c r="L104" s="12"/>
      <c r="M104" s="13"/>
      <c r="N104" s="13" t="str">
        <f>IFERROR(__xludf.DUMMYFUNCTION("IF(ISBLANK(M104),"""",M104*GOOGLEFINANCE(""USDGBP""))"),"")</f>
        <v/>
      </c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</row>
    <row r="105">
      <c r="A105" s="8" t="str">
        <f>IFERROR(__xludf.DUMMYFUNCTION("""COMPUTED_VALUE"""),"101322520210600750")</f>
        <v>101322520210600750</v>
      </c>
      <c r="B105" s="9" t="str">
        <f>IFERROR(__xludf.DUMMYFUNCTION("""COMPUTED_VALUE"""),"France")</f>
        <v>France</v>
      </c>
      <c r="C105" s="9" t="str">
        <f>IFERROR(__xludf.DUMMYFUNCTION("""COMPUTED_VALUE"""),"bordeaux")</f>
        <v>bordeaux</v>
      </c>
      <c r="D105" s="9" t="str">
        <f>IFERROR(__xludf.DUMMYFUNCTION("""COMPUTED_VALUE"""),"La Mondotte Premier Grand Cru Classe B, Saint-Emilion Grand Cru")</f>
        <v>La Mondotte Premier Grand Cru Classe B, Saint-Emilion Grand Cru</v>
      </c>
      <c r="E105" s="9">
        <f>IFERROR(__xludf.DUMMYFUNCTION("""COMPUTED_VALUE"""),2021.0)</f>
        <v>2021</v>
      </c>
      <c r="F105" s="9">
        <f>IFERROR(__xludf.DUMMYFUNCTION("""COMPUTED_VALUE"""),750.0)</f>
        <v>750</v>
      </c>
      <c r="G105" s="9">
        <f>IFERROR(__xludf.DUMMYFUNCTION("""COMPUTED_VALUE"""),6.0)</f>
        <v>6</v>
      </c>
      <c r="H105" s="10">
        <f>IFERROR(__xludf.DUMMYFUNCTION("""COMPUTED_VALUE"""),3.0)</f>
        <v>3</v>
      </c>
      <c r="I105" s="11">
        <f>IFERROR(__xludf.DUMMYFUNCTION("""COMPUTED_VALUE"""),708.0)</f>
        <v>708</v>
      </c>
      <c r="J105" s="9" t="str">
        <f>IFERROR(__xludf.DUMMYFUNCTION("""COMPUTED_VALUE"""),"France")</f>
        <v>France</v>
      </c>
      <c r="K105" s="8"/>
      <c r="L105" s="12"/>
      <c r="M105" s="13"/>
      <c r="N105" s="13" t="str">
        <f>IFERROR(__xludf.DUMMYFUNCTION("IF(ISBLANK(M105),"""",M105*GOOGLEFINANCE(""USDGBP""))"),"")</f>
        <v/>
      </c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</row>
    <row r="106">
      <c r="A106" s="8" t="str">
        <f>IFERROR(__xludf.DUMMYFUNCTION("""COMPUTED_VALUE"""),"101419220160600750")</f>
        <v>101419220160600750</v>
      </c>
      <c r="B106" s="9" t="str">
        <f>IFERROR(__xludf.DUMMYFUNCTION("""COMPUTED_VALUE"""),"France")</f>
        <v>France</v>
      </c>
      <c r="C106" s="9" t="str">
        <f>IFERROR(__xludf.DUMMYFUNCTION("""COMPUTED_VALUE"""),"bordeaux")</f>
        <v>bordeaux</v>
      </c>
      <c r="D106" s="9" t="str">
        <f>IFERROR(__xludf.DUMMYFUNCTION("""COMPUTED_VALUE"""),"Le Pin, Pomerol")</f>
        <v>Le Pin, Pomerol</v>
      </c>
      <c r="E106" s="9">
        <f>IFERROR(__xludf.DUMMYFUNCTION("""COMPUTED_VALUE"""),2016.0)</f>
        <v>2016</v>
      </c>
      <c r="F106" s="9">
        <f>IFERROR(__xludf.DUMMYFUNCTION("""COMPUTED_VALUE"""),750.0)</f>
        <v>750</v>
      </c>
      <c r="G106" s="9">
        <f>IFERROR(__xludf.DUMMYFUNCTION("""COMPUTED_VALUE"""),6.0)</f>
        <v>6</v>
      </c>
      <c r="H106" s="10">
        <f>IFERROR(__xludf.DUMMYFUNCTION("""COMPUTED_VALUE"""),1.0)</f>
        <v>1</v>
      </c>
      <c r="I106" s="11">
        <f>IFERROR(__xludf.DUMMYFUNCTION("""COMPUTED_VALUE"""),17961.0)</f>
        <v>17961</v>
      </c>
      <c r="J106" s="9" t="str">
        <f>IFERROR(__xludf.DUMMYFUNCTION("""COMPUTED_VALUE"""),"France")</f>
        <v>France</v>
      </c>
      <c r="K106" s="8"/>
      <c r="L106" s="12"/>
      <c r="M106" s="13"/>
      <c r="N106" s="13" t="str">
        <f>IFERROR(__xludf.DUMMYFUNCTION("IF(ISBLANK(M106),"""",M106*GOOGLEFINANCE(""USDGBP""))"),"")</f>
        <v/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</row>
    <row r="107">
      <c r="A107" s="8" t="str">
        <f>IFERROR(__xludf.DUMMYFUNCTION("""COMPUTED_VALUE"""),"101030920150600750")</f>
        <v>101030920150600750</v>
      </c>
      <c r="B107" s="9" t="str">
        <f>IFERROR(__xludf.DUMMYFUNCTION("""COMPUTED_VALUE"""),"France")</f>
        <v>France</v>
      </c>
      <c r="C107" s="9" t="str">
        <f>IFERROR(__xludf.DUMMYFUNCTION("""COMPUTED_VALUE"""),"bordeaux")</f>
        <v>bordeaux</v>
      </c>
      <c r="D107" s="9" t="str">
        <f>IFERROR(__xludf.DUMMYFUNCTION("""COMPUTED_VALUE"""),"Les Forts de Latour, Pauillac")</f>
        <v>Les Forts de Latour, Pauillac</v>
      </c>
      <c r="E107" s="9">
        <f>IFERROR(__xludf.DUMMYFUNCTION("""COMPUTED_VALUE"""),2015.0)</f>
        <v>2015</v>
      </c>
      <c r="F107" s="9">
        <f>IFERROR(__xludf.DUMMYFUNCTION("""COMPUTED_VALUE"""),750.0)</f>
        <v>750</v>
      </c>
      <c r="G107" s="9">
        <f>IFERROR(__xludf.DUMMYFUNCTION("""COMPUTED_VALUE"""),6.0)</f>
        <v>6</v>
      </c>
      <c r="H107" s="10">
        <f>IFERROR(__xludf.DUMMYFUNCTION("""COMPUTED_VALUE"""),3.0)</f>
        <v>3</v>
      </c>
      <c r="I107" s="11">
        <f>IFERROR(__xludf.DUMMYFUNCTION("""COMPUTED_VALUE"""),985.0)</f>
        <v>985</v>
      </c>
      <c r="J107" s="9" t="str">
        <f>IFERROR(__xludf.DUMMYFUNCTION("""COMPUTED_VALUE"""),"France")</f>
        <v>France</v>
      </c>
      <c r="K107" s="8"/>
      <c r="L107" s="12"/>
      <c r="M107" s="13"/>
      <c r="N107" s="13" t="str">
        <f>IFERROR(__xludf.DUMMYFUNCTION("IF(ISBLANK(M107),"""",M107*GOOGLEFINANCE(""USDGBP""))"),"")</f>
        <v/>
      </c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</row>
    <row r="108">
      <c r="A108" s="8" t="str">
        <f>IFERROR(__xludf.DUMMYFUNCTION("""COMPUTED_VALUE"""),"101030920170300750")</f>
        <v>101030920170300750</v>
      </c>
      <c r="B108" s="9" t="str">
        <f>IFERROR(__xludf.DUMMYFUNCTION("""COMPUTED_VALUE"""),"France")</f>
        <v>France</v>
      </c>
      <c r="C108" s="9" t="str">
        <f>IFERROR(__xludf.DUMMYFUNCTION("""COMPUTED_VALUE"""),"bordeaux")</f>
        <v>bordeaux</v>
      </c>
      <c r="D108" s="9" t="str">
        <f>IFERROR(__xludf.DUMMYFUNCTION("""COMPUTED_VALUE"""),"Les Forts de Latour, Pauillac")</f>
        <v>Les Forts de Latour, Pauillac</v>
      </c>
      <c r="E108" s="9">
        <f>IFERROR(__xludf.DUMMYFUNCTION("""COMPUTED_VALUE"""),2017.0)</f>
        <v>2017</v>
      </c>
      <c r="F108" s="9">
        <f>IFERROR(__xludf.DUMMYFUNCTION("""COMPUTED_VALUE"""),750.0)</f>
        <v>750</v>
      </c>
      <c r="G108" s="9">
        <f>IFERROR(__xludf.DUMMYFUNCTION("""COMPUTED_VALUE"""),3.0)</f>
        <v>3</v>
      </c>
      <c r="H108" s="10">
        <f>IFERROR(__xludf.DUMMYFUNCTION("""COMPUTED_VALUE"""),6.0)</f>
        <v>6</v>
      </c>
      <c r="I108" s="11">
        <f>IFERROR(__xludf.DUMMYFUNCTION("""COMPUTED_VALUE"""),476.0)</f>
        <v>476</v>
      </c>
      <c r="J108" s="9" t="str">
        <f>IFERROR(__xludf.DUMMYFUNCTION("""COMPUTED_VALUE"""),"France")</f>
        <v>France</v>
      </c>
      <c r="K108" s="8"/>
      <c r="L108" s="12"/>
      <c r="M108" s="13"/>
      <c r="N108" s="13" t="str">
        <f>IFERROR(__xludf.DUMMYFUNCTION("IF(ISBLANK(M108),"""",M108*GOOGLEFINANCE(""USDGBP""))"),"")</f>
        <v/>
      </c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</row>
    <row r="109">
      <c r="A109" s="8" t="str">
        <f>IFERROR(__xludf.DUMMYFUNCTION("""COMPUTED_VALUE"""),"101403320150100750")</f>
        <v>101403320150100750</v>
      </c>
      <c r="B109" s="9" t="str">
        <f>IFERROR(__xludf.DUMMYFUNCTION("""COMPUTED_VALUE"""),"France")</f>
        <v>France</v>
      </c>
      <c r="C109" s="9" t="str">
        <f>IFERROR(__xludf.DUMMYFUNCTION("""COMPUTED_VALUE"""),"bordeaux")</f>
        <v>bordeaux</v>
      </c>
      <c r="D109" s="9" t="str">
        <f>IFERROR(__xludf.DUMMYFUNCTION("""COMPUTED_VALUE"""),"Petrus, Pomerol")</f>
        <v>Petrus, Pomerol</v>
      </c>
      <c r="E109" s="9">
        <f>IFERROR(__xludf.DUMMYFUNCTION("""COMPUTED_VALUE"""),2015.0)</f>
        <v>2015</v>
      </c>
      <c r="F109" s="9">
        <f>IFERROR(__xludf.DUMMYFUNCTION("""COMPUTED_VALUE"""),750.0)</f>
        <v>750</v>
      </c>
      <c r="G109" s="9">
        <f>IFERROR(__xludf.DUMMYFUNCTION("""COMPUTED_VALUE"""),1.0)</f>
        <v>1</v>
      </c>
      <c r="H109" s="10">
        <f>IFERROR(__xludf.DUMMYFUNCTION("""COMPUTED_VALUE"""),1.0)</f>
        <v>1</v>
      </c>
      <c r="I109" s="11">
        <f>IFERROR(__xludf.DUMMYFUNCTION("""COMPUTED_VALUE"""),3823.0)</f>
        <v>3823</v>
      </c>
      <c r="J109" s="9" t="str">
        <f>IFERROR(__xludf.DUMMYFUNCTION("""COMPUTED_VALUE"""),"France")</f>
        <v>France</v>
      </c>
      <c r="K109" s="8"/>
      <c r="L109" s="12"/>
      <c r="M109" s="13"/>
      <c r="N109" s="13" t="str">
        <f>IFERROR(__xludf.DUMMYFUNCTION("IF(ISBLANK(M109),"""",M109*GOOGLEFINANCE(""USDGBP""))"),"")</f>
        <v/>
      </c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</row>
    <row r="110">
      <c r="A110" s="8" t="str">
        <f>IFERROR(__xludf.DUMMYFUNCTION("""COMPUTED_VALUE"""),"101608220150600750")</f>
        <v>101608220150600750</v>
      </c>
      <c r="B110" s="9" t="str">
        <f>IFERROR(__xludf.DUMMYFUNCTION("""COMPUTED_VALUE"""),"France")</f>
        <v>France</v>
      </c>
      <c r="C110" s="9" t="str">
        <f>IFERROR(__xludf.DUMMYFUNCTION("""COMPUTED_VALUE"""),"bordeaux")</f>
        <v>bordeaux</v>
      </c>
      <c r="D110" s="9" t="str">
        <f>IFERROR(__xludf.DUMMYFUNCTION("""COMPUTED_VALUE"""),"Vieux Chateau Certan, Pomerol")</f>
        <v>Vieux Chateau Certan, Pomerol</v>
      </c>
      <c r="E110" s="9">
        <f>IFERROR(__xludf.DUMMYFUNCTION("""COMPUTED_VALUE"""),2015.0)</f>
        <v>2015</v>
      </c>
      <c r="F110" s="9">
        <f>IFERROR(__xludf.DUMMYFUNCTION("""COMPUTED_VALUE"""),750.0)</f>
        <v>750</v>
      </c>
      <c r="G110" s="9">
        <f>IFERROR(__xludf.DUMMYFUNCTION("""COMPUTED_VALUE"""),6.0)</f>
        <v>6</v>
      </c>
      <c r="H110" s="10">
        <f>IFERROR(__xludf.DUMMYFUNCTION("""COMPUTED_VALUE"""),6.0)</f>
        <v>6</v>
      </c>
      <c r="I110" s="11">
        <f>IFERROR(__xludf.DUMMYFUNCTION("""COMPUTED_VALUE"""),1469.0)</f>
        <v>1469</v>
      </c>
      <c r="J110" s="9" t="str">
        <f>IFERROR(__xludf.DUMMYFUNCTION("""COMPUTED_VALUE"""),"France")</f>
        <v>France</v>
      </c>
      <c r="K110" s="8"/>
      <c r="L110" s="12"/>
      <c r="M110" s="13"/>
      <c r="N110" s="13" t="str">
        <f>IFERROR(__xludf.DUMMYFUNCTION("IF(ISBLANK(M110),"""",M110*GOOGLEFINANCE(""USDGBP""))"),"")</f>
        <v/>
      </c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</row>
    <row r="111">
      <c r="A111" s="8" t="str">
        <f>IFERROR(__xludf.DUMMYFUNCTION("""COMPUTED_VALUE"""),"101608220160600750")</f>
        <v>101608220160600750</v>
      </c>
      <c r="B111" s="9" t="str">
        <f>IFERROR(__xludf.DUMMYFUNCTION("""COMPUTED_VALUE"""),"France")</f>
        <v>France</v>
      </c>
      <c r="C111" s="9" t="str">
        <f>IFERROR(__xludf.DUMMYFUNCTION("""COMPUTED_VALUE"""),"bordeaux")</f>
        <v>bordeaux</v>
      </c>
      <c r="D111" s="9" t="str">
        <f>IFERROR(__xludf.DUMMYFUNCTION("""COMPUTED_VALUE"""),"Vieux Chateau Certan, Pomerol")</f>
        <v>Vieux Chateau Certan, Pomerol</v>
      </c>
      <c r="E111" s="9">
        <f>IFERROR(__xludf.DUMMYFUNCTION("""COMPUTED_VALUE"""),2016.0)</f>
        <v>2016</v>
      </c>
      <c r="F111" s="9">
        <f>IFERROR(__xludf.DUMMYFUNCTION("""COMPUTED_VALUE"""),750.0)</f>
        <v>750</v>
      </c>
      <c r="G111" s="9">
        <f>IFERROR(__xludf.DUMMYFUNCTION("""COMPUTED_VALUE"""),6.0)</f>
        <v>6</v>
      </c>
      <c r="H111" s="10">
        <f>IFERROR(__xludf.DUMMYFUNCTION("""COMPUTED_VALUE"""),2.0)</f>
        <v>2</v>
      </c>
      <c r="I111" s="11">
        <f>IFERROR(__xludf.DUMMYFUNCTION("""COMPUTED_VALUE"""),1793.0)</f>
        <v>1793</v>
      </c>
      <c r="J111" s="9" t="str">
        <f>IFERROR(__xludf.DUMMYFUNCTION("""COMPUTED_VALUE"""),"France")</f>
        <v>France</v>
      </c>
      <c r="K111" s="8"/>
      <c r="L111" s="12"/>
      <c r="M111" s="13"/>
      <c r="N111" s="13" t="str">
        <f>IFERROR(__xludf.DUMMYFUNCTION("IF(ISBLANK(M111),"""",M111*GOOGLEFINANCE(""USDGBP""))"),"")</f>
        <v/>
      </c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</row>
    <row r="112">
      <c r="A112" s="8" t="str">
        <f>IFERROR(__xludf.DUMMYFUNCTION("""COMPUTED_VALUE"""),"101722320200600750")</f>
        <v>101722320200600750</v>
      </c>
      <c r="B112" s="9" t="str">
        <f>IFERROR(__xludf.DUMMYFUNCTION("""COMPUTED_VALUE"""),"France")</f>
        <v>France</v>
      </c>
      <c r="C112" s="9" t="str">
        <f>IFERROR(__xludf.DUMMYFUNCTION("""COMPUTED_VALUE"""),"bordeaux")</f>
        <v>bordeaux</v>
      </c>
      <c r="D112" s="9" t="str">
        <f>IFERROR(__xludf.DUMMYFUNCTION("""COMPUTED_VALUE"""),"Chateau La Mission Haut-Brion, Blanc, Pessac-Leognan")</f>
        <v>Chateau La Mission Haut-Brion, Blanc, Pessac-Leognan</v>
      </c>
      <c r="E112" s="9">
        <f>IFERROR(__xludf.DUMMYFUNCTION("""COMPUTED_VALUE"""),2020.0)</f>
        <v>2020</v>
      </c>
      <c r="F112" s="9">
        <f>IFERROR(__xludf.DUMMYFUNCTION("""COMPUTED_VALUE"""),750.0)</f>
        <v>750</v>
      </c>
      <c r="G112" s="9">
        <f>IFERROR(__xludf.DUMMYFUNCTION("""COMPUTED_VALUE"""),6.0)</f>
        <v>6</v>
      </c>
      <c r="H112" s="10">
        <f>IFERROR(__xludf.DUMMYFUNCTION("""COMPUTED_VALUE"""),1.0)</f>
        <v>1</v>
      </c>
      <c r="I112" s="11">
        <f>IFERROR(__xludf.DUMMYFUNCTION("""COMPUTED_VALUE"""),2706.0)</f>
        <v>2706</v>
      </c>
      <c r="J112" s="9" t="str">
        <f>IFERROR(__xludf.DUMMYFUNCTION("""COMPUTED_VALUE"""),"France")</f>
        <v>France</v>
      </c>
      <c r="K112" s="8"/>
      <c r="L112" s="12"/>
      <c r="M112" s="13"/>
      <c r="N112" s="13" t="str">
        <f>IFERROR(__xludf.DUMMYFUNCTION("IF(ISBLANK(M112),"""",M112*GOOGLEFINANCE(""USDGBP""))"),"")</f>
        <v/>
      </c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</row>
    <row r="113">
      <c r="A113" s="8" t="str">
        <f>IFERROR(__xludf.DUMMYFUNCTION("""COMPUTED_VALUE"""),"101736620200600750")</f>
        <v>101736620200600750</v>
      </c>
      <c r="B113" s="9" t="str">
        <f>IFERROR(__xludf.DUMMYFUNCTION("""COMPUTED_VALUE"""),"France")</f>
        <v>France</v>
      </c>
      <c r="C113" s="9" t="str">
        <f>IFERROR(__xludf.DUMMYFUNCTION("""COMPUTED_VALUE"""),"bordeaux")</f>
        <v>bordeaux</v>
      </c>
      <c r="D113" s="9" t="str">
        <f>IFERROR(__xludf.DUMMYFUNCTION("""COMPUTED_VALUE"""),"Chateau Pape Clement, Blanc, Pessac-Leognan")</f>
        <v>Chateau Pape Clement, Blanc, Pessac-Leognan</v>
      </c>
      <c r="E113" s="9">
        <f>IFERROR(__xludf.DUMMYFUNCTION("""COMPUTED_VALUE"""),2020.0)</f>
        <v>2020</v>
      </c>
      <c r="F113" s="9">
        <f>IFERROR(__xludf.DUMMYFUNCTION("""COMPUTED_VALUE"""),750.0)</f>
        <v>750</v>
      </c>
      <c r="G113" s="9">
        <f>IFERROR(__xludf.DUMMYFUNCTION("""COMPUTED_VALUE"""),6.0)</f>
        <v>6</v>
      </c>
      <c r="H113" s="10">
        <f>IFERROR(__xludf.DUMMYFUNCTION("""COMPUTED_VALUE"""),1.0)</f>
        <v>1</v>
      </c>
      <c r="I113" s="11">
        <f>IFERROR(__xludf.DUMMYFUNCTION("""COMPUTED_VALUE"""),530.0)</f>
        <v>530</v>
      </c>
      <c r="J113" s="9" t="str">
        <f>IFERROR(__xludf.DUMMYFUNCTION("""COMPUTED_VALUE"""),"France")</f>
        <v>France</v>
      </c>
      <c r="K113" s="8"/>
      <c r="L113" s="12"/>
      <c r="M113" s="13"/>
      <c r="N113" s="13" t="str">
        <f>IFERROR(__xludf.DUMMYFUNCTION("IF(ISBLANK(M113),"""",M113*GOOGLEFINANCE(""USDGBP""))"),"")</f>
        <v/>
      </c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</row>
    <row r="114">
      <c r="A114" s="8" t="str">
        <f>IFERROR(__xludf.DUMMYFUNCTION("""COMPUTED_VALUE"""),"101748320190400750")</f>
        <v>101748320190400750</v>
      </c>
      <c r="B114" s="9" t="str">
        <f>IFERROR(__xludf.DUMMYFUNCTION("""COMPUTED_VALUE"""),"France")</f>
        <v>France</v>
      </c>
      <c r="C114" s="9" t="str">
        <f>IFERROR(__xludf.DUMMYFUNCTION("""COMPUTED_VALUE"""),"bordeaux")</f>
        <v>bordeaux</v>
      </c>
      <c r="D114" s="9" t="str">
        <f>IFERROR(__xludf.DUMMYFUNCTION("""COMPUTED_VALUE"""),"Chateau Rieussec Premier Cru Classe, Sauternes")</f>
        <v>Chateau Rieussec Premier Cru Classe, Sauternes</v>
      </c>
      <c r="E114" s="9">
        <f>IFERROR(__xludf.DUMMYFUNCTION("""COMPUTED_VALUE"""),2019.0)</f>
        <v>2019</v>
      </c>
      <c r="F114" s="9">
        <f>IFERROR(__xludf.DUMMYFUNCTION("""COMPUTED_VALUE"""),750.0)</f>
        <v>750</v>
      </c>
      <c r="G114" s="9">
        <f>IFERROR(__xludf.DUMMYFUNCTION("""COMPUTED_VALUE"""),4.0)</f>
        <v>4</v>
      </c>
      <c r="H114" s="10">
        <f>IFERROR(__xludf.DUMMYFUNCTION("""COMPUTED_VALUE"""),6.0)</f>
        <v>6</v>
      </c>
      <c r="I114" s="11">
        <f>IFERROR(__xludf.DUMMYFUNCTION("""COMPUTED_VALUE"""),281.0)</f>
        <v>281</v>
      </c>
      <c r="J114" s="9" t="str">
        <f>IFERROR(__xludf.DUMMYFUNCTION("""COMPUTED_VALUE"""),"France")</f>
        <v>France</v>
      </c>
      <c r="K114" s="8"/>
      <c r="L114" s="12"/>
      <c r="M114" s="13"/>
      <c r="N114" s="13" t="str">
        <f>IFERROR(__xludf.DUMMYFUNCTION("IF(ISBLANK(M114),"""",M114*GOOGLEFINANCE(""USDGBP""))"),"")</f>
        <v/>
      </c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</row>
    <row r="115">
      <c r="A115" s="8" t="str">
        <f>IFERROR(__xludf.DUMMYFUNCTION("""COMPUTED_VALUE"""),"101775720100100750")</f>
        <v>101775720100100750</v>
      </c>
      <c r="B115" s="9" t="str">
        <f>IFERROR(__xludf.DUMMYFUNCTION("""COMPUTED_VALUE"""),"France")</f>
        <v>France</v>
      </c>
      <c r="C115" s="9" t="str">
        <f>IFERROR(__xludf.DUMMYFUNCTION("""COMPUTED_VALUE"""),"bordeaux")</f>
        <v>bordeaux</v>
      </c>
      <c r="D115" s="9" t="str">
        <f>IFERROR(__xludf.DUMMYFUNCTION("""COMPUTED_VALUE"""),"Chateau d'Yquem Premier Cru Superieur, Sauternes")</f>
        <v>Chateau d'Yquem Premier Cru Superieur, Sauternes</v>
      </c>
      <c r="E115" s="9">
        <f>IFERROR(__xludf.DUMMYFUNCTION("""COMPUTED_VALUE"""),2010.0)</f>
        <v>2010</v>
      </c>
      <c r="F115" s="9">
        <f>IFERROR(__xludf.DUMMYFUNCTION("""COMPUTED_VALUE"""),750.0)</f>
        <v>750</v>
      </c>
      <c r="G115" s="9">
        <f>IFERROR(__xludf.DUMMYFUNCTION("""COMPUTED_VALUE"""),1.0)</f>
        <v>1</v>
      </c>
      <c r="H115" s="10">
        <f>IFERROR(__xludf.DUMMYFUNCTION("""COMPUTED_VALUE"""),3.0)</f>
        <v>3</v>
      </c>
      <c r="I115" s="11">
        <f>IFERROR(__xludf.DUMMYFUNCTION("""COMPUTED_VALUE"""),291.0)</f>
        <v>291</v>
      </c>
      <c r="J115" s="9" t="str">
        <f>IFERROR(__xludf.DUMMYFUNCTION("""COMPUTED_VALUE"""),"France")</f>
        <v>France</v>
      </c>
      <c r="K115" s="8"/>
      <c r="L115" s="12"/>
      <c r="M115" s="13"/>
      <c r="N115" s="13" t="str">
        <f>IFERROR(__xludf.DUMMYFUNCTION("IF(ISBLANK(M115),"""",M115*GOOGLEFINANCE(""USDGBP""))"),"")</f>
        <v/>
      </c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</row>
    <row r="116">
      <c r="A116" s="8" t="str">
        <f>IFERROR(__xludf.DUMMYFUNCTION("""COMPUTED_VALUE"""),"101775720170100750")</f>
        <v>101775720170100750</v>
      </c>
      <c r="B116" s="9" t="str">
        <f>IFERROR(__xludf.DUMMYFUNCTION("""COMPUTED_VALUE"""),"France")</f>
        <v>France</v>
      </c>
      <c r="C116" s="9" t="str">
        <f>IFERROR(__xludf.DUMMYFUNCTION("""COMPUTED_VALUE"""),"bordeaux")</f>
        <v>bordeaux</v>
      </c>
      <c r="D116" s="9" t="str">
        <f>IFERROR(__xludf.DUMMYFUNCTION("""COMPUTED_VALUE"""),"Chateau d'Yquem Premier Cru Superieur, Sauternes")</f>
        <v>Chateau d'Yquem Premier Cru Superieur, Sauternes</v>
      </c>
      <c r="E116" s="9">
        <f>IFERROR(__xludf.DUMMYFUNCTION("""COMPUTED_VALUE"""),2017.0)</f>
        <v>2017</v>
      </c>
      <c r="F116" s="9">
        <f>IFERROR(__xludf.DUMMYFUNCTION("""COMPUTED_VALUE"""),750.0)</f>
        <v>750</v>
      </c>
      <c r="G116" s="9">
        <f>IFERROR(__xludf.DUMMYFUNCTION("""COMPUTED_VALUE"""),1.0)</f>
        <v>1</v>
      </c>
      <c r="H116" s="10">
        <f>IFERROR(__xludf.DUMMYFUNCTION("""COMPUTED_VALUE"""),4.0)</f>
        <v>4</v>
      </c>
      <c r="I116" s="11">
        <f>IFERROR(__xludf.DUMMYFUNCTION("""COMPUTED_VALUE"""),280.0)</f>
        <v>280</v>
      </c>
      <c r="J116" s="9" t="str">
        <f>IFERROR(__xludf.DUMMYFUNCTION("""COMPUTED_VALUE"""),"France")</f>
        <v>France</v>
      </c>
      <c r="K116" s="8"/>
      <c r="L116" s="12"/>
      <c r="M116" s="13"/>
      <c r="N116" s="13" t="str">
        <f>IFERROR(__xludf.DUMMYFUNCTION("IF(ISBLANK(M116),"""",M116*GOOGLEFINANCE(""USDGBP""))"),"")</f>
        <v/>
      </c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</row>
    <row r="117">
      <c r="A117" s="8" t="str">
        <f>IFERROR(__xludf.DUMMYFUNCTION("""COMPUTED_VALUE"""),"101775720190600750")</f>
        <v>101775720190600750</v>
      </c>
      <c r="B117" s="9" t="str">
        <f>IFERROR(__xludf.DUMMYFUNCTION("""COMPUTED_VALUE"""),"France")</f>
        <v>France</v>
      </c>
      <c r="C117" s="9" t="str">
        <f>IFERROR(__xludf.DUMMYFUNCTION("""COMPUTED_VALUE"""),"bordeaux")</f>
        <v>bordeaux</v>
      </c>
      <c r="D117" s="9" t="str">
        <f>IFERROR(__xludf.DUMMYFUNCTION("""COMPUTED_VALUE"""),"Chateau d'Yquem Premier Cru Superieur, Sauternes")</f>
        <v>Chateau d'Yquem Premier Cru Superieur, Sauternes</v>
      </c>
      <c r="E117" s="9">
        <f>IFERROR(__xludf.DUMMYFUNCTION("""COMPUTED_VALUE"""),2019.0)</f>
        <v>2019</v>
      </c>
      <c r="F117" s="9">
        <f>IFERROR(__xludf.DUMMYFUNCTION("""COMPUTED_VALUE"""),750.0)</f>
        <v>750</v>
      </c>
      <c r="G117" s="9">
        <f>IFERROR(__xludf.DUMMYFUNCTION("""COMPUTED_VALUE"""),6.0)</f>
        <v>6</v>
      </c>
      <c r="H117" s="10">
        <f>IFERROR(__xludf.DUMMYFUNCTION("""COMPUTED_VALUE"""),2.0)</f>
        <v>2</v>
      </c>
      <c r="I117" s="11">
        <f>IFERROR(__xludf.DUMMYFUNCTION("""COMPUTED_VALUE"""),1494.0)</f>
        <v>1494</v>
      </c>
      <c r="J117" s="9" t="str">
        <f>IFERROR(__xludf.DUMMYFUNCTION("""COMPUTED_VALUE"""),"France")</f>
        <v>France</v>
      </c>
      <c r="K117" s="8"/>
      <c r="L117" s="12"/>
      <c r="M117" s="13"/>
      <c r="N117" s="13" t="str">
        <f>IFERROR(__xludf.DUMMYFUNCTION("IF(ISBLANK(M117),"""",M117*GOOGLEFINANCE(""USDGBP""))"),"")</f>
        <v/>
      </c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</row>
    <row r="118">
      <c r="A118" s="8" t="str">
        <f>IFERROR(__xludf.DUMMYFUNCTION("""COMPUTED_VALUE"""),"101775720200100750")</f>
        <v>101775720200100750</v>
      </c>
      <c r="B118" s="9" t="str">
        <f>IFERROR(__xludf.DUMMYFUNCTION("""COMPUTED_VALUE"""),"France")</f>
        <v>France</v>
      </c>
      <c r="C118" s="9" t="str">
        <f>IFERROR(__xludf.DUMMYFUNCTION("""COMPUTED_VALUE"""),"bordeaux")</f>
        <v>bordeaux</v>
      </c>
      <c r="D118" s="9" t="str">
        <f>IFERROR(__xludf.DUMMYFUNCTION("""COMPUTED_VALUE"""),"Chateau d'Yquem Premier Cru Superieur, Sauternes")</f>
        <v>Chateau d'Yquem Premier Cru Superieur, Sauternes</v>
      </c>
      <c r="E118" s="9">
        <f>IFERROR(__xludf.DUMMYFUNCTION("""COMPUTED_VALUE"""),2020.0)</f>
        <v>2020</v>
      </c>
      <c r="F118" s="9">
        <f>IFERROR(__xludf.DUMMYFUNCTION("""COMPUTED_VALUE"""),750.0)</f>
        <v>750</v>
      </c>
      <c r="G118" s="9">
        <f>IFERROR(__xludf.DUMMYFUNCTION("""COMPUTED_VALUE"""),1.0)</f>
        <v>1</v>
      </c>
      <c r="H118" s="10">
        <f>IFERROR(__xludf.DUMMYFUNCTION("""COMPUTED_VALUE"""),5.0)</f>
        <v>5</v>
      </c>
      <c r="I118" s="11">
        <f>IFERROR(__xludf.DUMMYFUNCTION("""COMPUTED_VALUE"""),255.0)</f>
        <v>255</v>
      </c>
      <c r="J118" s="9" t="str">
        <f>IFERROR(__xludf.DUMMYFUNCTION("""COMPUTED_VALUE"""),"France")</f>
        <v>France</v>
      </c>
      <c r="K118" s="8"/>
      <c r="L118" s="12"/>
      <c r="M118" s="13"/>
      <c r="N118" s="13" t="str">
        <f>IFERROR(__xludf.DUMMYFUNCTION("IF(ISBLANK(M118),"""",M118*GOOGLEFINANCE(""USDGBP""))"),"")</f>
        <v/>
      </c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</row>
    <row r="119">
      <c r="A119" s="8" t="str">
        <f>IFERROR(__xludf.DUMMYFUNCTION("""COMPUTED_VALUE"""),"101689320210300750")</f>
        <v>101689320210300750</v>
      </c>
      <c r="B119" s="9" t="str">
        <f>IFERROR(__xludf.DUMMYFUNCTION("""COMPUTED_VALUE"""),"France")</f>
        <v>France</v>
      </c>
      <c r="C119" s="9" t="str">
        <f>IFERROR(__xludf.DUMMYFUNCTION("""COMPUTED_VALUE"""),"bordeaux")</f>
        <v>bordeaux</v>
      </c>
      <c r="D119" s="9" t="str">
        <f>IFERROR(__xludf.DUMMYFUNCTION("""COMPUTED_VALUE"""),"L'Extravagant de Doisy Daene, Sauternes")</f>
        <v>L'Extravagant de Doisy Daene, Sauternes</v>
      </c>
      <c r="E119" s="9">
        <f>IFERROR(__xludf.DUMMYFUNCTION("""COMPUTED_VALUE"""),2021.0)</f>
        <v>2021</v>
      </c>
      <c r="F119" s="9">
        <f>IFERROR(__xludf.DUMMYFUNCTION("""COMPUTED_VALUE"""),750.0)</f>
        <v>750</v>
      </c>
      <c r="G119" s="9">
        <f>IFERROR(__xludf.DUMMYFUNCTION("""COMPUTED_VALUE"""),3.0)</f>
        <v>3</v>
      </c>
      <c r="H119" s="10">
        <f>IFERROR(__xludf.DUMMYFUNCTION("""COMPUTED_VALUE"""),2.0)</f>
        <v>2</v>
      </c>
      <c r="I119" s="11">
        <f>IFERROR(__xludf.DUMMYFUNCTION("""COMPUTED_VALUE"""),840.0)</f>
        <v>840</v>
      </c>
      <c r="J119" s="9" t="str">
        <f>IFERROR(__xludf.DUMMYFUNCTION("""COMPUTED_VALUE"""),"France")</f>
        <v>France</v>
      </c>
      <c r="K119" s="8"/>
      <c r="L119" s="12"/>
      <c r="M119" s="13"/>
      <c r="N119" s="13" t="str">
        <f>IFERROR(__xludf.DUMMYFUNCTION("IF(ISBLANK(M119),"""",M119*GOOGLEFINANCE(""USDGBP""))"),"")</f>
        <v/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</row>
    <row r="120">
      <c r="A120" s="8" t="str">
        <f>IFERROR(__xludf.DUMMYFUNCTION("""COMPUTED_VALUE"""),"140600520180300750")</f>
        <v>140600520180300750</v>
      </c>
      <c r="B120" s="9" t="str">
        <f>IFERROR(__xludf.DUMMYFUNCTION("""COMPUTED_VALUE"""),"France")</f>
        <v>France</v>
      </c>
      <c r="C120" s="9" t="str">
        <f>IFERROR(__xludf.DUMMYFUNCTION("""COMPUTED_VALUE"""),"bordeaux")</f>
        <v>bordeaux</v>
      </c>
      <c r="D120" s="9" t="str">
        <f>IFERROR(__xludf.DUMMYFUNCTION("""COMPUTED_VALUE"""),"Le Petit Cheval Blanc")</f>
        <v>Le Petit Cheval Blanc</v>
      </c>
      <c r="E120" s="9">
        <f>IFERROR(__xludf.DUMMYFUNCTION("""COMPUTED_VALUE"""),2018.0)</f>
        <v>2018</v>
      </c>
      <c r="F120" s="9">
        <f>IFERROR(__xludf.DUMMYFUNCTION("""COMPUTED_VALUE"""),750.0)</f>
        <v>750</v>
      </c>
      <c r="G120" s="9">
        <f>IFERROR(__xludf.DUMMYFUNCTION("""COMPUTED_VALUE"""),3.0)</f>
        <v>3</v>
      </c>
      <c r="H120" s="10">
        <f>IFERROR(__xludf.DUMMYFUNCTION("""COMPUTED_VALUE"""),2.0)</f>
        <v>2</v>
      </c>
      <c r="I120" s="11">
        <f>IFERROR(__xludf.DUMMYFUNCTION("""COMPUTED_VALUE"""),310.0)</f>
        <v>310</v>
      </c>
      <c r="J120" s="9" t="str">
        <f>IFERROR(__xludf.DUMMYFUNCTION("""COMPUTED_VALUE"""),"France")</f>
        <v>France</v>
      </c>
      <c r="K120" s="8"/>
      <c r="L120" s="12"/>
      <c r="M120" s="13"/>
      <c r="N120" s="13" t="str">
        <f>IFERROR(__xludf.DUMMYFUNCTION("IF(ISBLANK(M120),"""",M120*GOOGLEFINANCE(""USDGBP""))"),"")</f>
        <v/>
      </c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</row>
    <row r="121">
      <c r="A121" s="8" t="str">
        <f>IFERROR(__xludf.DUMMYFUNCTION("""COMPUTED_VALUE"""),"140600520200300750")</f>
        <v>140600520200300750</v>
      </c>
      <c r="B121" s="9" t="str">
        <f>IFERROR(__xludf.DUMMYFUNCTION("""COMPUTED_VALUE"""),"France")</f>
        <v>France</v>
      </c>
      <c r="C121" s="9" t="str">
        <f>IFERROR(__xludf.DUMMYFUNCTION("""COMPUTED_VALUE"""),"bordeaux")</f>
        <v>bordeaux</v>
      </c>
      <c r="D121" s="9" t="str">
        <f>IFERROR(__xludf.DUMMYFUNCTION("""COMPUTED_VALUE"""),"Le Petit Cheval Blanc")</f>
        <v>Le Petit Cheval Blanc</v>
      </c>
      <c r="E121" s="9">
        <f>IFERROR(__xludf.DUMMYFUNCTION("""COMPUTED_VALUE"""),2020.0)</f>
        <v>2020</v>
      </c>
      <c r="F121" s="9">
        <f>IFERROR(__xludf.DUMMYFUNCTION("""COMPUTED_VALUE"""),750.0)</f>
        <v>750</v>
      </c>
      <c r="G121" s="9">
        <f>IFERROR(__xludf.DUMMYFUNCTION("""COMPUTED_VALUE"""),3.0)</f>
        <v>3</v>
      </c>
      <c r="H121" s="10">
        <f>IFERROR(__xludf.DUMMYFUNCTION("""COMPUTED_VALUE"""),4.0)</f>
        <v>4</v>
      </c>
      <c r="I121" s="11">
        <f>IFERROR(__xludf.DUMMYFUNCTION("""COMPUTED_VALUE"""),297.0)</f>
        <v>297</v>
      </c>
      <c r="J121" s="9" t="str">
        <f>IFERROR(__xludf.DUMMYFUNCTION("""COMPUTED_VALUE"""),"France")</f>
        <v>France</v>
      </c>
      <c r="K121" s="8"/>
      <c r="L121" s="12"/>
      <c r="M121" s="13"/>
      <c r="N121" s="13" t="str">
        <f>IFERROR(__xludf.DUMMYFUNCTION("IF(ISBLANK(M121),"""",M121*GOOGLEFINANCE(""USDGBP""))"),"")</f>
        <v/>
      </c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</row>
    <row r="122">
      <c r="A122" s="8" t="str">
        <f>IFERROR(__xludf.DUMMYFUNCTION("""COMPUTED_VALUE"""),"140600520210300750")</f>
        <v>140600520210300750</v>
      </c>
      <c r="B122" s="9" t="str">
        <f>IFERROR(__xludf.DUMMYFUNCTION("""COMPUTED_VALUE"""),"France")</f>
        <v>France</v>
      </c>
      <c r="C122" s="9" t="str">
        <f>IFERROR(__xludf.DUMMYFUNCTION("""COMPUTED_VALUE"""),"bordeaux")</f>
        <v>bordeaux</v>
      </c>
      <c r="D122" s="9" t="str">
        <f>IFERROR(__xludf.DUMMYFUNCTION("""COMPUTED_VALUE"""),"Le Petit Cheval Blanc")</f>
        <v>Le Petit Cheval Blanc</v>
      </c>
      <c r="E122" s="9">
        <f>IFERROR(__xludf.DUMMYFUNCTION("""COMPUTED_VALUE"""),2021.0)</f>
        <v>2021</v>
      </c>
      <c r="F122" s="9">
        <f>IFERROR(__xludf.DUMMYFUNCTION("""COMPUTED_VALUE"""),750.0)</f>
        <v>750</v>
      </c>
      <c r="G122" s="9">
        <f>IFERROR(__xludf.DUMMYFUNCTION("""COMPUTED_VALUE"""),3.0)</f>
        <v>3</v>
      </c>
      <c r="H122" s="10">
        <f>IFERROR(__xludf.DUMMYFUNCTION("""COMPUTED_VALUE"""),2.0)</f>
        <v>2</v>
      </c>
      <c r="I122" s="11">
        <f>IFERROR(__xludf.DUMMYFUNCTION("""COMPUTED_VALUE"""),277.0)</f>
        <v>277</v>
      </c>
      <c r="J122" s="9" t="str">
        <f>IFERROR(__xludf.DUMMYFUNCTION("""COMPUTED_VALUE"""),"France")</f>
        <v>France</v>
      </c>
      <c r="K122" s="8"/>
      <c r="L122" s="12"/>
      <c r="M122" s="13"/>
      <c r="N122" s="13" t="str">
        <f>IFERROR(__xludf.DUMMYFUNCTION("IF(ISBLANK(M122),"""",M122*GOOGLEFINANCE(""USDGBP""))"),"")</f>
        <v/>
      </c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</row>
    <row r="123">
      <c r="A123" s="8" t="str">
        <f>IFERROR(__xludf.DUMMYFUNCTION("""COMPUTED_VALUE"""),"148548620190700750")</f>
        <v>148548620190700750</v>
      </c>
      <c r="B123" s="9" t="str">
        <f>IFERROR(__xludf.DUMMYFUNCTION("""COMPUTED_VALUE"""),"France")</f>
        <v>France</v>
      </c>
      <c r="C123" s="9" t="str">
        <f>IFERROR(__xludf.DUMMYFUNCTION("""COMPUTED_VALUE"""),"burgundy")</f>
        <v>burgundy</v>
      </c>
      <c r="D123" s="9" t="str">
        <f>IFERROR(__xludf.DUMMYFUNCTION("""COMPUTED_VALUE"""),"Olivier Bernstein, Grand Cru, Assortment Case")</f>
        <v>Olivier Bernstein, Grand Cru, Assortment Case</v>
      </c>
      <c r="E123" s="9">
        <f>IFERROR(__xludf.DUMMYFUNCTION("""COMPUTED_VALUE"""),2019.0)</f>
        <v>2019</v>
      </c>
      <c r="F123" s="9">
        <f>IFERROR(__xludf.DUMMYFUNCTION("""COMPUTED_VALUE"""),750.0)</f>
        <v>750</v>
      </c>
      <c r="G123" s="9">
        <f>IFERROR(__xludf.DUMMYFUNCTION("""COMPUTED_VALUE"""),7.0)</f>
        <v>7</v>
      </c>
      <c r="H123" s="10">
        <f>IFERROR(__xludf.DUMMYFUNCTION("""COMPUTED_VALUE"""),3.0)</f>
        <v>3</v>
      </c>
      <c r="I123" s="11">
        <f>IFERROR(__xludf.DUMMYFUNCTION("""COMPUTED_VALUE"""),6399.0)</f>
        <v>6399</v>
      </c>
      <c r="J123" s="9" t="str">
        <f>IFERROR(__xludf.DUMMYFUNCTION("""COMPUTED_VALUE"""),"France")</f>
        <v>France</v>
      </c>
      <c r="K123" s="8"/>
      <c r="L123" s="12"/>
      <c r="M123" s="13"/>
      <c r="N123" s="13" t="str">
        <f>IFERROR(__xludf.DUMMYFUNCTION("IF(ISBLANK(M123),"""",M123*GOOGLEFINANCE(""USDGBP""))"),"")</f>
        <v/>
      </c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</row>
    <row r="124">
      <c r="A124" s="8" t="str">
        <f>IFERROR(__xludf.DUMMYFUNCTION("""COMPUTED_VALUE"""),"103001920201200750")</f>
        <v>103001920201200750</v>
      </c>
      <c r="B124" s="9" t="str">
        <f>IFERROR(__xludf.DUMMYFUNCTION("""COMPUTED_VALUE"""),"France")</f>
        <v>France</v>
      </c>
      <c r="C124" s="9" t="str">
        <f>IFERROR(__xludf.DUMMYFUNCTION("""COMPUTED_VALUE"""),"burgundy")</f>
        <v>burgundy</v>
      </c>
      <c r="D124" s="9" t="str">
        <f>IFERROR(__xludf.DUMMYFUNCTION("""COMPUTED_VALUE"""),"Claude Dugat, Gevrey-Chambertin")</f>
        <v>Claude Dugat, Gevrey-Chambertin</v>
      </c>
      <c r="E124" s="9">
        <f>IFERROR(__xludf.DUMMYFUNCTION("""COMPUTED_VALUE"""),2020.0)</f>
        <v>2020</v>
      </c>
      <c r="F124" s="9">
        <f>IFERROR(__xludf.DUMMYFUNCTION("""COMPUTED_VALUE"""),750.0)</f>
        <v>750</v>
      </c>
      <c r="G124" s="9">
        <f>IFERROR(__xludf.DUMMYFUNCTION("""COMPUTED_VALUE"""),12.0)</f>
        <v>12</v>
      </c>
      <c r="H124" s="10">
        <f>IFERROR(__xludf.DUMMYFUNCTION("""COMPUTED_VALUE"""),3.0)</f>
        <v>3</v>
      </c>
      <c r="I124" s="11">
        <f>IFERROR(__xludf.DUMMYFUNCTION("""COMPUTED_VALUE"""),1034.0)</f>
        <v>1034</v>
      </c>
      <c r="J124" s="9" t="str">
        <f>IFERROR(__xludf.DUMMYFUNCTION("""COMPUTED_VALUE"""),"France")</f>
        <v>France</v>
      </c>
      <c r="K124" s="8"/>
      <c r="L124" s="12"/>
      <c r="M124" s="13"/>
      <c r="N124" s="13" t="str">
        <f>IFERROR(__xludf.DUMMYFUNCTION("IF(ISBLANK(M124),"""",M124*GOOGLEFINANCE(""USDGBP""))"),"")</f>
        <v/>
      </c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</row>
    <row r="125">
      <c r="A125" s="8" t="str">
        <f>IFERROR(__xludf.DUMMYFUNCTION("""COMPUTED_VALUE"""),"102652420140300750")</f>
        <v>102652420140300750</v>
      </c>
      <c r="B125" s="9" t="str">
        <f>IFERROR(__xludf.DUMMYFUNCTION("""COMPUTED_VALUE"""),"France")</f>
        <v>France</v>
      </c>
      <c r="C125" s="9" t="str">
        <f>IFERROR(__xludf.DUMMYFUNCTION("""COMPUTED_VALUE"""),"burgundy")</f>
        <v>burgundy</v>
      </c>
      <c r="D125" s="9" t="str">
        <f>IFERROR(__xludf.DUMMYFUNCTION("""COMPUTED_VALUE"""),"Comte Armand, Pommard Premier Cru, Clos des Epeneaux")</f>
        <v>Comte Armand, Pommard Premier Cru, Clos des Epeneaux</v>
      </c>
      <c r="E125" s="9">
        <f>IFERROR(__xludf.DUMMYFUNCTION("""COMPUTED_VALUE"""),2014.0)</f>
        <v>2014</v>
      </c>
      <c r="F125" s="9">
        <f>IFERROR(__xludf.DUMMYFUNCTION("""COMPUTED_VALUE"""),750.0)</f>
        <v>750</v>
      </c>
      <c r="G125" s="9">
        <f>IFERROR(__xludf.DUMMYFUNCTION("""COMPUTED_VALUE"""),3.0)</f>
        <v>3</v>
      </c>
      <c r="H125" s="10">
        <f>IFERROR(__xludf.DUMMYFUNCTION("""COMPUTED_VALUE"""),1.0)</f>
        <v>1</v>
      </c>
      <c r="I125" s="11">
        <f>IFERROR(__xludf.DUMMYFUNCTION("""COMPUTED_VALUE"""),272.0)</f>
        <v>272</v>
      </c>
      <c r="J125" s="9" t="str">
        <f>IFERROR(__xludf.DUMMYFUNCTION("""COMPUTED_VALUE"""),"France")</f>
        <v>France</v>
      </c>
      <c r="K125" s="8"/>
      <c r="L125" s="12"/>
      <c r="M125" s="13"/>
      <c r="N125" s="13" t="str">
        <f>IFERROR(__xludf.DUMMYFUNCTION("IF(ISBLANK(M125),"""",M125*GOOGLEFINANCE(""USDGBP""))"),"")</f>
        <v/>
      </c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</row>
    <row r="126">
      <c r="A126" s="8" t="str">
        <f>IFERROR(__xludf.DUMMYFUNCTION("""COMPUTED_VALUE"""),"101845120190600750")</f>
        <v>101845120190600750</v>
      </c>
      <c r="B126" s="9" t="str">
        <f>IFERROR(__xludf.DUMMYFUNCTION("""COMPUTED_VALUE"""),"France")</f>
        <v>France</v>
      </c>
      <c r="C126" s="9" t="str">
        <f>IFERROR(__xludf.DUMMYFUNCTION("""COMPUTED_VALUE"""),"burgundy")</f>
        <v>burgundy</v>
      </c>
      <c r="D126" s="9" t="str">
        <f>IFERROR(__xludf.DUMMYFUNCTION("""COMPUTED_VALUE"""),"Domaine Arlaud, Charmes-Chambertin Grand Cru")</f>
        <v>Domaine Arlaud, Charmes-Chambertin Grand Cru</v>
      </c>
      <c r="E126" s="9">
        <f>IFERROR(__xludf.DUMMYFUNCTION("""COMPUTED_VALUE"""),2019.0)</f>
        <v>2019</v>
      </c>
      <c r="F126" s="9">
        <f>IFERROR(__xludf.DUMMYFUNCTION("""COMPUTED_VALUE"""),750.0)</f>
        <v>750</v>
      </c>
      <c r="G126" s="9">
        <f>IFERROR(__xludf.DUMMYFUNCTION("""COMPUTED_VALUE"""),6.0)</f>
        <v>6</v>
      </c>
      <c r="H126" s="10">
        <f>IFERROR(__xludf.DUMMYFUNCTION("""COMPUTED_VALUE"""),3.0)</f>
        <v>3</v>
      </c>
      <c r="I126" s="11">
        <f>IFERROR(__xludf.DUMMYFUNCTION("""COMPUTED_VALUE"""),1085.0)</f>
        <v>1085</v>
      </c>
      <c r="J126" s="9" t="str">
        <f>IFERROR(__xludf.DUMMYFUNCTION("""COMPUTED_VALUE"""),"France")</f>
        <v>France</v>
      </c>
      <c r="K126" s="8"/>
      <c r="L126" s="12"/>
      <c r="M126" s="13"/>
      <c r="N126" s="13" t="str">
        <f>IFERROR(__xludf.DUMMYFUNCTION("IF(ISBLANK(M126),"""",M126*GOOGLEFINANCE(""USDGBP""))"),"")</f>
        <v/>
      </c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</row>
    <row r="127">
      <c r="A127" s="8" t="str">
        <f>IFERROR(__xludf.DUMMYFUNCTION("""COMPUTED_VALUE"""),"102168820200600750")</f>
        <v>102168820200600750</v>
      </c>
      <c r="B127" s="9" t="str">
        <f>IFERROR(__xludf.DUMMYFUNCTION("""COMPUTED_VALUE"""),"France")</f>
        <v>France</v>
      </c>
      <c r="C127" s="9" t="str">
        <f>IFERROR(__xludf.DUMMYFUNCTION("""COMPUTED_VALUE"""),"burgundy")</f>
        <v>burgundy</v>
      </c>
      <c r="D127" s="9" t="str">
        <f>IFERROR(__xludf.DUMMYFUNCTION("""COMPUTED_VALUE"""),"Domaine Bouchard Pere et Fils, Clos de Vougeot Grand Cru")</f>
        <v>Domaine Bouchard Pere et Fils, Clos de Vougeot Grand Cru</v>
      </c>
      <c r="E127" s="9">
        <f>IFERROR(__xludf.DUMMYFUNCTION("""COMPUTED_VALUE"""),2020.0)</f>
        <v>2020</v>
      </c>
      <c r="F127" s="9">
        <f>IFERROR(__xludf.DUMMYFUNCTION("""COMPUTED_VALUE"""),750.0)</f>
        <v>750</v>
      </c>
      <c r="G127" s="9">
        <f>IFERROR(__xludf.DUMMYFUNCTION("""COMPUTED_VALUE"""),6.0)</f>
        <v>6</v>
      </c>
      <c r="H127" s="10">
        <f>IFERROR(__xludf.DUMMYFUNCTION("""COMPUTED_VALUE"""),1.0)</f>
        <v>1</v>
      </c>
      <c r="I127" s="11">
        <f>IFERROR(__xludf.DUMMYFUNCTION("""COMPUTED_VALUE"""),1265.0)</f>
        <v>1265</v>
      </c>
      <c r="J127" s="9" t="str">
        <f>IFERROR(__xludf.DUMMYFUNCTION("""COMPUTED_VALUE"""),"France")</f>
        <v>France</v>
      </c>
      <c r="K127" s="8"/>
      <c r="L127" s="12"/>
      <c r="M127" s="13"/>
      <c r="N127" s="13" t="str">
        <f>IFERROR(__xludf.DUMMYFUNCTION("IF(ISBLANK(M127),"""",M127*GOOGLEFINANCE(""USDGBP""))"),"")</f>
        <v/>
      </c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</row>
    <row r="128">
      <c r="A128" s="8" t="str">
        <f>IFERROR(__xludf.DUMMYFUNCTION("""COMPUTED_VALUE"""),"102708420170600750")</f>
        <v>102708420170600750</v>
      </c>
      <c r="B128" s="9" t="str">
        <f>IFERROR(__xludf.DUMMYFUNCTION("""COMPUTED_VALUE"""),"France")</f>
        <v>France</v>
      </c>
      <c r="C128" s="9" t="str">
        <f>IFERROR(__xludf.DUMMYFUNCTION("""COMPUTED_VALUE"""),"burgundy")</f>
        <v>burgundy</v>
      </c>
      <c r="D128" s="9" t="str">
        <f>IFERROR(__xludf.DUMMYFUNCTION("""COMPUTED_VALUE"""),"Domaine Confuron Cotetidot, Echezeaux Grand Cru")</f>
        <v>Domaine Confuron Cotetidot, Echezeaux Grand Cru</v>
      </c>
      <c r="E128" s="9">
        <f>IFERROR(__xludf.DUMMYFUNCTION("""COMPUTED_VALUE"""),2017.0)</f>
        <v>2017</v>
      </c>
      <c r="F128" s="9">
        <f>IFERROR(__xludf.DUMMYFUNCTION("""COMPUTED_VALUE"""),750.0)</f>
        <v>750</v>
      </c>
      <c r="G128" s="9">
        <f>IFERROR(__xludf.DUMMYFUNCTION("""COMPUTED_VALUE"""),6.0)</f>
        <v>6</v>
      </c>
      <c r="H128" s="10">
        <f>IFERROR(__xludf.DUMMYFUNCTION("""COMPUTED_VALUE"""),1.0)</f>
        <v>1</v>
      </c>
      <c r="I128" s="11">
        <f>IFERROR(__xludf.DUMMYFUNCTION("""COMPUTED_VALUE"""),1005.0)</f>
        <v>1005</v>
      </c>
      <c r="J128" s="9" t="str">
        <f>IFERROR(__xludf.DUMMYFUNCTION("""COMPUTED_VALUE"""),"France")</f>
        <v>France</v>
      </c>
      <c r="K128" s="8"/>
      <c r="L128" s="12"/>
      <c r="M128" s="13"/>
      <c r="N128" s="13" t="str">
        <f>IFERROR(__xludf.DUMMYFUNCTION("IF(ISBLANK(M128),"""",M128*GOOGLEFINANCE(""USDGBP""))"),"")</f>
        <v/>
      </c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</row>
    <row r="129">
      <c r="A129" s="8" t="str">
        <f>IFERROR(__xludf.DUMMYFUNCTION("""COMPUTED_VALUE"""),"102950920200600750")</f>
        <v>102950920200600750</v>
      </c>
      <c r="B129" s="9" t="str">
        <f>IFERROR(__xludf.DUMMYFUNCTION("""COMPUTED_VALUE"""),"France")</f>
        <v>France</v>
      </c>
      <c r="C129" s="9" t="str">
        <f>IFERROR(__xludf.DUMMYFUNCTION("""COMPUTED_VALUE"""),"burgundy")</f>
        <v>burgundy</v>
      </c>
      <c r="D129" s="9" t="str">
        <f>IFERROR(__xludf.DUMMYFUNCTION("""COMPUTED_VALUE"""),"Domaine Drouhin Laroze, Chambertin-Clos de Beze Grand Cru")</f>
        <v>Domaine Drouhin Laroze, Chambertin-Clos de Beze Grand Cru</v>
      </c>
      <c r="E129" s="9">
        <f>IFERROR(__xludf.DUMMYFUNCTION("""COMPUTED_VALUE"""),2020.0)</f>
        <v>2020</v>
      </c>
      <c r="F129" s="9">
        <f>IFERROR(__xludf.DUMMYFUNCTION("""COMPUTED_VALUE"""),750.0)</f>
        <v>750</v>
      </c>
      <c r="G129" s="9">
        <f>IFERROR(__xludf.DUMMYFUNCTION("""COMPUTED_VALUE"""),6.0)</f>
        <v>6</v>
      </c>
      <c r="H129" s="10">
        <f>IFERROR(__xludf.DUMMYFUNCTION("""COMPUTED_VALUE"""),1.0)</f>
        <v>1</v>
      </c>
      <c r="I129" s="11">
        <f>IFERROR(__xludf.DUMMYFUNCTION("""COMPUTED_VALUE"""),1147.0)</f>
        <v>1147</v>
      </c>
      <c r="J129" s="9" t="str">
        <f>IFERROR(__xludf.DUMMYFUNCTION("""COMPUTED_VALUE"""),"France")</f>
        <v>France</v>
      </c>
      <c r="K129" s="8"/>
      <c r="L129" s="12"/>
      <c r="M129" s="13"/>
      <c r="N129" s="13" t="str">
        <f>IFERROR(__xludf.DUMMYFUNCTION("IF(ISBLANK(M129),"""",M129*GOOGLEFINANCE(""USDGBP""))"),"")</f>
        <v/>
      </c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</row>
    <row r="130">
      <c r="A130" s="8" t="str">
        <f>IFERROR(__xludf.DUMMYFUNCTION("""COMPUTED_VALUE"""),"154320920200600750")</f>
        <v>154320920200600750</v>
      </c>
      <c r="B130" s="9" t="str">
        <f>IFERROR(__xludf.DUMMYFUNCTION("""COMPUTED_VALUE"""),"France")</f>
        <v>France</v>
      </c>
      <c r="C130" s="9" t="str">
        <f>IFERROR(__xludf.DUMMYFUNCTION("""COMPUTED_VALUE"""),"burgundy")</f>
        <v>burgundy</v>
      </c>
      <c r="D130" s="9" t="str">
        <f>IFERROR(__xludf.DUMMYFUNCTION("""COMPUTED_VALUE"""),"Domaine Faiveley, Charmes-Chambertin Grand Cru")</f>
        <v>Domaine Faiveley, Charmes-Chambertin Grand Cru</v>
      </c>
      <c r="E130" s="9">
        <f>IFERROR(__xludf.DUMMYFUNCTION("""COMPUTED_VALUE"""),2020.0)</f>
        <v>2020</v>
      </c>
      <c r="F130" s="9">
        <f>IFERROR(__xludf.DUMMYFUNCTION("""COMPUTED_VALUE"""),750.0)</f>
        <v>750</v>
      </c>
      <c r="G130" s="9">
        <f>IFERROR(__xludf.DUMMYFUNCTION("""COMPUTED_VALUE"""),6.0)</f>
        <v>6</v>
      </c>
      <c r="H130" s="10">
        <f>IFERROR(__xludf.DUMMYFUNCTION("""COMPUTED_VALUE"""),1.0)</f>
        <v>1</v>
      </c>
      <c r="I130" s="11">
        <f>IFERROR(__xludf.DUMMYFUNCTION("""COMPUTED_VALUE"""),1086.0)</f>
        <v>1086</v>
      </c>
      <c r="J130" s="9" t="str">
        <f>IFERROR(__xludf.DUMMYFUNCTION("""COMPUTED_VALUE"""),"France")</f>
        <v>France</v>
      </c>
      <c r="K130" s="8"/>
      <c r="L130" s="12"/>
      <c r="M130" s="13"/>
      <c r="N130" s="13" t="str">
        <f>IFERROR(__xludf.DUMMYFUNCTION("IF(ISBLANK(M130),"""",M130*GOOGLEFINANCE(""USDGBP""))"),"")</f>
        <v/>
      </c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</row>
    <row r="131">
      <c r="A131" s="8" t="str">
        <f>IFERROR(__xludf.DUMMYFUNCTION("""COMPUTED_VALUE"""),"115691320170600750")</f>
        <v>115691320170600750</v>
      </c>
      <c r="B131" s="9" t="str">
        <f>IFERROR(__xludf.DUMMYFUNCTION("""COMPUTED_VALUE"""),"France")</f>
        <v>France</v>
      </c>
      <c r="C131" s="9" t="str">
        <f>IFERROR(__xludf.DUMMYFUNCTION("""COMPUTED_VALUE"""),"burgundy")</f>
        <v>burgundy</v>
      </c>
      <c r="D131" s="9" t="str">
        <f>IFERROR(__xludf.DUMMYFUNCTION("""COMPUTED_VALUE"""),"Domaine Faiveley, Nuits-Saint-Georges Premier Cru, Les Porrets-Saint-Georges")</f>
        <v>Domaine Faiveley, Nuits-Saint-Georges Premier Cru, Les Porrets-Saint-Georges</v>
      </c>
      <c r="E131" s="9">
        <f>IFERROR(__xludf.DUMMYFUNCTION("""COMPUTED_VALUE"""),2017.0)</f>
        <v>2017</v>
      </c>
      <c r="F131" s="9">
        <f>IFERROR(__xludf.DUMMYFUNCTION("""COMPUTED_VALUE"""),750.0)</f>
        <v>750</v>
      </c>
      <c r="G131" s="9">
        <f>IFERROR(__xludf.DUMMYFUNCTION("""COMPUTED_VALUE"""),6.0)</f>
        <v>6</v>
      </c>
      <c r="H131" s="10">
        <f>IFERROR(__xludf.DUMMYFUNCTION("""COMPUTED_VALUE"""),1.0)</f>
        <v>1</v>
      </c>
      <c r="I131" s="11">
        <f>IFERROR(__xludf.DUMMYFUNCTION("""COMPUTED_VALUE"""),409.0)</f>
        <v>409</v>
      </c>
      <c r="J131" s="9" t="str">
        <f>IFERROR(__xludf.DUMMYFUNCTION("""COMPUTED_VALUE"""),"France")</f>
        <v>France</v>
      </c>
      <c r="K131" s="8"/>
      <c r="L131" s="12"/>
      <c r="M131" s="13"/>
      <c r="N131" s="13" t="str">
        <f>IFERROR(__xludf.DUMMYFUNCTION("IF(ISBLANK(M131),"""",M131*GOOGLEFINANCE(""USDGBP""))"),"")</f>
        <v/>
      </c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</row>
    <row r="132">
      <c r="A132" s="8" t="str">
        <f>IFERROR(__xludf.DUMMYFUNCTION("""COMPUTED_VALUE"""),"117423820170600750")</f>
        <v>117423820170600750</v>
      </c>
      <c r="B132" s="9" t="str">
        <f>IFERROR(__xludf.DUMMYFUNCTION("""COMPUTED_VALUE"""),"France")</f>
        <v>France</v>
      </c>
      <c r="C132" s="9" t="str">
        <f>IFERROR(__xludf.DUMMYFUNCTION("""COMPUTED_VALUE"""),"burgundy")</f>
        <v>burgundy</v>
      </c>
      <c r="D132" s="9" t="str">
        <f>IFERROR(__xludf.DUMMYFUNCTION("""COMPUTED_VALUE"""),"Domaine Francois Bertheau, Bonnes Mares Grand Cru")</f>
        <v>Domaine Francois Bertheau, Bonnes Mares Grand Cru</v>
      </c>
      <c r="E132" s="9">
        <f>IFERROR(__xludf.DUMMYFUNCTION("""COMPUTED_VALUE"""),2017.0)</f>
        <v>2017</v>
      </c>
      <c r="F132" s="9">
        <f>IFERROR(__xludf.DUMMYFUNCTION("""COMPUTED_VALUE"""),750.0)</f>
        <v>750</v>
      </c>
      <c r="G132" s="9">
        <f>IFERROR(__xludf.DUMMYFUNCTION("""COMPUTED_VALUE"""),6.0)</f>
        <v>6</v>
      </c>
      <c r="H132" s="10">
        <f>IFERROR(__xludf.DUMMYFUNCTION("""COMPUTED_VALUE"""),1.0)</f>
        <v>1</v>
      </c>
      <c r="I132" s="11">
        <f>IFERROR(__xludf.DUMMYFUNCTION("""COMPUTED_VALUE"""),2055.0)</f>
        <v>2055</v>
      </c>
      <c r="J132" s="9" t="str">
        <f>IFERROR(__xludf.DUMMYFUNCTION("""COMPUTED_VALUE"""),"France")</f>
        <v>France</v>
      </c>
      <c r="K132" s="8"/>
      <c r="L132" s="12"/>
      <c r="M132" s="13"/>
      <c r="N132" s="13" t="str">
        <f>IFERROR(__xludf.DUMMYFUNCTION("IF(ISBLANK(M132),"""",M132*GOOGLEFINANCE(""USDGBP""))"),"")</f>
        <v/>
      </c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</row>
    <row r="133">
      <c r="A133" s="8" t="str">
        <f>IFERROR(__xludf.DUMMYFUNCTION("""COMPUTED_VALUE"""),"103567820201200750")</f>
        <v>103567820201200750</v>
      </c>
      <c r="B133" s="9" t="str">
        <f>IFERROR(__xludf.DUMMYFUNCTION("""COMPUTED_VALUE"""),"France")</f>
        <v>France</v>
      </c>
      <c r="C133" s="9" t="str">
        <f>IFERROR(__xludf.DUMMYFUNCTION("""COMPUTED_VALUE"""),"burgundy")</f>
        <v>burgundy</v>
      </c>
      <c r="D133" s="9" t="str">
        <f>IFERROR(__xludf.DUMMYFUNCTION("""COMPUTED_VALUE"""),"Domaine Jean Grivot, Nuits-Saint-Georges Premier Cru, Les Pruliers")</f>
        <v>Domaine Jean Grivot, Nuits-Saint-Georges Premier Cru, Les Pruliers</v>
      </c>
      <c r="E133" s="9">
        <f>IFERROR(__xludf.DUMMYFUNCTION("""COMPUTED_VALUE"""),2020.0)</f>
        <v>2020</v>
      </c>
      <c r="F133" s="9">
        <f>IFERROR(__xludf.DUMMYFUNCTION("""COMPUTED_VALUE"""),750.0)</f>
        <v>750</v>
      </c>
      <c r="G133" s="9">
        <f>IFERROR(__xludf.DUMMYFUNCTION("""COMPUTED_VALUE"""),12.0)</f>
        <v>12</v>
      </c>
      <c r="H133" s="10">
        <f>IFERROR(__xludf.DUMMYFUNCTION("""COMPUTED_VALUE"""),1.0)</f>
        <v>1</v>
      </c>
      <c r="I133" s="11">
        <f>IFERROR(__xludf.DUMMYFUNCTION("""COMPUTED_VALUE"""),1504.0)</f>
        <v>1504</v>
      </c>
      <c r="J133" s="9" t="str">
        <f>IFERROR(__xludf.DUMMYFUNCTION("""COMPUTED_VALUE"""),"France")</f>
        <v>France</v>
      </c>
      <c r="K133" s="8"/>
      <c r="L133" s="12"/>
      <c r="M133" s="13"/>
      <c r="N133" s="13" t="str">
        <f>IFERROR(__xludf.DUMMYFUNCTION("IF(ISBLANK(M133),"""",M133*GOOGLEFINANCE(""USDGBP""))"),"")</f>
        <v/>
      </c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</row>
    <row r="134">
      <c r="A134" s="8" t="str">
        <f>IFERROR(__xludf.DUMMYFUNCTION("""COMPUTED_VALUE"""),"136938020200300750")</f>
        <v>136938020200300750</v>
      </c>
      <c r="B134" s="9" t="str">
        <f>IFERROR(__xludf.DUMMYFUNCTION("""COMPUTED_VALUE"""),"France")</f>
        <v>France</v>
      </c>
      <c r="C134" s="9" t="str">
        <f>IFERROR(__xludf.DUMMYFUNCTION("""COMPUTED_VALUE"""),"burgundy")</f>
        <v>burgundy</v>
      </c>
      <c r="D134" s="9" t="str">
        <f>IFERROR(__xludf.DUMMYFUNCTION("""COMPUTED_VALUE"""),"Domaine Jean-Pierre Guyon, Clos de Vougeot Grand Cru")</f>
        <v>Domaine Jean-Pierre Guyon, Clos de Vougeot Grand Cru</v>
      </c>
      <c r="E134" s="9">
        <f>IFERROR(__xludf.DUMMYFUNCTION("""COMPUTED_VALUE"""),2020.0)</f>
        <v>2020</v>
      </c>
      <c r="F134" s="9">
        <f>IFERROR(__xludf.DUMMYFUNCTION("""COMPUTED_VALUE"""),750.0)</f>
        <v>750</v>
      </c>
      <c r="G134" s="9">
        <f>IFERROR(__xludf.DUMMYFUNCTION("""COMPUTED_VALUE"""),3.0)</f>
        <v>3</v>
      </c>
      <c r="H134" s="10">
        <f>IFERROR(__xludf.DUMMYFUNCTION("""COMPUTED_VALUE"""),1.0)</f>
        <v>1</v>
      </c>
      <c r="I134" s="11">
        <f>IFERROR(__xludf.DUMMYFUNCTION("""COMPUTED_VALUE"""),1687.0)</f>
        <v>1687</v>
      </c>
      <c r="J134" s="9" t="str">
        <f>IFERROR(__xludf.DUMMYFUNCTION("""COMPUTED_VALUE"""),"France")</f>
        <v>France</v>
      </c>
      <c r="K134" s="8"/>
      <c r="L134" s="12"/>
      <c r="M134" s="13"/>
      <c r="N134" s="13" t="str">
        <f>IFERROR(__xludf.DUMMYFUNCTION("IF(ISBLANK(M134),"""",M134*GOOGLEFINANCE(""USDGBP""))"),"")</f>
        <v/>
      </c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</row>
    <row r="135">
      <c r="A135" s="8" t="str">
        <f>IFERROR(__xludf.DUMMYFUNCTION("""COMPUTED_VALUE"""),"136938020210300750")</f>
        <v>136938020210300750</v>
      </c>
      <c r="B135" s="9" t="str">
        <f>IFERROR(__xludf.DUMMYFUNCTION("""COMPUTED_VALUE"""),"France")</f>
        <v>France</v>
      </c>
      <c r="C135" s="9" t="str">
        <f>IFERROR(__xludf.DUMMYFUNCTION("""COMPUTED_VALUE"""),"burgundy")</f>
        <v>burgundy</v>
      </c>
      <c r="D135" s="9" t="str">
        <f>IFERROR(__xludf.DUMMYFUNCTION("""COMPUTED_VALUE"""),"Domaine Jean-Pierre Guyon, Clos de Vougeot Grand Cru")</f>
        <v>Domaine Jean-Pierre Guyon, Clos de Vougeot Grand Cru</v>
      </c>
      <c r="E135" s="9">
        <f>IFERROR(__xludf.DUMMYFUNCTION("""COMPUTED_VALUE"""),2021.0)</f>
        <v>2021</v>
      </c>
      <c r="F135" s="9">
        <f>IFERROR(__xludf.DUMMYFUNCTION("""COMPUTED_VALUE"""),750.0)</f>
        <v>750</v>
      </c>
      <c r="G135" s="9">
        <f>IFERROR(__xludf.DUMMYFUNCTION("""COMPUTED_VALUE"""),3.0)</f>
        <v>3</v>
      </c>
      <c r="H135" s="10">
        <f>IFERROR(__xludf.DUMMYFUNCTION("""COMPUTED_VALUE"""),1.0)</f>
        <v>1</v>
      </c>
      <c r="I135" s="11">
        <f>IFERROR(__xludf.DUMMYFUNCTION("""COMPUTED_VALUE"""),1696.0)</f>
        <v>1696</v>
      </c>
      <c r="J135" s="9" t="str">
        <f>IFERROR(__xludf.DUMMYFUNCTION("""COMPUTED_VALUE"""),"France")</f>
        <v>France</v>
      </c>
      <c r="K135" s="8"/>
      <c r="L135" s="12"/>
      <c r="M135" s="13"/>
      <c r="N135" s="13" t="str">
        <f>IFERROR(__xludf.DUMMYFUNCTION("IF(ISBLANK(M135),"""",M135*GOOGLEFINANCE(""USDGBP""))"),"")</f>
        <v/>
      </c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</row>
    <row r="136">
      <c r="A136" s="8" t="str">
        <f>IFERROR(__xludf.DUMMYFUNCTION("""COMPUTED_VALUE"""),"103785820190300750")</f>
        <v>103785820190300750</v>
      </c>
      <c r="B136" s="9" t="str">
        <f>IFERROR(__xludf.DUMMYFUNCTION("""COMPUTED_VALUE"""),"France")</f>
        <v>France</v>
      </c>
      <c r="C136" s="9" t="str">
        <f>IFERROR(__xludf.DUMMYFUNCTION("""COMPUTED_VALUE"""),"burgundy")</f>
        <v>burgundy</v>
      </c>
      <c r="D136" s="9" t="str">
        <f>IFERROR(__xludf.DUMMYFUNCTION("""COMPUTED_VALUE"""),"Domaine Louis Jadot, Bonnes Mares Grand Cru")</f>
        <v>Domaine Louis Jadot, Bonnes Mares Grand Cru</v>
      </c>
      <c r="E136" s="9">
        <f>IFERROR(__xludf.DUMMYFUNCTION("""COMPUTED_VALUE"""),2019.0)</f>
        <v>2019</v>
      </c>
      <c r="F136" s="9">
        <f>IFERROR(__xludf.DUMMYFUNCTION("""COMPUTED_VALUE"""),750.0)</f>
        <v>750</v>
      </c>
      <c r="G136" s="9">
        <f>IFERROR(__xludf.DUMMYFUNCTION("""COMPUTED_VALUE"""),3.0)</f>
        <v>3</v>
      </c>
      <c r="H136" s="10">
        <f>IFERROR(__xludf.DUMMYFUNCTION("""COMPUTED_VALUE"""),1.0)</f>
        <v>1</v>
      </c>
      <c r="I136" s="11">
        <f>IFERROR(__xludf.DUMMYFUNCTION("""COMPUTED_VALUE"""),985.0)</f>
        <v>985</v>
      </c>
      <c r="J136" s="9" t="str">
        <f>IFERROR(__xludf.DUMMYFUNCTION("""COMPUTED_VALUE"""),"France")</f>
        <v>France</v>
      </c>
      <c r="K136" s="8"/>
      <c r="L136" s="12"/>
      <c r="M136" s="13"/>
      <c r="N136" s="13" t="str">
        <f>IFERROR(__xludf.DUMMYFUNCTION("IF(ISBLANK(M136),"""",M136*GOOGLEFINANCE(""USDGBP""))"),"")</f>
        <v/>
      </c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</row>
    <row r="137">
      <c r="A137" s="8" t="str">
        <f>IFERROR(__xludf.DUMMYFUNCTION("""COMPUTED_VALUE"""),"103797520170600750")</f>
        <v>103797520170600750</v>
      </c>
      <c r="B137" s="9" t="str">
        <f>IFERROR(__xludf.DUMMYFUNCTION("""COMPUTED_VALUE"""),"France")</f>
        <v>France</v>
      </c>
      <c r="C137" s="9" t="str">
        <f>IFERROR(__xludf.DUMMYFUNCTION("""COMPUTED_VALUE"""),"burgundy")</f>
        <v>burgundy</v>
      </c>
      <c r="D137" s="9" t="str">
        <f>IFERROR(__xludf.DUMMYFUNCTION("""COMPUTED_VALUE"""),"Domaine Louis Jadot, Chambolle-Musigny Premier Cru, Les Fuees")</f>
        <v>Domaine Louis Jadot, Chambolle-Musigny Premier Cru, Les Fuees</v>
      </c>
      <c r="E137" s="9">
        <f>IFERROR(__xludf.DUMMYFUNCTION("""COMPUTED_VALUE"""),2017.0)</f>
        <v>2017</v>
      </c>
      <c r="F137" s="9">
        <f>IFERROR(__xludf.DUMMYFUNCTION("""COMPUTED_VALUE"""),750.0)</f>
        <v>750</v>
      </c>
      <c r="G137" s="9">
        <f>IFERROR(__xludf.DUMMYFUNCTION("""COMPUTED_VALUE"""),6.0)</f>
        <v>6</v>
      </c>
      <c r="H137" s="10">
        <f>IFERROR(__xludf.DUMMYFUNCTION("""COMPUTED_VALUE"""),1.0)</f>
        <v>1</v>
      </c>
      <c r="I137" s="11">
        <f>IFERROR(__xludf.DUMMYFUNCTION("""COMPUTED_VALUE"""),504.0)</f>
        <v>504</v>
      </c>
      <c r="J137" s="9" t="str">
        <f>IFERROR(__xludf.DUMMYFUNCTION("""COMPUTED_VALUE"""),"France")</f>
        <v>France</v>
      </c>
      <c r="K137" s="8"/>
      <c r="L137" s="12"/>
      <c r="M137" s="13"/>
      <c r="N137" s="13" t="str">
        <f>IFERROR(__xludf.DUMMYFUNCTION("IF(ISBLANK(M137),"""",M137*GOOGLEFINANCE(""USDGBP""))"),"")</f>
        <v/>
      </c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</row>
    <row r="138">
      <c r="A138" s="8" t="str">
        <f>IFERROR(__xludf.DUMMYFUNCTION("""COMPUTED_VALUE"""),"104075320160600750")</f>
        <v>104075320160600750</v>
      </c>
      <c r="B138" s="9" t="str">
        <f>IFERROR(__xludf.DUMMYFUNCTION("""COMPUTED_VALUE"""),"France")</f>
        <v>France</v>
      </c>
      <c r="C138" s="9" t="str">
        <f>IFERROR(__xludf.DUMMYFUNCTION("""COMPUTED_VALUE"""),"burgundy")</f>
        <v>burgundy</v>
      </c>
      <c r="D138" s="9" t="str">
        <f>IFERROR(__xludf.DUMMYFUNCTION("""COMPUTED_VALUE"""),"Domaine Louis Latour, Corton Grand Cru, Chateau Grancey")</f>
        <v>Domaine Louis Latour, Corton Grand Cru, Chateau Grancey</v>
      </c>
      <c r="E138" s="9">
        <f>IFERROR(__xludf.DUMMYFUNCTION("""COMPUTED_VALUE"""),2016.0)</f>
        <v>2016</v>
      </c>
      <c r="F138" s="9">
        <f>IFERROR(__xludf.DUMMYFUNCTION("""COMPUTED_VALUE"""),750.0)</f>
        <v>750</v>
      </c>
      <c r="G138" s="9">
        <f>IFERROR(__xludf.DUMMYFUNCTION("""COMPUTED_VALUE"""),6.0)</f>
        <v>6</v>
      </c>
      <c r="H138" s="10">
        <f>IFERROR(__xludf.DUMMYFUNCTION("""COMPUTED_VALUE"""),6.0)</f>
        <v>6</v>
      </c>
      <c r="I138" s="11">
        <f>IFERROR(__xludf.DUMMYFUNCTION("""COMPUTED_VALUE"""),519.0)</f>
        <v>519</v>
      </c>
      <c r="J138" s="9" t="str">
        <f>IFERROR(__xludf.DUMMYFUNCTION("""COMPUTED_VALUE"""),"France")</f>
        <v>France</v>
      </c>
      <c r="K138" s="8"/>
      <c r="L138" s="12"/>
      <c r="M138" s="13"/>
      <c r="N138" s="13" t="str">
        <f>IFERROR(__xludf.DUMMYFUNCTION("IF(ISBLANK(M138),"""",M138*GOOGLEFINANCE(""USDGBP""))"),"")</f>
        <v/>
      </c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</row>
    <row r="139">
      <c r="A139" s="8" t="str">
        <f>IFERROR(__xludf.DUMMYFUNCTION("""COMPUTED_VALUE"""),"104075320200600750")</f>
        <v>104075320200600750</v>
      </c>
      <c r="B139" s="9" t="str">
        <f>IFERROR(__xludf.DUMMYFUNCTION("""COMPUTED_VALUE"""),"France")</f>
        <v>France</v>
      </c>
      <c r="C139" s="9" t="str">
        <f>IFERROR(__xludf.DUMMYFUNCTION("""COMPUTED_VALUE"""),"burgundy")</f>
        <v>burgundy</v>
      </c>
      <c r="D139" s="9" t="str">
        <f>IFERROR(__xludf.DUMMYFUNCTION("""COMPUTED_VALUE"""),"Domaine Louis Latour, Corton Grand Cru, Chateau Grancey")</f>
        <v>Domaine Louis Latour, Corton Grand Cru, Chateau Grancey</v>
      </c>
      <c r="E139" s="9">
        <f>IFERROR(__xludf.DUMMYFUNCTION("""COMPUTED_VALUE"""),2020.0)</f>
        <v>2020</v>
      </c>
      <c r="F139" s="9">
        <f>IFERROR(__xludf.DUMMYFUNCTION("""COMPUTED_VALUE"""),750.0)</f>
        <v>750</v>
      </c>
      <c r="G139" s="9">
        <f>IFERROR(__xludf.DUMMYFUNCTION("""COMPUTED_VALUE"""),6.0)</f>
        <v>6</v>
      </c>
      <c r="H139" s="10">
        <f>IFERROR(__xludf.DUMMYFUNCTION("""COMPUTED_VALUE"""),4.0)</f>
        <v>4</v>
      </c>
      <c r="I139" s="11">
        <f>IFERROR(__xludf.DUMMYFUNCTION("""COMPUTED_VALUE"""),504.0)</f>
        <v>504</v>
      </c>
      <c r="J139" s="9" t="str">
        <f>IFERROR(__xludf.DUMMYFUNCTION("""COMPUTED_VALUE"""),"France")</f>
        <v>France</v>
      </c>
      <c r="K139" s="8"/>
      <c r="L139" s="12"/>
      <c r="M139" s="13"/>
      <c r="N139" s="13" t="str">
        <f>IFERROR(__xludf.DUMMYFUNCTION("IF(ISBLANK(M139),"""",M139*GOOGLEFINANCE(""USDGBP""))"),"")</f>
        <v/>
      </c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</row>
    <row r="140">
      <c r="A140" s="8" t="str">
        <f>IFERROR(__xludf.DUMMYFUNCTION("""COMPUTED_VALUE"""),"101835020181200750")</f>
        <v>101835020181200750</v>
      </c>
      <c r="B140" s="9" t="str">
        <f>IFERROR(__xludf.DUMMYFUNCTION("""COMPUTED_VALUE"""),"France")</f>
        <v>France</v>
      </c>
      <c r="C140" s="9" t="str">
        <f>IFERROR(__xludf.DUMMYFUNCTION("""COMPUTED_VALUE"""),"burgundy")</f>
        <v>burgundy</v>
      </c>
      <c r="D140" s="9" t="str">
        <f>IFERROR(__xludf.DUMMYFUNCTION("""COMPUTED_VALUE"""),"Domaine Marquis d'Angerville, Volnay Premier Cru, Champans")</f>
        <v>Domaine Marquis d'Angerville, Volnay Premier Cru, Champans</v>
      </c>
      <c r="E140" s="9">
        <f>IFERROR(__xludf.DUMMYFUNCTION("""COMPUTED_VALUE"""),2018.0)</f>
        <v>2018</v>
      </c>
      <c r="F140" s="9">
        <f>IFERROR(__xludf.DUMMYFUNCTION("""COMPUTED_VALUE"""),750.0)</f>
        <v>750</v>
      </c>
      <c r="G140" s="9">
        <f>IFERROR(__xludf.DUMMYFUNCTION("""COMPUTED_VALUE"""),12.0)</f>
        <v>12</v>
      </c>
      <c r="H140" s="10">
        <f>IFERROR(__xludf.DUMMYFUNCTION("""COMPUTED_VALUE"""),1.0)</f>
        <v>1</v>
      </c>
      <c r="I140" s="11">
        <f>IFERROR(__xludf.DUMMYFUNCTION("""COMPUTED_VALUE"""),1262.0)</f>
        <v>1262</v>
      </c>
      <c r="J140" s="9" t="str">
        <f>IFERROR(__xludf.DUMMYFUNCTION("""COMPUTED_VALUE"""),"France")</f>
        <v>France</v>
      </c>
      <c r="K140" s="8"/>
      <c r="L140" s="12"/>
      <c r="M140" s="13"/>
      <c r="N140" s="13" t="str">
        <f>IFERROR(__xludf.DUMMYFUNCTION("IF(ISBLANK(M140),"""",M140*GOOGLEFINANCE(""USDGBP""))"),"")</f>
        <v/>
      </c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</row>
    <row r="141">
      <c r="A141" s="8" t="str">
        <f>IFERROR(__xludf.DUMMYFUNCTION("""COMPUTED_VALUE"""),"104672620190600750")</f>
        <v>104672620190600750</v>
      </c>
      <c r="B141" s="9" t="str">
        <f>IFERROR(__xludf.DUMMYFUNCTION("""COMPUTED_VALUE"""),"France")</f>
        <v>France</v>
      </c>
      <c r="C141" s="9" t="str">
        <f>IFERROR(__xludf.DUMMYFUNCTION("""COMPUTED_VALUE"""),"burgundy")</f>
        <v>burgundy</v>
      </c>
      <c r="D141" s="9" t="str">
        <f>IFERROR(__xludf.DUMMYFUNCTION("""COMPUTED_VALUE"""),"Domaine Meo Camuzet, Corton Grand Cru, Le Rognet et Corton")</f>
        <v>Domaine Meo Camuzet, Corton Grand Cru, Le Rognet et Corton</v>
      </c>
      <c r="E141" s="9">
        <f>IFERROR(__xludf.DUMMYFUNCTION("""COMPUTED_VALUE"""),2019.0)</f>
        <v>2019</v>
      </c>
      <c r="F141" s="9">
        <f>IFERROR(__xludf.DUMMYFUNCTION("""COMPUTED_VALUE"""),750.0)</f>
        <v>750</v>
      </c>
      <c r="G141" s="9">
        <f>IFERROR(__xludf.DUMMYFUNCTION("""COMPUTED_VALUE"""),6.0)</f>
        <v>6</v>
      </c>
      <c r="H141" s="10">
        <f>IFERROR(__xludf.DUMMYFUNCTION("""COMPUTED_VALUE"""),1.0)</f>
        <v>1</v>
      </c>
      <c r="I141" s="11">
        <f>IFERROR(__xludf.DUMMYFUNCTION("""COMPUTED_VALUE"""),1584.0)</f>
        <v>1584</v>
      </c>
      <c r="J141" s="9" t="str">
        <f>IFERROR(__xludf.DUMMYFUNCTION("""COMPUTED_VALUE"""),"France")</f>
        <v>France</v>
      </c>
      <c r="K141" s="8"/>
      <c r="L141" s="12"/>
      <c r="M141" s="13"/>
      <c r="N141" s="13" t="str">
        <f>IFERROR(__xludf.DUMMYFUNCTION("IF(ISBLANK(M141),"""",M141*GOOGLEFINANCE(""USDGBP""))"),"")</f>
        <v/>
      </c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</row>
    <row r="142">
      <c r="A142" s="8" t="str">
        <f>IFERROR(__xludf.DUMMYFUNCTION("""COMPUTED_VALUE"""),"102524020181200750")</f>
        <v>102524020181200750</v>
      </c>
      <c r="B142" s="9" t="str">
        <f>IFERROR(__xludf.DUMMYFUNCTION("""COMPUTED_VALUE"""),"France")</f>
        <v>France</v>
      </c>
      <c r="C142" s="9" t="str">
        <f>IFERROR(__xludf.DUMMYFUNCTION("""COMPUTED_VALUE"""),"burgundy")</f>
        <v>burgundy</v>
      </c>
      <c r="D142" s="9" t="str">
        <f>IFERROR(__xludf.DUMMYFUNCTION("""COMPUTED_VALUE"""),"Domaine Robert Chevillon, Nuits-Saint-Georges Premier Cru, Les Vaucrains")</f>
        <v>Domaine Robert Chevillon, Nuits-Saint-Georges Premier Cru, Les Vaucrains</v>
      </c>
      <c r="E142" s="9">
        <f>IFERROR(__xludf.DUMMYFUNCTION("""COMPUTED_VALUE"""),2018.0)</f>
        <v>2018</v>
      </c>
      <c r="F142" s="9">
        <f>IFERROR(__xludf.DUMMYFUNCTION("""COMPUTED_VALUE"""),750.0)</f>
        <v>750</v>
      </c>
      <c r="G142" s="9">
        <f>IFERROR(__xludf.DUMMYFUNCTION("""COMPUTED_VALUE"""),12.0)</f>
        <v>12</v>
      </c>
      <c r="H142" s="10">
        <f>IFERROR(__xludf.DUMMYFUNCTION("""COMPUTED_VALUE"""),1.0)</f>
        <v>1</v>
      </c>
      <c r="I142" s="11">
        <f>IFERROR(__xludf.DUMMYFUNCTION("""COMPUTED_VALUE"""),1184.0)</f>
        <v>1184</v>
      </c>
      <c r="J142" s="9" t="str">
        <f>IFERROR(__xludf.DUMMYFUNCTION("""COMPUTED_VALUE"""),"France")</f>
        <v>France</v>
      </c>
      <c r="K142" s="8"/>
      <c r="L142" s="12"/>
      <c r="M142" s="13"/>
      <c r="N142" s="13" t="str">
        <f>IFERROR(__xludf.DUMMYFUNCTION("IF(ISBLANK(M142),"""",M142*GOOGLEFINANCE(""USDGBP""))"),"")</f>
        <v/>
      </c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</row>
    <row r="143">
      <c r="A143" s="8" t="str">
        <f>IFERROR(__xludf.DUMMYFUNCTION("""COMPUTED_VALUE"""),"105849320200600750")</f>
        <v>105849320200600750</v>
      </c>
      <c r="B143" s="9" t="str">
        <f>IFERROR(__xludf.DUMMYFUNCTION("""COMPUTED_VALUE"""),"France")</f>
        <v>France</v>
      </c>
      <c r="C143" s="9" t="str">
        <f>IFERROR(__xludf.DUMMYFUNCTION("""COMPUTED_VALUE"""),"burgundy")</f>
        <v>burgundy</v>
      </c>
      <c r="D143" s="9" t="str">
        <f>IFERROR(__xludf.DUMMYFUNCTION("""COMPUTED_VALUE"""),"Domaine Tortochot, Clos de Vougeot Grand Cru")</f>
        <v>Domaine Tortochot, Clos de Vougeot Grand Cru</v>
      </c>
      <c r="E143" s="9">
        <f>IFERROR(__xludf.DUMMYFUNCTION("""COMPUTED_VALUE"""),2020.0)</f>
        <v>2020</v>
      </c>
      <c r="F143" s="9">
        <f>IFERROR(__xludf.DUMMYFUNCTION("""COMPUTED_VALUE"""),750.0)</f>
        <v>750</v>
      </c>
      <c r="G143" s="9">
        <f>IFERROR(__xludf.DUMMYFUNCTION("""COMPUTED_VALUE"""),6.0)</f>
        <v>6</v>
      </c>
      <c r="H143" s="10">
        <f>IFERROR(__xludf.DUMMYFUNCTION("""COMPUTED_VALUE"""),1.0)</f>
        <v>1</v>
      </c>
      <c r="I143" s="11">
        <f>IFERROR(__xludf.DUMMYFUNCTION("""COMPUTED_VALUE"""),999.0)</f>
        <v>999</v>
      </c>
      <c r="J143" s="9" t="str">
        <f>IFERROR(__xludf.DUMMYFUNCTION("""COMPUTED_VALUE"""),"France")</f>
        <v>France</v>
      </c>
      <c r="K143" s="8"/>
      <c r="L143" s="12"/>
      <c r="M143" s="13"/>
      <c r="N143" s="13" t="str">
        <f>IFERROR(__xludf.DUMMYFUNCTION("IF(ISBLANK(M143),"""",M143*GOOGLEFINANCE(""USDGBP""))"),"")</f>
        <v/>
      </c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</row>
    <row r="144">
      <c r="A144" s="8" t="str">
        <f>IFERROR(__xludf.DUMMYFUNCTION("""COMPUTED_VALUE"""),"105851020201200750")</f>
        <v>105851020201200750</v>
      </c>
      <c r="B144" s="9" t="str">
        <f>IFERROR(__xludf.DUMMYFUNCTION("""COMPUTED_VALUE"""),"France")</f>
        <v>France</v>
      </c>
      <c r="C144" s="9" t="str">
        <f>IFERROR(__xludf.DUMMYFUNCTION("""COMPUTED_VALUE"""),"burgundy")</f>
        <v>burgundy</v>
      </c>
      <c r="D144" s="9" t="str">
        <f>IFERROR(__xludf.DUMMYFUNCTION("""COMPUTED_VALUE"""),"Domaine Tortochot, Gevrey-Chambertin Premier Cru, Lavaux Saint-Jacques")</f>
        <v>Domaine Tortochot, Gevrey-Chambertin Premier Cru, Lavaux Saint-Jacques</v>
      </c>
      <c r="E144" s="9">
        <f>IFERROR(__xludf.DUMMYFUNCTION("""COMPUTED_VALUE"""),2020.0)</f>
        <v>2020</v>
      </c>
      <c r="F144" s="9">
        <f>IFERROR(__xludf.DUMMYFUNCTION("""COMPUTED_VALUE"""),750.0)</f>
        <v>750</v>
      </c>
      <c r="G144" s="9">
        <f>IFERROR(__xludf.DUMMYFUNCTION("""COMPUTED_VALUE"""),12.0)</f>
        <v>12</v>
      </c>
      <c r="H144" s="10">
        <f>IFERROR(__xludf.DUMMYFUNCTION("""COMPUTED_VALUE"""),1.0)</f>
        <v>1</v>
      </c>
      <c r="I144" s="11">
        <f>IFERROR(__xludf.DUMMYFUNCTION("""COMPUTED_VALUE"""),828.0)</f>
        <v>828</v>
      </c>
      <c r="J144" s="9" t="str">
        <f>IFERROR(__xludf.DUMMYFUNCTION("""COMPUTED_VALUE"""),"France")</f>
        <v>France</v>
      </c>
      <c r="K144" s="8"/>
      <c r="L144" s="12"/>
      <c r="M144" s="13"/>
      <c r="N144" s="13" t="str">
        <f>IFERROR(__xludf.DUMMYFUNCTION("IF(ISBLANK(M144),"""",M144*GOOGLEFINANCE(""USDGBP""))"),"")</f>
        <v/>
      </c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</row>
    <row r="145">
      <c r="A145" s="8" t="str">
        <f>IFERROR(__xludf.DUMMYFUNCTION("""COMPUTED_VALUE"""),"104514920180600750")</f>
        <v>104514920180600750</v>
      </c>
      <c r="B145" s="9" t="str">
        <f>IFERROR(__xludf.DUMMYFUNCTION("""COMPUTED_VALUE"""),"France")</f>
        <v>France</v>
      </c>
      <c r="C145" s="9" t="str">
        <f>IFERROR(__xludf.DUMMYFUNCTION("""COMPUTED_VALUE"""),"burgundy")</f>
        <v>burgundy</v>
      </c>
      <c r="D145" s="9" t="str">
        <f>IFERROR(__xludf.DUMMYFUNCTION("""COMPUTED_VALUE"""),"Georges Lignier et Fils, Clos Saint-Denis Grand Cru")</f>
        <v>Georges Lignier et Fils, Clos Saint-Denis Grand Cru</v>
      </c>
      <c r="E145" s="9">
        <f>IFERROR(__xludf.DUMMYFUNCTION("""COMPUTED_VALUE"""),2018.0)</f>
        <v>2018</v>
      </c>
      <c r="F145" s="9">
        <f>IFERROR(__xludf.DUMMYFUNCTION("""COMPUTED_VALUE"""),750.0)</f>
        <v>750</v>
      </c>
      <c r="G145" s="9">
        <f>IFERROR(__xludf.DUMMYFUNCTION("""COMPUTED_VALUE"""),6.0)</f>
        <v>6</v>
      </c>
      <c r="H145" s="10">
        <f>IFERROR(__xludf.DUMMYFUNCTION("""COMPUTED_VALUE"""),3.0)</f>
        <v>3</v>
      </c>
      <c r="I145" s="11">
        <f>IFERROR(__xludf.DUMMYFUNCTION("""COMPUTED_VALUE"""),784.0)</f>
        <v>784</v>
      </c>
      <c r="J145" s="9" t="str">
        <f>IFERROR(__xludf.DUMMYFUNCTION("""COMPUTED_VALUE"""),"France")</f>
        <v>France</v>
      </c>
      <c r="K145" s="8"/>
      <c r="L145" s="12"/>
      <c r="M145" s="13"/>
      <c r="N145" s="13" t="str">
        <f>IFERROR(__xludf.DUMMYFUNCTION("IF(ISBLANK(M145),"""",M145*GOOGLEFINANCE(""USDGBP""))"),"")</f>
        <v/>
      </c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</row>
    <row r="146">
      <c r="A146" s="8" t="str">
        <f>IFERROR(__xludf.DUMMYFUNCTION("""COMPUTED_VALUE"""),"104514920210600750")</f>
        <v>104514920210600750</v>
      </c>
      <c r="B146" s="9" t="str">
        <f>IFERROR(__xludf.DUMMYFUNCTION("""COMPUTED_VALUE"""),"France")</f>
        <v>France</v>
      </c>
      <c r="C146" s="9" t="str">
        <f>IFERROR(__xludf.DUMMYFUNCTION("""COMPUTED_VALUE"""),"burgundy")</f>
        <v>burgundy</v>
      </c>
      <c r="D146" s="9" t="str">
        <f>IFERROR(__xludf.DUMMYFUNCTION("""COMPUTED_VALUE"""),"Georges Lignier et Fils, Clos Saint-Denis Grand Cru")</f>
        <v>Georges Lignier et Fils, Clos Saint-Denis Grand Cru</v>
      </c>
      <c r="E146" s="9">
        <f>IFERROR(__xludf.DUMMYFUNCTION("""COMPUTED_VALUE"""),2021.0)</f>
        <v>2021</v>
      </c>
      <c r="F146" s="9">
        <f>IFERROR(__xludf.DUMMYFUNCTION("""COMPUTED_VALUE"""),750.0)</f>
        <v>750</v>
      </c>
      <c r="G146" s="9">
        <f>IFERROR(__xludf.DUMMYFUNCTION("""COMPUTED_VALUE"""),6.0)</f>
        <v>6</v>
      </c>
      <c r="H146" s="10">
        <f>IFERROR(__xludf.DUMMYFUNCTION("""COMPUTED_VALUE"""),1.0)</f>
        <v>1</v>
      </c>
      <c r="I146" s="11">
        <f>IFERROR(__xludf.DUMMYFUNCTION("""COMPUTED_VALUE"""),856.0)</f>
        <v>856</v>
      </c>
      <c r="J146" s="9" t="str">
        <f>IFERROR(__xludf.DUMMYFUNCTION("""COMPUTED_VALUE"""),"France")</f>
        <v>France</v>
      </c>
      <c r="K146" s="8"/>
      <c r="L146" s="12"/>
      <c r="M146" s="13"/>
      <c r="N146" s="13" t="str">
        <f>IFERROR(__xludf.DUMMYFUNCTION("IF(ISBLANK(M146),"""",M146*GOOGLEFINANCE(""USDGBP""))"),"")</f>
        <v/>
      </c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</row>
    <row r="147">
      <c r="A147" s="8" t="str">
        <f>IFERROR(__xludf.DUMMYFUNCTION("""COMPUTED_VALUE"""),"104518120180600750")</f>
        <v>104518120180600750</v>
      </c>
      <c r="B147" s="9" t="str">
        <f>IFERROR(__xludf.DUMMYFUNCTION("""COMPUTED_VALUE"""),"France")</f>
        <v>France</v>
      </c>
      <c r="C147" s="9" t="str">
        <f>IFERROR(__xludf.DUMMYFUNCTION("""COMPUTED_VALUE"""),"burgundy")</f>
        <v>burgundy</v>
      </c>
      <c r="D147" s="9" t="str">
        <f>IFERROR(__xludf.DUMMYFUNCTION("""COMPUTED_VALUE"""),"Georges Lignier et Fils, Morey-Saint-Denis Premier Cru, Clos des Ormes")</f>
        <v>Georges Lignier et Fils, Morey-Saint-Denis Premier Cru, Clos des Ormes</v>
      </c>
      <c r="E147" s="9">
        <f>IFERROR(__xludf.DUMMYFUNCTION("""COMPUTED_VALUE"""),2018.0)</f>
        <v>2018</v>
      </c>
      <c r="F147" s="9">
        <f>IFERROR(__xludf.DUMMYFUNCTION("""COMPUTED_VALUE"""),750.0)</f>
        <v>750</v>
      </c>
      <c r="G147" s="9">
        <f>IFERROR(__xludf.DUMMYFUNCTION("""COMPUTED_VALUE"""),6.0)</f>
        <v>6</v>
      </c>
      <c r="H147" s="10">
        <f>IFERROR(__xludf.DUMMYFUNCTION("""COMPUTED_VALUE"""),2.0)</f>
        <v>2</v>
      </c>
      <c r="I147" s="11">
        <f>IFERROR(__xludf.DUMMYFUNCTION("""COMPUTED_VALUE"""),291.0)</f>
        <v>291</v>
      </c>
      <c r="J147" s="9" t="str">
        <f>IFERROR(__xludf.DUMMYFUNCTION("""COMPUTED_VALUE"""),"France")</f>
        <v>France</v>
      </c>
      <c r="K147" s="8"/>
      <c r="L147" s="12"/>
      <c r="M147" s="13"/>
      <c r="N147" s="13" t="str">
        <f>IFERROR(__xludf.DUMMYFUNCTION("IF(ISBLANK(M147),"""",M147*GOOGLEFINANCE(""USDGBP""))"),"")</f>
        <v/>
      </c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</row>
    <row r="148">
      <c r="A148" s="8" t="str">
        <f>IFERROR(__xludf.DUMMYFUNCTION("""COMPUTED_VALUE"""),"121363820190600750")</f>
        <v>121363820190600750</v>
      </c>
      <c r="B148" s="9" t="str">
        <f>IFERROR(__xludf.DUMMYFUNCTION("""COMPUTED_VALUE"""),"France")</f>
        <v>France</v>
      </c>
      <c r="C148" s="9" t="str">
        <f>IFERROR(__xludf.DUMMYFUNCTION("""COMPUTED_VALUE"""),"burgundy")</f>
        <v>burgundy</v>
      </c>
      <c r="D148" s="9" t="str">
        <f>IFERROR(__xludf.DUMMYFUNCTION("""COMPUTED_VALUE"""),"Georges Noellat, Grands Echezeaux Grand Cru")</f>
        <v>Georges Noellat, Grands Echezeaux Grand Cru</v>
      </c>
      <c r="E148" s="9">
        <f>IFERROR(__xludf.DUMMYFUNCTION("""COMPUTED_VALUE"""),2019.0)</f>
        <v>2019</v>
      </c>
      <c r="F148" s="9">
        <f>IFERROR(__xludf.DUMMYFUNCTION("""COMPUTED_VALUE"""),750.0)</f>
        <v>750</v>
      </c>
      <c r="G148" s="9">
        <f>IFERROR(__xludf.DUMMYFUNCTION("""COMPUTED_VALUE"""),6.0)</f>
        <v>6</v>
      </c>
      <c r="H148" s="10">
        <f>IFERROR(__xludf.DUMMYFUNCTION("""COMPUTED_VALUE"""),3.0)</f>
        <v>3</v>
      </c>
      <c r="I148" s="11">
        <f>IFERROR(__xludf.DUMMYFUNCTION("""COMPUTED_VALUE"""),3202.0)</f>
        <v>3202</v>
      </c>
      <c r="J148" s="9" t="str">
        <f>IFERROR(__xludf.DUMMYFUNCTION("""COMPUTED_VALUE"""),"France")</f>
        <v>France</v>
      </c>
      <c r="K148" s="8"/>
      <c r="L148" s="12"/>
      <c r="M148" s="13"/>
      <c r="N148" s="13" t="str">
        <f>IFERROR(__xludf.DUMMYFUNCTION("IF(ISBLANK(M148),"""",M148*GOOGLEFINANCE(""USDGBP""))"),"")</f>
        <v/>
      </c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</row>
    <row r="149">
      <c r="A149" s="8" t="str">
        <f>IFERROR(__xludf.DUMMYFUNCTION("""COMPUTED_VALUE"""),"105394820170600750")</f>
        <v>105394820170600750</v>
      </c>
      <c r="B149" s="9" t="str">
        <f>IFERROR(__xludf.DUMMYFUNCTION("""COMPUTED_VALUE"""),"France")</f>
        <v>France</v>
      </c>
      <c r="C149" s="9" t="str">
        <f>IFERROR(__xludf.DUMMYFUNCTION("""COMPUTED_VALUE"""),"burgundy")</f>
        <v>burgundy</v>
      </c>
      <c r="D149" s="9" t="str">
        <f>IFERROR(__xludf.DUMMYFUNCTION("""COMPUTED_VALUE"""),"Jean-Claude Ramonet, Chassagne-Montrachet Premier Cru, Clos de la Boudriotte Rouge")</f>
        <v>Jean-Claude Ramonet, Chassagne-Montrachet Premier Cru, Clos de la Boudriotte Rouge</v>
      </c>
      <c r="E149" s="9">
        <f>IFERROR(__xludf.DUMMYFUNCTION("""COMPUTED_VALUE"""),2017.0)</f>
        <v>2017</v>
      </c>
      <c r="F149" s="9">
        <f>IFERROR(__xludf.DUMMYFUNCTION("""COMPUTED_VALUE"""),750.0)</f>
        <v>750</v>
      </c>
      <c r="G149" s="9">
        <f>IFERROR(__xludf.DUMMYFUNCTION("""COMPUTED_VALUE"""),6.0)</f>
        <v>6</v>
      </c>
      <c r="H149" s="10">
        <f>IFERROR(__xludf.DUMMYFUNCTION("""COMPUTED_VALUE"""),1.0)</f>
        <v>1</v>
      </c>
      <c r="I149" s="11">
        <f>IFERROR(__xludf.DUMMYFUNCTION("""COMPUTED_VALUE"""),714.0)</f>
        <v>714</v>
      </c>
      <c r="J149" s="9" t="str">
        <f>IFERROR(__xludf.DUMMYFUNCTION("""COMPUTED_VALUE"""),"France")</f>
        <v>France</v>
      </c>
      <c r="K149" s="8"/>
      <c r="L149" s="12"/>
      <c r="M149" s="13"/>
      <c r="N149" s="13" t="str">
        <f>IFERROR(__xludf.DUMMYFUNCTION("IF(ISBLANK(M149),"""",M149*GOOGLEFINANCE(""USDGBP""))"),"")</f>
        <v/>
      </c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</row>
    <row r="150">
      <c r="A150" s="8" t="str">
        <f>IFERROR(__xludf.DUMMYFUNCTION("""COMPUTED_VALUE"""),"104724420200600750")</f>
        <v>104724420200600750</v>
      </c>
      <c r="B150" s="9" t="str">
        <f>IFERROR(__xludf.DUMMYFUNCTION("""COMPUTED_VALUE"""),"France")</f>
        <v>France</v>
      </c>
      <c r="C150" s="9" t="str">
        <f>IFERROR(__xludf.DUMMYFUNCTION("""COMPUTED_VALUE"""),"burgundy")</f>
        <v>burgundy</v>
      </c>
      <c r="D150" s="9" t="str">
        <f>IFERROR(__xludf.DUMMYFUNCTION("""COMPUTED_VALUE"""),"Jean-Marc Millot, Clos de Vougeot Grand Cru")</f>
        <v>Jean-Marc Millot, Clos de Vougeot Grand Cru</v>
      </c>
      <c r="E150" s="9">
        <f>IFERROR(__xludf.DUMMYFUNCTION("""COMPUTED_VALUE"""),2020.0)</f>
        <v>2020</v>
      </c>
      <c r="F150" s="9">
        <f>IFERROR(__xludf.DUMMYFUNCTION("""COMPUTED_VALUE"""),750.0)</f>
        <v>750</v>
      </c>
      <c r="G150" s="9">
        <f>IFERROR(__xludf.DUMMYFUNCTION("""COMPUTED_VALUE"""),6.0)</f>
        <v>6</v>
      </c>
      <c r="H150" s="10">
        <f>IFERROR(__xludf.DUMMYFUNCTION("""COMPUTED_VALUE"""),1.0)</f>
        <v>1</v>
      </c>
      <c r="I150" s="11">
        <f>IFERROR(__xludf.DUMMYFUNCTION("""COMPUTED_VALUE"""),987.0)</f>
        <v>987</v>
      </c>
      <c r="J150" s="9" t="str">
        <f>IFERROR(__xludf.DUMMYFUNCTION("""COMPUTED_VALUE"""),"France")</f>
        <v>France</v>
      </c>
      <c r="K150" s="8"/>
      <c r="L150" s="12"/>
      <c r="M150" s="13"/>
      <c r="N150" s="13" t="str">
        <f>IFERROR(__xludf.DUMMYFUNCTION("IF(ISBLANK(M150),"""",M150*GOOGLEFINANCE(""USDGBP""))"),"")</f>
        <v/>
      </c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</row>
    <row r="151">
      <c r="A151" s="8" t="str">
        <f>IFERROR(__xludf.DUMMYFUNCTION("""COMPUTED_VALUE"""),"104724420200301500")</f>
        <v>104724420200301500</v>
      </c>
      <c r="B151" s="9" t="str">
        <f>IFERROR(__xludf.DUMMYFUNCTION("""COMPUTED_VALUE"""),"France")</f>
        <v>France</v>
      </c>
      <c r="C151" s="9" t="str">
        <f>IFERROR(__xludf.DUMMYFUNCTION("""COMPUTED_VALUE"""),"burgundy")</f>
        <v>burgundy</v>
      </c>
      <c r="D151" s="9" t="str">
        <f>IFERROR(__xludf.DUMMYFUNCTION("""COMPUTED_VALUE"""),"Jean-Marc Millot, Clos de Vougeot Grand Cru")</f>
        <v>Jean-Marc Millot, Clos de Vougeot Grand Cru</v>
      </c>
      <c r="E151" s="9">
        <f>IFERROR(__xludf.DUMMYFUNCTION("""COMPUTED_VALUE"""),2020.0)</f>
        <v>2020</v>
      </c>
      <c r="F151" s="9">
        <f>IFERROR(__xludf.DUMMYFUNCTION("""COMPUTED_VALUE"""),1500.0)</f>
        <v>1500</v>
      </c>
      <c r="G151" s="9">
        <f>IFERROR(__xludf.DUMMYFUNCTION("""COMPUTED_VALUE"""),3.0)</f>
        <v>3</v>
      </c>
      <c r="H151" s="10">
        <f>IFERROR(__xludf.DUMMYFUNCTION("""COMPUTED_VALUE"""),1.0)</f>
        <v>1</v>
      </c>
      <c r="I151" s="11">
        <f>IFERROR(__xludf.DUMMYFUNCTION("""COMPUTED_VALUE"""),988.0)</f>
        <v>988</v>
      </c>
      <c r="J151" s="9" t="str">
        <f>IFERROR(__xludf.DUMMYFUNCTION("""COMPUTED_VALUE"""),"France")</f>
        <v>France</v>
      </c>
      <c r="K151" s="8"/>
      <c r="L151" s="12"/>
      <c r="M151" s="13"/>
      <c r="N151" s="13" t="str">
        <f>IFERROR(__xludf.DUMMYFUNCTION("IF(ISBLANK(M151),"""",M151*GOOGLEFINANCE(""USDGBP""))"),"")</f>
        <v/>
      </c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</row>
    <row r="152">
      <c r="A152" s="8" t="str">
        <f>IFERROR(__xludf.DUMMYFUNCTION("""COMPUTED_VALUE"""),"102886320150300750")</f>
        <v>102886320150300750</v>
      </c>
      <c r="B152" s="9" t="str">
        <f>IFERROR(__xludf.DUMMYFUNCTION("""COMPUTED_VALUE"""),"France")</f>
        <v>France</v>
      </c>
      <c r="C152" s="9" t="str">
        <f>IFERROR(__xludf.DUMMYFUNCTION("""COMPUTED_VALUE"""),"burgundy")</f>
        <v>burgundy</v>
      </c>
      <c r="D152" s="9" t="str">
        <f>IFERROR(__xludf.DUMMYFUNCTION("""COMPUTED_VALUE"""),"Joseph Drouhin, Chambertin-Clos de Beze Grand Cru")</f>
        <v>Joseph Drouhin, Chambertin-Clos de Beze Grand Cru</v>
      </c>
      <c r="E152" s="9">
        <f>IFERROR(__xludf.DUMMYFUNCTION("""COMPUTED_VALUE"""),2015.0)</f>
        <v>2015</v>
      </c>
      <c r="F152" s="9">
        <f>IFERROR(__xludf.DUMMYFUNCTION("""COMPUTED_VALUE"""),750.0)</f>
        <v>750</v>
      </c>
      <c r="G152" s="9">
        <f>IFERROR(__xludf.DUMMYFUNCTION("""COMPUTED_VALUE"""),3.0)</f>
        <v>3</v>
      </c>
      <c r="H152" s="10">
        <f>IFERROR(__xludf.DUMMYFUNCTION("""COMPUTED_VALUE"""),2.0)</f>
        <v>2</v>
      </c>
      <c r="I152" s="11">
        <f>IFERROR(__xludf.DUMMYFUNCTION("""COMPUTED_VALUE"""),1416.0)</f>
        <v>1416</v>
      </c>
      <c r="J152" s="9" t="str">
        <f>IFERROR(__xludf.DUMMYFUNCTION("""COMPUTED_VALUE"""),"France")</f>
        <v>France</v>
      </c>
      <c r="K152" s="8"/>
      <c r="L152" s="12"/>
      <c r="M152" s="13"/>
      <c r="N152" s="13" t="str">
        <f>IFERROR(__xludf.DUMMYFUNCTION("IF(ISBLANK(M152),"""",M152*GOOGLEFINANCE(""USDGBP""))"),"")</f>
        <v/>
      </c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</row>
    <row r="153">
      <c r="A153" s="8" t="str">
        <f>IFERROR(__xludf.DUMMYFUNCTION("""COMPUTED_VALUE"""),"115649220210600750")</f>
        <v>115649220210600750</v>
      </c>
      <c r="B153" s="9" t="str">
        <f>IFERROR(__xludf.DUMMYFUNCTION("""COMPUTED_VALUE"""),"France")</f>
        <v>France</v>
      </c>
      <c r="C153" s="9" t="str">
        <f>IFERROR(__xludf.DUMMYFUNCTION("""COMPUTED_VALUE"""),"burgundy")</f>
        <v>burgundy</v>
      </c>
      <c r="D153" s="9" t="str">
        <f>IFERROR(__xludf.DUMMYFUNCTION("""COMPUTED_VALUE"""),"La Pousse d'Or, Clos de la Roche Grand Cru")</f>
        <v>La Pousse d'Or, Clos de la Roche Grand Cru</v>
      </c>
      <c r="E153" s="9">
        <f>IFERROR(__xludf.DUMMYFUNCTION("""COMPUTED_VALUE"""),2021.0)</f>
        <v>2021</v>
      </c>
      <c r="F153" s="9">
        <f>IFERROR(__xludf.DUMMYFUNCTION("""COMPUTED_VALUE"""),750.0)</f>
        <v>750</v>
      </c>
      <c r="G153" s="9">
        <f>IFERROR(__xludf.DUMMYFUNCTION("""COMPUTED_VALUE"""),6.0)</f>
        <v>6</v>
      </c>
      <c r="H153" s="10">
        <f>IFERROR(__xludf.DUMMYFUNCTION("""COMPUTED_VALUE"""),1.0)</f>
        <v>1</v>
      </c>
      <c r="I153" s="11">
        <f>IFERROR(__xludf.DUMMYFUNCTION("""COMPUTED_VALUE"""),1665.0)</f>
        <v>1665</v>
      </c>
      <c r="J153" s="9" t="str">
        <f>IFERROR(__xludf.DUMMYFUNCTION("""COMPUTED_VALUE"""),"France")</f>
        <v>France</v>
      </c>
      <c r="K153" s="8"/>
      <c r="L153" s="12"/>
      <c r="M153" s="13"/>
      <c r="N153" s="13" t="str">
        <f>IFERROR(__xludf.DUMMYFUNCTION("IF(ISBLANK(M153),"""",M153*GOOGLEFINANCE(""USDGBP""))"),"")</f>
        <v/>
      </c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</row>
    <row r="154">
      <c r="A154" s="8" t="str">
        <f>IFERROR(__xludf.DUMMYFUNCTION("""COMPUTED_VALUE"""),"105302320190600750")</f>
        <v>105302320190600750</v>
      </c>
      <c r="B154" s="9" t="str">
        <f>IFERROR(__xludf.DUMMYFUNCTION("""COMPUTED_VALUE"""),"France")</f>
        <v>France</v>
      </c>
      <c r="C154" s="9" t="str">
        <f>IFERROR(__xludf.DUMMYFUNCTION("""COMPUTED_VALUE"""),"burgundy")</f>
        <v>burgundy</v>
      </c>
      <c r="D154" s="9" t="str">
        <f>IFERROR(__xludf.DUMMYFUNCTION("""COMPUTED_VALUE"""),"La Pousse d'Or, Corton Grand Cru, Le Clos du Roi")</f>
        <v>La Pousse d'Or, Corton Grand Cru, Le Clos du Roi</v>
      </c>
      <c r="E154" s="9">
        <f>IFERROR(__xludf.DUMMYFUNCTION("""COMPUTED_VALUE"""),2019.0)</f>
        <v>2019</v>
      </c>
      <c r="F154" s="9">
        <f>IFERROR(__xludf.DUMMYFUNCTION("""COMPUTED_VALUE"""),750.0)</f>
        <v>750</v>
      </c>
      <c r="G154" s="9">
        <f>IFERROR(__xludf.DUMMYFUNCTION("""COMPUTED_VALUE"""),6.0)</f>
        <v>6</v>
      </c>
      <c r="H154" s="10">
        <f>IFERROR(__xludf.DUMMYFUNCTION("""COMPUTED_VALUE"""),1.0)</f>
        <v>1</v>
      </c>
      <c r="I154" s="11">
        <f>IFERROR(__xludf.DUMMYFUNCTION("""COMPUTED_VALUE"""),537.0)</f>
        <v>537</v>
      </c>
      <c r="J154" s="9" t="str">
        <f>IFERROR(__xludf.DUMMYFUNCTION("""COMPUTED_VALUE"""),"France")</f>
        <v>France</v>
      </c>
      <c r="K154" s="8"/>
      <c r="L154" s="12"/>
      <c r="M154" s="13"/>
      <c r="N154" s="13" t="str">
        <f>IFERROR(__xludf.DUMMYFUNCTION("IF(ISBLANK(M154),"""",M154*GOOGLEFINANCE(""USDGBP""))"),"")</f>
        <v/>
      </c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</row>
    <row r="155">
      <c r="A155" s="8" t="str">
        <f>IFERROR(__xludf.DUMMYFUNCTION("""COMPUTED_VALUE"""),"105309420191200750")</f>
        <v>105309420191200750</v>
      </c>
      <c r="B155" s="9" t="str">
        <f>IFERROR(__xludf.DUMMYFUNCTION("""COMPUTED_VALUE"""),"France")</f>
        <v>France</v>
      </c>
      <c r="C155" s="9" t="str">
        <f>IFERROR(__xludf.DUMMYFUNCTION("""COMPUTED_VALUE"""),"burgundy")</f>
        <v>burgundy</v>
      </c>
      <c r="D155" s="9" t="str">
        <f>IFERROR(__xludf.DUMMYFUNCTION("""COMPUTED_VALUE"""),"La Pousse d'Or, Volnay Premier Cru, Clos de l'Audignac")</f>
        <v>La Pousse d'Or, Volnay Premier Cru, Clos de l'Audignac</v>
      </c>
      <c r="E155" s="9">
        <f>IFERROR(__xludf.DUMMYFUNCTION("""COMPUTED_VALUE"""),2019.0)</f>
        <v>2019</v>
      </c>
      <c r="F155" s="9">
        <f>IFERROR(__xludf.DUMMYFUNCTION("""COMPUTED_VALUE"""),750.0)</f>
        <v>750</v>
      </c>
      <c r="G155" s="9">
        <f>IFERROR(__xludf.DUMMYFUNCTION("""COMPUTED_VALUE"""),12.0)</f>
        <v>12</v>
      </c>
      <c r="H155" s="10">
        <f>IFERROR(__xludf.DUMMYFUNCTION("""COMPUTED_VALUE"""),1.0)</f>
        <v>1</v>
      </c>
      <c r="I155" s="11">
        <f>IFERROR(__xludf.DUMMYFUNCTION("""COMPUTED_VALUE"""),683.0)</f>
        <v>683</v>
      </c>
      <c r="J155" s="9" t="str">
        <f>IFERROR(__xludf.DUMMYFUNCTION("""COMPUTED_VALUE"""),"France")</f>
        <v>France</v>
      </c>
      <c r="K155" s="8"/>
      <c r="L155" s="12"/>
      <c r="M155" s="13"/>
      <c r="N155" s="13" t="str">
        <f>IFERROR(__xludf.DUMMYFUNCTION("IF(ISBLANK(M155),"""",M155*GOOGLEFINANCE(""USDGBP""))"),"")</f>
        <v/>
      </c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</row>
    <row r="156">
      <c r="A156" s="8" t="str">
        <f>IFERROR(__xludf.DUMMYFUNCTION("""COMPUTED_VALUE"""),"105311120200600750")</f>
        <v>105311120200600750</v>
      </c>
      <c r="B156" s="9" t="str">
        <f>IFERROR(__xludf.DUMMYFUNCTION("""COMPUTED_VALUE"""),"France")</f>
        <v>France</v>
      </c>
      <c r="C156" s="9" t="str">
        <f>IFERROR(__xludf.DUMMYFUNCTION("""COMPUTED_VALUE"""),"burgundy")</f>
        <v>burgundy</v>
      </c>
      <c r="D156" s="9" t="str">
        <f>IFERROR(__xludf.DUMMYFUNCTION("""COMPUTED_VALUE"""),"La Pousse d'Or, Volnay Premier Cru, Les Caillerets")</f>
        <v>La Pousse d'Or, Volnay Premier Cru, Les Caillerets</v>
      </c>
      <c r="E156" s="9">
        <f>IFERROR(__xludf.DUMMYFUNCTION("""COMPUTED_VALUE"""),2020.0)</f>
        <v>2020</v>
      </c>
      <c r="F156" s="9">
        <f>IFERROR(__xludf.DUMMYFUNCTION("""COMPUTED_VALUE"""),750.0)</f>
        <v>750</v>
      </c>
      <c r="G156" s="9">
        <f>IFERROR(__xludf.DUMMYFUNCTION("""COMPUTED_VALUE"""),6.0)</f>
        <v>6</v>
      </c>
      <c r="H156" s="10">
        <f>IFERROR(__xludf.DUMMYFUNCTION("""COMPUTED_VALUE"""),1.0)</f>
        <v>1</v>
      </c>
      <c r="I156" s="11">
        <f>IFERROR(__xludf.DUMMYFUNCTION("""COMPUTED_VALUE"""),325.0)</f>
        <v>325</v>
      </c>
      <c r="J156" s="9" t="str">
        <f>IFERROR(__xludf.DUMMYFUNCTION("""COMPUTED_VALUE"""),"France")</f>
        <v>France</v>
      </c>
      <c r="K156" s="8"/>
      <c r="L156" s="12"/>
      <c r="M156" s="13"/>
      <c r="N156" s="13" t="str">
        <f>IFERROR(__xludf.DUMMYFUNCTION("IF(ISBLANK(M156),"""",M156*GOOGLEFINANCE(""USDGBP""))"),"")</f>
        <v/>
      </c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</row>
    <row r="157">
      <c r="A157" s="8" t="str">
        <f>IFERROR(__xludf.DUMMYFUNCTION("""COMPUTED_VALUE"""),"115027220160600750")</f>
        <v>115027220160600750</v>
      </c>
      <c r="B157" s="9" t="str">
        <f>IFERROR(__xludf.DUMMYFUNCTION("""COMPUTED_VALUE"""),"France")</f>
        <v>France</v>
      </c>
      <c r="C157" s="9" t="str">
        <f>IFERROR(__xludf.DUMMYFUNCTION("""COMPUTED_VALUE"""),"burgundy")</f>
        <v>burgundy</v>
      </c>
      <c r="D157" s="9" t="str">
        <f>IFERROR(__xludf.DUMMYFUNCTION("""COMPUTED_VALUE"""),"Louis Latour, Mazis-Chambertin Grand Cru")</f>
        <v>Louis Latour, Mazis-Chambertin Grand Cru</v>
      </c>
      <c r="E157" s="9">
        <f>IFERROR(__xludf.DUMMYFUNCTION("""COMPUTED_VALUE"""),2016.0)</f>
        <v>2016</v>
      </c>
      <c r="F157" s="9">
        <f>IFERROR(__xludf.DUMMYFUNCTION("""COMPUTED_VALUE"""),750.0)</f>
        <v>750</v>
      </c>
      <c r="G157" s="9">
        <f>IFERROR(__xludf.DUMMYFUNCTION("""COMPUTED_VALUE"""),6.0)</f>
        <v>6</v>
      </c>
      <c r="H157" s="10">
        <f>IFERROR(__xludf.DUMMYFUNCTION("""COMPUTED_VALUE"""),2.0)</f>
        <v>2</v>
      </c>
      <c r="I157" s="11">
        <f>IFERROR(__xludf.DUMMYFUNCTION("""COMPUTED_VALUE"""),2769.0)</f>
        <v>2769</v>
      </c>
      <c r="J157" s="9" t="str">
        <f>IFERROR(__xludf.DUMMYFUNCTION("""COMPUTED_VALUE"""),"France")</f>
        <v>France</v>
      </c>
      <c r="K157" s="8"/>
      <c r="L157" s="12"/>
      <c r="M157" s="13"/>
      <c r="N157" s="13" t="str">
        <f>IFERROR(__xludf.DUMMYFUNCTION("IF(ISBLANK(M157),"""",M157*GOOGLEFINANCE(""USDGBP""))"),"")</f>
        <v/>
      </c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</row>
    <row r="158">
      <c r="A158" s="8" t="str">
        <f>IFERROR(__xludf.DUMMYFUNCTION("""COMPUTED_VALUE"""),"104112520130600750")</f>
        <v>104112520130600750</v>
      </c>
      <c r="B158" s="9" t="str">
        <f>IFERROR(__xludf.DUMMYFUNCTION("""COMPUTED_VALUE"""),"France")</f>
        <v>France</v>
      </c>
      <c r="C158" s="9" t="str">
        <f>IFERROR(__xludf.DUMMYFUNCTION("""COMPUTED_VALUE"""),"burgundy")</f>
        <v>burgundy</v>
      </c>
      <c r="D158" s="9" t="str">
        <f>IFERROR(__xludf.DUMMYFUNCTION("""COMPUTED_VALUE"""),"Louis Latour, Romanee-Saint-Vivant Grand Cru, Les Quatre Journaux")</f>
        <v>Louis Latour, Romanee-Saint-Vivant Grand Cru, Les Quatre Journaux</v>
      </c>
      <c r="E158" s="9">
        <f>IFERROR(__xludf.DUMMYFUNCTION("""COMPUTED_VALUE"""),2013.0)</f>
        <v>2013</v>
      </c>
      <c r="F158" s="9">
        <f>IFERROR(__xludf.DUMMYFUNCTION("""COMPUTED_VALUE"""),750.0)</f>
        <v>750</v>
      </c>
      <c r="G158" s="9">
        <f>IFERROR(__xludf.DUMMYFUNCTION("""COMPUTED_VALUE"""),6.0)</f>
        <v>6</v>
      </c>
      <c r="H158" s="10">
        <f>IFERROR(__xludf.DUMMYFUNCTION("""COMPUTED_VALUE"""),1.0)</f>
        <v>1</v>
      </c>
      <c r="I158" s="11">
        <f>IFERROR(__xludf.DUMMYFUNCTION("""COMPUTED_VALUE"""),1692.0)</f>
        <v>1692</v>
      </c>
      <c r="J158" s="9" t="str">
        <f>IFERROR(__xludf.DUMMYFUNCTION("""COMPUTED_VALUE"""),"France")</f>
        <v>France</v>
      </c>
      <c r="K158" s="8"/>
      <c r="L158" s="12"/>
      <c r="M158" s="13"/>
      <c r="N158" s="13" t="str">
        <f>IFERROR(__xludf.DUMMYFUNCTION("IF(ISBLANK(M158),"""",M158*GOOGLEFINANCE(""USDGBP""))"),"")</f>
        <v/>
      </c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</row>
    <row r="159">
      <c r="A159" s="8" t="str">
        <f>IFERROR(__xludf.DUMMYFUNCTION("""COMPUTED_VALUE"""),"103790420170600750")</f>
        <v>103790420170600750</v>
      </c>
      <c r="B159" s="9" t="str">
        <f>IFERROR(__xludf.DUMMYFUNCTION("""COMPUTED_VALUE"""),"France")</f>
        <v>France</v>
      </c>
      <c r="C159" s="9" t="str">
        <f>IFERROR(__xludf.DUMMYFUNCTION("""COMPUTED_VALUE"""),"burgundy")</f>
        <v>burgundy</v>
      </c>
      <c r="D159" s="9" t="str">
        <f>IFERROR(__xludf.DUMMYFUNCTION("""COMPUTED_VALUE"""),"Maison Louis Jadot, Chambertin Grand Cru")</f>
        <v>Maison Louis Jadot, Chambertin Grand Cru</v>
      </c>
      <c r="E159" s="9">
        <f>IFERROR(__xludf.DUMMYFUNCTION("""COMPUTED_VALUE"""),2017.0)</f>
        <v>2017</v>
      </c>
      <c r="F159" s="9">
        <f>IFERROR(__xludf.DUMMYFUNCTION("""COMPUTED_VALUE"""),750.0)</f>
        <v>750</v>
      </c>
      <c r="G159" s="9">
        <f>IFERROR(__xludf.DUMMYFUNCTION("""COMPUTED_VALUE"""),6.0)</f>
        <v>6</v>
      </c>
      <c r="H159" s="10">
        <f>IFERROR(__xludf.DUMMYFUNCTION("""COMPUTED_VALUE"""),2.0)</f>
        <v>2</v>
      </c>
      <c r="I159" s="11">
        <f>IFERROR(__xludf.DUMMYFUNCTION("""COMPUTED_VALUE"""),1567.0)</f>
        <v>1567</v>
      </c>
      <c r="J159" s="9" t="str">
        <f>IFERROR(__xludf.DUMMYFUNCTION("""COMPUTED_VALUE"""),"France")</f>
        <v>France</v>
      </c>
      <c r="K159" s="8"/>
      <c r="L159" s="12"/>
      <c r="M159" s="13"/>
      <c r="N159" s="13" t="str">
        <f>IFERROR(__xludf.DUMMYFUNCTION("IF(ISBLANK(M159),"""",M159*GOOGLEFINANCE(""USDGBP""))"),"")</f>
        <v/>
      </c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</row>
    <row r="160">
      <c r="A160" s="8" t="str">
        <f>IFERROR(__xludf.DUMMYFUNCTION("""COMPUTED_VALUE"""),"103806020190600750")</f>
        <v>103806020190600750</v>
      </c>
      <c r="B160" s="9" t="str">
        <f>IFERROR(__xludf.DUMMYFUNCTION("""COMPUTED_VALUE"""),"France")</f>
        <v>France</v>
      </c>
      <c r="C160" s="9" t="str">
        <f>IFERROR(__xludf.DUMMYFUNCTION("""COMPUTED_VALUE"""),"burgundy")</f>
        <v>burgundy</v>
      </c>
      <c r="D160" s="9" t="str">
        <f>IFERROR(__xludf.DUMMYFUNCTION("""COMPUTED_VALUE"""),"Maison Louis Jadot, Clos de la Roche Grand Cru")</f>
        <v>Maison Louis Jadot, Clos de la Roche Grand Cru</v>
      </c>
      <c r="E160" s="9">
        <f>IFERROR(__xludf.DUMMYFUNCTION("""COMPUTED_VALUE"""),2019.0)</f>
        <v>2019</v>
      </c>
      <c r="F160" s="9">
        <f>IFERROR(__xludf.DUMMYFUNCTION("""COMPUTED_VALUE"""),750.0)</f>
        <v>750</v>
      </c>
      <c r="G160" s="9">
        <f>IFERROR(__xludf.DUMMYFUNCTION("""COMPUTED_VALUE"""),6.0)</f>
        <v>6</v>
      </c>
      <c r="H160" s="10">
        <f>IFERROR(__xludf.DUMMYFUNCTION("""COMPUTED_VALUE"""),1.0)</f>
        <v>1</v>
      </c>
      <c r="I160" s="11">
        <f>IFERROR(__xludf.DUMMYFUNCTION("""COMPUTED_VALUE"""),968.0)</f>
        <v>968</v>
      </c>
      <c r="J160" s="9" t="str">
        <f>IFERROR(__xludf.DUMMYFUNCTION("""COMPUTED_VALUE"""),"France")</f>
        <v>France</v>
      </c>
      <c r="K160" s="8"/>
      <c r="L160" s="12"/>
      <c r="M160" s="13"/>
      <c r="N160" s="13" t="str">
        <f>IFERROR(__xludf.DUMMYFUNCTION("IF(ISBLANK(M160),"""",M160*GOOGLEFINANCE(""USDGBP""))"),"")</f>
        <v/>
      </c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</row>
    <row r="161">
      <c r="A161" s="8" t="str">
        <f>IFERROR(__xludf.DUMMYFUNCTION("""COMPUTED_VALUE"""),"102469220190600750")</f>
        <v>102469220190600750</v>
      </c>
      <c r="B161" s="9" t="str">
        <f>IFERROR(__xludf.DUMMYFUNCTION("""COMPUTED_VALUE"""),"France")</f>
        <v>France</v>
      </c>
      <c r="C161" s="9" t="str">
        <f>IFERROR(__xludf.DUMMYFUNCTION("""COMPUTED_VALUE"""),"burgundy")</f>
        <v>burgundy</v>
      </c>
      <c r="D161" s="9" t="str">
        <f>IFERROR(__xludf.DUMMYFUNCTION("""COMPUTED_VALUE"""),"Philippe Charlopin-Parizot, Clos de Vougeot Grand Cru")</f>
        <v>Philippe Charlopin-Parizot, Clos de Vougeot Grand Cru</v>
      </c>
      <c r="E161" s="9">
        <f>IFERROR(__xludf.DUMMYFUNCTION("""COMPUTED_VALUE"""),2019.0)</f>
        <v>2019</v>
      </c>
      <c r="F161" s="9">
        <f>IFERROR(__xludf.DUMMYFUNCTION("""COMPUTED_VALUE"""),750.0)</f>
        <v>750</v>
      </c>
      <c r="G161" s="9">
        <f>IFERROR(__xludf.DUMMYFUNCTION("""COMPUTED_VALUE"""),6.0)</f>
        <v>6</v>
      </c>
      <c r="H161" s="10">
        <f>IFERROR(__xludf.DUMMYFUNCTION("""COMPUTED_VALUE"""),2.0)</f>
        <v>2</v>
      </c>
      <c r="I161" s="11">
        <f>IFERROR(__xludf.DUMMYFUNCTION("""COMPUTED_VALUE"""),1026.0)</f>
        <v>1026</v>
      </c>
      <c r="J161" s="9" t="str">
        <f>IFERROR(__xludf.DUMMYFUNCTION("""COMPUTED_VALUE"""),"France")</f>
        <v>France</v>
      </c>
      <c r="K161" s="8"/>
      <c r="L161" s="12"/>
      <c r="M161" s="13"/>
      <c r="N161" s="13" t="str">
        <f>IFERROR(__xludf.DUMMYFUNCTION("IF(ISBLANK(M161),"""",M161*GOOGLEFINANCE(""USDGBP""))"),"")</f>
        <v/>
      </c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</row>
    <row r="162">
      <c r="A162" s="8" t="str">
        <f>IFERROR(__xludf.DUMMYFUNCTION("""COMPUTED_VALUE"""),"103595520211200750")</f>
        <v>103595520211200750</v>
      </c>
      <c r="B162" s="9" t="str">
        <f>IFERROR(__xludf.DUMMYFUNCTION("""COMPUTED_VALUE"""),"France")</f>
        <v>France</v>
      </c>
      <c r="C162" s="9" t="str">
        <f>IFERROR(__xludf.DUMMYFUNCTION("""COMPUTED_VALUE"""),"burgundy")</f>
        <v>burgundy</v>
      </c>
      <c r="D162" s="9" t="str">
        <f>IFERROR(__xludf.DUMMYFUNCTION("""COMPUTED_VALUE"""),"Robert Groffier, Chambolle-Musigny Premier Cru, Les Sentiers")</f>
        <v>Robert Groffier, Chambolle-Musigny Premier Cru, Les Sentiers</v>
      </c>
      <c r="E162" s="9">
        <f>IFERROR(__xludf.DUMMYFUNCTION("""COMPUTED_VALUE"""),2021.0)</f>
        <v>2021</v>
      </c>
      <c r="F162" s="9">
        <f>IFERROR(__xludf.DUMMYFUNCTION("""COMPUTED_VALUE"""),750.0)</f>
        <v>750</v>
      </c>
      <c r="G162" s="9">
        <f>IFERROR(__xludf.DUMMYFUNCTION("""COMPUTED_VALUE"""),12.0)</f>
        <v>12</v>
      </c>
      <c r="H162" s="10">
        <f>IFERROR(__xludf.DUMMYFUNCTION("""COMPUTED_VALUE"""),1.0)</f>
        <v>1</v>
      </c>
      <c r="I162" s="11">
        <f>IFERROR(__xludf.DUMMYFUNCTION("""COMPUTED_VALUE"""),2602.0)</f>
        <v>2602</v>
      </c>
      <c r="J162" s="9" t="str">
        <f>IFERROR(__xludf.DUMMYFUNCTION("""COMPUTED_VALUE"""),"France")</f>
        <v>France</v>
      </c>
      <c r="K162" s="8"/>
      <c r="L162" s="12"/>
      <c r="M162" s="13"/>
      <c r="N162" s="13" t="str">
        <f>IFERROR(__xludf.DUMMYFUNCTION("IF(ISBLANK(M162),"""",M162*GOOGLEFINANCE(""USDGBP""))"),"")</f>
        <v/>
      </c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</row>
    <row r="163">
      <c r="A163" s="8" t="str">
        <f>IFERROR(__xludf.DUMMYFUNCTION("""COMPUTED_VALUE"""),"105850720200600750")</f>
        <v>105850720200600750</v>
      </c>
      <c r="B163" s="9" t="str">
        <f>IFERROR(__xludf.DUMMYFUNCTION("""COMPUTED_VALUE"""),"France")</f>
        <v>France</v>
      </c>
      <c r="C163" s="9" t="str">
        <f>IFERROR(__xludf.DUMMYFUNCTION("""COMPUTED_VALUE"""),"burgundy")</f>
        <v>burgundy</v>
      </c>
      <c r="D163" s="9" t="str">
        <f>IFERROR(__xludf.DUMMYFUNCTION("""COMPUTED_VALUE"""),"Tortochot, Gevrey-Chambertin Premier Cru, Champeaux")</f>
        <v>Tortochot, Gevrey-Chambertin Premier Cru, Champeaux</v>
      </c>
      <c r="E163" s="9">
        <f>IFERROR(__xludf.DUMMYFUNCTION("""COMPUTED_VALUE"""),2020.0)</f>
        <v>2020</v>
      </c>
      <c r="F163" s="9">
        <f>IFERROR(__xludf.DUMMYFUNCTION("""COMPUTED_VALUE"""),750.0)</f>
        <v>750</v>
      </c>
      <c r="G163" s="9">
        <f>IFERROR(__xludf.DUMMYFUNCTION("""COMPUTED_VALUE"""),6.0)</f>
        <v>6</v>
      </c>
      <c r="H163" s="10">
        <f>IFERROR(__xludf.DUMMYFUNCTION("""COMPUTED_VALUE"""),1.0)</f>
        <v>1</v>
      </c>
      <c r="I163" s="11">
        <f>IFERROR(__xludf.DUMMYFUNCTION("""COMPUTED_VALUE"""),379.0)</f>
        <v>379</v>
      </c>
      <c r="J163" s="9" t="str">
        <f>IFERROR(__xludf.DUMMYFUNCTION("""COMPUTED_VALUE"""),"France")</f>
        <v>France</v>
      </c>
      <c r="K163" s="8"/>
      <c r="L163" s="12"/>
      <c r="M163" s="13"/>
      <c r="N163" s="13" t="str">
        <f>IFERROR(__xludf.DUMMYFUNCTION("IF(ISBLANK(M163),"""",M163*GOOGLEFINANCE(""USDGBP""))"),"")</f>
        <v/>
      </c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</row>
    <row r="164">
      <c r="A164" s="8" t="str">
        <f>IFERROR(__xludf.DUMMYFUNCTION("""COMPUTED_VALUE"""),"106585920160100750")</f>
        <v>106585920160100750</v>
      </c>
      <c r="B164" s="9" t="str">
        <f>IFERROR(__xludf.DUMMYFUNCTION("""COMPUTED_VALUE"""),"France")</f>
        <v>France</v>
      </c>
      <c r="C164" s="9" t="str">
        <f>IFERROR(__xludf.DUMMYFUNCTION("""COMPUTED_VALUE"""),"burgundy")</f>
        <v>burgundy</v>
      </c>
      <c r="D164" s="9" t="str">
        <f>IFERROR(__xludf.DUMMYFUNCTION("""COMPUTED_VALUE"""),"Domaine Comte Georges de Vogue, Musigny Grand Cru, Blanc")</f>
        <v>Domaine Comte Georges de Vogue, Musigny Grand Cru, Blanc</v>
      </c>
      <c r="E164" s="9">
        <f>IFERROR(__xludf.DUMMYFUNCTION("""COMPUTED_VALUE"""),2016.0)</f>
        <v>2016</v>
      </c>
      <c r="F164" s="9">
        <f>IFERROR(__xludf.DUMMYFUNCTION("""COMPUTED_VALUE"""),750.0)</f>
        <v>750</v>
      </c>
      <c r="G164" s="9">
        <f>IFERROR(__xludf.DUMMYFUNCTION("""COMPUTED_VALUE"""),1.0)</f>
        <v>1</v>
      </c>
      <c r="H164" s="10">
        <f>IFERROR(__xludf.DUMMYFUNCTION("""COMPUTED_VALUE"""),1.0)</f>
        <v>1</v>
      </c>
      <c r="I164" s="11">
        <f>IFERROR(__xludf.DUMMYFUNCTION("""COMPUTED_VALUE"""),1071.0)</f>
        <v>1071</v>
      </c>
      <c r="J164" s="9" t="str">
        <f>IFERROR(__xludf.DUMMYFUNCTION("""COMPUTED_VALUE"""),"France")</f>
        <v>France</v>
      </c>
      <c r="K164" s="8"/>
      <c r="L164" s="12"/>
      <c r="M164" s="13"/>
      <c r="N164" s="13" t="str">
        <f>IFERROR(__xludf.DUMMYFUNCTION("IF(ISBLANK(M164),"""",M164*GOOGLEFINANCE(""USDGBP""))"),"")</f>
        <v/>
      </c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</row>
    <row r="165">
      <c r="A165" s="8" t="str">
        <f>IFERROR(__xludf.DUMMYFUNCTION("""COMPUTED_VALUE"""),"106762220200300750")</f>
        <v>106762220200300750</v>
      </c>
      <c r="B165" s="9" t="str">
        <f>IFERROR(__xludf.DUMMYFUNCTION("""COMPUTED_VALUE"""),"France")</f>
        <v>France</v>
      </c>
      <c r="C165" s="9" t="str">
        <f>IFERROR(__xludf.DUMMYFUNCTION("""COMPUTED_VALUE"""),"burgundy")</f>
        <v>burgundy</v>
      </c>
      <c r="D165" s="9" t="str">
        <f>IFERROR(__xludf.DUMMYFUNCTION("""COMPUTED_VALUE"""),"Domaine Dujac, Morey-Saint-Denis Premier Cru, Monts Luisants Blanc")</f>
        <v>Domaine Dujac, Morey-Saint-Denis Premier Cru, Monts Luisants Blanc</v>
      </c>
      <c r="E165" s="9">
        <f>IFERROR(__xludf.DUMMYFUNCTION("""COMPUTED_VALUE"""),2020.0)</f>
        <v>2020</v>
      </c>
      <c r="F165" s="9">
        <f>IFERROR(__xludf.DUMMYFUNCTION("""COMPUTED_VALUE"""),750.0)</f>
        <v>750</v>
      </c>
      <c r="G165" s="9">
        <f>IFERROR(__xludf.DUMMYFUNCTION("""COMPUTED_VALUE"""),3.0)</f>
        <v>3</v>
      </c>
      <c r="H165" s="10">
        <f>IFERROR(__xludf.DUMMYFUNCTION("""COMPUTED_VALUE"""),1.0)</f>
        <v>1</v>
      </c>
      <c r="I165" s="11">
        <f>IFERROR(__xludf.DUMMYFUNCTION("""COMPUTED_VALUE"""),462.0)</f>
        <v>462</v>
      </c>
      <c r="J165" s="9" t="str">
        <f>IFERROR(__xludf.DUMMYFUNCTION("""COMPUTED_VALUE"""),"France")</f>
        <v>France</v>
      </c>
      <c r="K165" s="8"/>
      <c r="L165" s="12"/>
      <c r="M165" s="13"/>
      <c r="N165" s="13" t="str">
        <f>IFERROR(__xludf.DUMMYFUNCTION("IF(ISBLANK(M165),"""",M165*GOOGLEFINANCE(""USDGBP""))"),"")</f>
        <v/>
      </c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</row>
    <row r="166">
      <c r="A166" s="8" t="str">
        <f>IFERROR(__xludf.DUMMYFUNCTION("""COMPUTED_VALUE"""),"106788220200600750")</f>
        <v>106788220200600750</v>
      </c>
      <c r="B166" s="9" t="str">
        <f>IFERROR(__xludf.DUMMYFUNCTION("""COMPUTED_VALUE"""),"France")</f>
        <v>France</v>
      </c>
      <c r="C166" s="9" t="str">
        <f>IFERROR(__xludf.DUMMYFUNCTION("""COMPUTED_VALUE"""),"burgundy")</f>
        <v>burgundy</v>
      </c>
      <c r="D166" s="9" t="str">
        <f>IFERROR(__xludf.DUMMYFUNCTION("""COMPUTED_VALUE"""),"Domaine Faiveley, Batard-Montrachet Grand Cru")</f>
        <v>Domaine Faiveley, Batard-Montrachet Grand Cru</v>
      </c>
      <c r="E166" s="9">
        <f>IFERROR(__xludf.DUMMYFUNCTION("""COMPUTED_VALUE"""),2020.0)</f>
        <v>2020</v>
      </c>
      <c r="F166" s="9">
        <f>IFERROR(__xludf.DUMMYFUNCTION("""COMPUTED_VALUE"""),750.0)</f>
        <v>750</v>
      </c>
      <c r="G166" s="9">
        <f>IFERROR(__xludf.DUMMYFUNCTION("""COMPUTED_VALUE"""),6.0)</f>
        <v>6</v>
      </c>
      <c r="H166" s="10">
        <f>IFERROR(__xludf.DUMMYFUNCTION("""COMPUTED_VALUE"""),1.0)</f>
        <v>1</v>
      </c>
      <c r="I166" s="11">
        <f>IFERROR(__xludf.DUMMYFUNCTION("""COMPUTED_VALUE"""),2229.0)</f>
        <v>2229</v>
      </c>
      <c r="J166" s="9" t="str">
        <f>IFERROR(__xludf.DUMMYFUNCTION("""COMPUTED_VALUE"""),"France")</f>
        <v>France</v>
      </c>
      <c r="K166" s="8"/>
      <c r="L166" s="12"/>
      <c r="M166" s="13"/>
      <c r="N166" s="13" t="str">
        <f>IFERROR(__xludf.DUMMYFUNCTION("IF(ISBLANK(M166),"""",M166*GOOGLEFINANCE(""USDGBP""))"),"")</f>
        <v/>
      </c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</row>
    <row r="167">
      <c r="A167" s="8" t="str">
        <f>IFERROR(__xludf.DUMMYFUNCTION("""COMPUTED_VALUE"""),"106852820200600750")</f>
        <v>106852820200600750</v>
      </c>
      <c r="B167" s="9" t="str">
        <f>IFERROR(__xludf.DUMMYFUNCTION("""COMPUTED_VALUE"""),"France")</f>
        <v>France</v>
      </c>
      <c r="C167" s="9" t="str">
        <f>IFERROR(__xludf.DUMMYFUNCTION("""COMPUTED_VALUE"""),"burgundy")</f>
        <v>burgundy</v>
      </c>
      <c r="D167" s="9" t="str">
        <f>IFERROR(__xludf.DUMMYFUNCTION("""COMPUTED_VALUE"""),"Domaine Fontaine-Gagnard, Chassagne-Montrachet Premier Cru, Cailleret")</f>
        <v>Domaine Fontaine-Gagnard, Chassagne-Montrachet Premier Cru, Cailleret</v>
      </c>
      <c r="E167" s="9">
        <f>IFERROR(__xludf.DUMMYFUNCTION("""COMPUTED_VALUE"""),2020.0)</f>
        <v>2020</v>
      </c>
      <c r="F167" s="9">
        <f>IFERROR(__xludf.DUMMYFUNCTION("""COMPUTED_VALUE"""),750.0)</f>
        <v>750</v>
      </c>
      <c r="G167" s="9">
        <f>IFERROR(__xludf.DUMMYFUNCTION("""COMPUTED_VALUE"""),6.0)</f>
        <v>6</v>
      </c>
      <c r="H167" s="10">
        <f>IFERROR(__xludf.DUMMYFUNCTION("""COMPUTED_VALUE"""),1.0)</f>
        <v>1</v>
      </c>
      <c r="I167" s="11">
        <f>IFERROR(__xludf.DUMMYFUNCTION("""COMPUTED_VALUE"""),651.0)</f>
        <v>651</v>
      </c>
      <c r="J167" s="9" t="str">
        <f>IFERROR(__xludf.DUMMYFUNCTION("""COMPUTED_VALUE"""),"France")</f>
        <v>France</v>
      </c>
      <c r="K167" s="8"/>
      <c r="L167" s="12"/>
      <c r="M167" s="13"/>
      <c r="N167" s="13" t="str">
        <f>IFERROR(__xludf.DUMMYFUNCTION("IF(ISBLANK(M167),"""",M167*GOOGLEFINANCE(""USDGBP""))"),"")</f>
        <v/>
      </c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</row>
    <row r="168">
      <c r="A168" s="8" t="str">
        <f>IFERROR(__xludf.DUMMYFUNCTION("""COMPUTED_VALUE"""),"148387320190301500")</f>
        <v>148387320190301500</v>
      </c>
      <c r="B168" s="9" t="str">
        <f>IFERROR(__xludf.DUMMYFUNCTION("""COMPUTED_VALUE"""),"France")</f>
        <v>France</v>
      </c>
      <c r="C168" s="9" t="str">
        <f>IFERROR(__xludf.DUMMYFUNCTION("""COMPUTED_VALUE"""),"burgundy")</f>
        <v>burgundy</v>
      </c>
      <c r="D168" s="9" t="str">
        <f>IFERROR(__xludf.DUMMYFUNCTION("""COMPUTED_VALUE"""),"Domaine Francois Raveneau, Petit Chablis")</f>
        <v>Domaine Francois Raveneau, Petit Chablis</v>
      </c>
      <c r="E168" s="9">
        <f>IFERROR(__xludf.DUMMYFUNCTION("""COMPUTED_VALUE"""),2019.0)</f>
        <v>2019</v>
      </c>
      <c r="F168" s="9">
        <f>IFERROR(__xludf.DUMMYFUNCTION("""COMPUTED_VALUE"""),1500.0)</f>
        <v>1500</v>
      </c>
      <c r="G168" s="9">
        <f>IFERROR(__xludf.DUMMYFUNCTION("""COMPUTED_VALUE"""),3.0)</f>
        <v>3</v>
      </c>
      <c r="H168" s="10">
        <f>IFERROR(__xludf.DUMMYFUNCTION("""COMPUTED_VALUE"""),1.0)</f>
        <v>1</v>
      </c>
      <c r="I168" s="11">
        <f>IFERROR(__xludf.DUMMYFUNCTION("""COMPUTED_VALUE"""),1106.0)</f>
        <v>1106</v>
      </c>
      <c r="J168" s="9" t="str">
        <f>IFERROR(__xludf.DUMMYFUNCTION("""COMPUTED_VALUE"""),"France")</f>
        <v>France</v>
      </c>
      <c r="K168" s="8"/>
      <c r="L168" s="12"/>
      <c r="M168" s="13"/>
      <c r="N168" s="13" t="str">
        <f>IFERROR(__xludf.DUMMYFUNCTION("IF(ISBLANK(M168),"""",M168*GOOGLEFINANCE(""USDGBP""))"),"")</f>
        <v/>
      </c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</row>
    <row r="169">
      <c r="A169" s="8" t="str">
        <f>IFERROR(__xludf.DUMMYFUNCTION("""COMPUTED_VALUE"""),"106122620200600750")</f>
        <v>106122620200600750</v>
      </c>
      <c r="B169" s="9" t="str">
        <f>IFERROR(__xludf.DUMMYFUNCTION("""COMPUTED_VALUE"""),"France")</f>
        <v>France</v>
      </c>
      <c r="C169" s="9" t="str">
        <f>IFERROR(__xludf.DUMMYFUNCTION("""COMPUTED_VALUE"""),"burgundy")</f>
        <v>burgundy</v>
      </c>
      <c r="D169" s="9" t="str">
        <f>IFERROR(__xludf.DUMMYFUNCTION("""COMPUTED_VALUE"""),"Domaine Henri Boillot, Puligny-Montrachet Premier Cru, Clos de la Mouchere")</f>
        <v>Domaine Henri Boillot, Puligny-Montrachet Premier Cru, Clos de la Mouchere</v>
      </c>
      <c r="E169" s="9">
        <f>IFERROR(__xludf.DUMMYFUNCTION("""COMPUTED_VALUE"""),2020.0)</f>
        <v>2020</v>
      </c>
      <c r="F169" s="9">
        <f>IFERROR(__xludf.DUMMYFUNCTION("""COMPUTED_VALUE"""),750.0)</f>
        <v>750</v>
      </c>
      <c r="G169" s="9">
        <f>IFERROR(__xludf.DUMMYFUNCTION("""COMPUTED_VALUE"""),6.0)</f>
        <v>6</v>
      </c>
      <c r="H169" s="10">
        <f>IFERROR(__xludf.DUMMYFUNCTION("""COMPUTED_VALUE"""),1.0)</f>
        <v>1</v>
      </c>
      <c r="I169" s="11">
        <f>IFERROR(__xludf.DUMMYFUNCTION("""COMPUTED_VALUE"""),1181.0)</f>
        <v>1181</v>
      </c>
      <c r="J169" s="9" t="str">
        <f>IFERROR(__xludf.DUMMYFUNCTION("""COMPUTED_VALUE"""),"France")</f>
        <v>France</v>
      </c>
      <c r="K169" s="8"/>
      <c r="L169" s="12"/>
      <c r="M169" s="13"/>
      <c r="N169" s="13" t="str">
        <f>IFERROR(__xludf.DUMMYFUNCTION("IF(ISBLANK(M169),"""",M169*GOOGLEFINANCE(""USDGBP""))"),"")</f>
        <v/>
      </c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</row>
    <row r="170">
      <c r="A170" s="8" t="str">
        <f>IFERROR(__xludf.DUMMYFUNCTION("""COMPUTED_VALUE"""),"107273620180600750")</f>
        <v>107273620180600750</v>
      </c>
      <c r="B170" s="9" t="str">
        <f>IFERROR(__xludf.DUMMYFUNCTION("""COMPUTED_VALUE"""),"France")</f>
        <v>France</v>
      </c>
      <c r="C170" s="9" t="str">
        <f>IFERROR(__xludf.DUMMYFUNCTION("""COMPUTED_VALUE"""),"burgundy")</f>
        <v>burgundy</v>
      </c>
      <c r="D170" s="9" t="str">
        <f>IFERROR(__xludf.DUMMYFUNCTION("""COMPUTED_VALUE"""),"Domaine Louis Latour, Chevalier-Montrachet Grand Cru, Demoiselles")</f>
        <v>Domaine Louis Latour, Chevalier-Montrachet Grand Cru, Demoiselles</v>
      </c>
      <c r="E170" s="9">
        <f>IFERROR(__xludf.DUMMYFUNCTION("""COMPUTED_VALUE"""),2018.0)</f>
        <v>2018</v>
      </c>
      <c r="F170" s="9">
        <f>IFERROR(__xludf.DUMMYFUNCTION("""COMPUTED_VALUE"""),750.0)</f>
        <v>750</v>
      </c>
      <c r="G170" s="9">
        <f>IFERROR(__xludf.DUMMYFUNCTION("""COMPUTED_VALUE"""),6.0)</f>
        <v>6</v>
      </c>
      <c r="H170" s="10">
        <f>IFERROR(__xludf.DUMMYFUNCTION("""COMPUTED_VALUE"""),2.0)</f>
        <v>2</v>
      </c>
      <c r="I170" s="11">
        <f>IFERROR(__xludf.DUMMYFUNCTION("""COMPUTED_VALUE"""),2368.0)</f>
        <v>2368</v>
      </c>
      <c r="J170" s="9" t="str">
        <f>IFERROR(__xludf.DUMMYFUNCTION("""COMPUTED_VALUE"""),"France")</f>
        <v>France</v>
      </c>
      <c r="K170" s="8"/>
      <c r="L170" s="12"/>
      <c r="M170" s="13"/>
      <c r="N170" s="13" t="str">
        <f>IFERROR(__xludf.DUMMYFUNCTION("IF(ISBLANK(M170),"""",M170*GOOGLEFINANCE(""USDGBP""))"),"")</f>
        <v/>
      </c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</row>
    <row r="171">
      <c r="A171" s="8" t="str">
        <f>IFERROR(__xludf.DUMMYFUNCTION("""COMPUTED_VALUE"""),"107274920180600750")</f>
        <v>107274920180600750</v>
      </c>
      <c r="B171" s="9" t="str">
        <f>IFERROR(__xludf.DUMMYFUNCTION("""COMPUTED_VALUE"""),"France")</f>
        <v>France</v>
      </c>
      <c r="C171" s="9" t="str">
        <f>IFERROR(__xludf.DUMMYFUNCTION("""COMPUTED_VALUE"""),"burgundy")</f>
        <v>burgundy</v>
      </c>
      <c r="D171" s="9" t="str">
        <f>IFERROR(__xludf.DUMMYFUNCTION("""COMPUTED_VALUE"""),"Domaine Louis Latour, Corton-Charlemagne Grand Cru")</f>
        <v>Domaine Louis Latour, Corton-Charlemagne Grand Cru</v>
      </c>
      <c r="E171" s="9">
        <f>IFERROR(__xludf.DUMMYFUNCTION("""COMPUTED_VALUE"""),2018.0)</f>
        <v>2018</v>
      </c>
      <c r="F171" s="9">
        <f>IFERROR(__xludf.DUMMYFUNCTION("""COMPUTED_VALUE"""),750.0)</f>
        <v>750</v>
      </c>
      <c r="G171" s="9">
        <f>IFERROR(__xludf.DUMMYFUNCTION("""COMPUTED_VALUE"""),6.0)</f>
        <v>6</v>
      </c>
      <c r="H171" s="10">
        <f>IFERROR(__xludf.DUMMYFUNCTION("""COMPUTED_VALUE"""),8.0)</f>
        <v>8</v>
      </c>
      <c r="I171" s="11">
        <f>IFERROR(__xludf.DUMMYFUNCTION("""COMPUTED_VALUE"""),806.0)</f>
        <v>806</v>
      </c>
      <c r="J171" s="9" t="str">
        <f>IFERROR(__xludf.DUMMYFUNCTION("""COMPUTED_VALUE"""),"France")</f>
        <v>France</v>
      </c>
      <c r="K171" s="8"/>
      <c r="L171" s="12"/>
      <c r="M171" s="13"/>
      <c r="N171" s="13" t="str">
        <f>IFERROR(__xludf.DUMMYFUNCTION("IF(ISBLANK(M171),"""",M171*GOOGLEFINANCE(""USDGBP""))"),"")</f>
        <v/>
      </c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</row>
    <row r="172">
      <c r="A172" s="8" t="str">
        <f>IFERROR(__xludf.DUMMYFUNCTION("""COMPUTED_VALUE"""),"107274920200600750")</f>
        <v>107274920200600750</v>
      </c>
      <c r="B172" s="9" t="str">
        <f>IFERROR(__xludf.DUMMYFUNCTION("""COMPUTED_VALUE"""),"France")</f>
        <v>France</v>
      </c>
      <c r="C172" s="9" t="str">
        <f>IFERROR(__xludf.DUMMYFUNCTION("""COMPUTED_VALUE"""),"burgundy")</f>
        <v>burgundy</v>
      </c>
      <c r="D172" s="9" t="str">
        <f>IFERROR(__xludf.DUMMYFUNCTION("""COMPUTED_VALUE"""),"Domaine Louis Latour, Corton-Charlemagne Grand Cru")</f>
        <v>Domaine Louis Latour, Corton-Charlemagne Grand Cru</v>
      </c>
      <c r="E172" s="9">
        <f>IFERROR(__xludf.DUMMYFUNCTION("""COMPUTED_VALUE"""),2020.0)</f>
        <v>2020</v>
      </c>
      <c r="F172" s="9">
        <f>IFERROR(__xludf.DUMMYFUNCTION("""COMPUTED_VALUE"""),750.0)</f>
        <v>750</v>
      </c>
      <c r="G172" s="9">
        <f>IFERROR(__xludf.DUMMYFUNCTION("""COMPUTED_VALUE"""),6.0)</f>
        <v>6</v>
      </c>
      <c r="H172" s="10">
        <f>IFERROR(__xludf.DUMMYFUNCTION("""COMPUTED_VALUE"""),7.0)</f>
        <v>7</v>
      </c>
      <c r="I172" s="11">
        <f>IFERROR(__xludf.DUMMYFUNCTION("""COMPUTED_VALUE"""),834.0)</f>
        <v>834</v>
      </c>
      <c r="J172" s="9" t="str">
        <f>IFERROR(__xludf.DUMMYFUNCTION("""COMPUTED_VALUE"""),"France")</f>
        <v>France</v>
      </c>
      <c r="K172" s="8"/>
      <c r="L172" s="12"/>
      <c r="M172" s="13"/>
      <c r="N172" s="13" t="str">
        <f>IFERROR(__xludf.DUMMYFUNCTION("IF(ISBLANK(M172),"""",M172*GOOGLEFINANCE(""USDGBP""))"),"")</f>
        <v/>
      </c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</row>
    <row r="173">
      <c r="A173" s="8" t="str">
        <f>IFERROR(__xludf.DUMMYFUNCTION("""COMPUTED_VALUE"""),"144929520200600750")</f>
        <v>144929520200600750</v>
      </c>
      <c r="B173" s="9" t="str">
        <f>IFERROR(__xludf.DUMMYFUNCTION("""COMPUTED_VALUE"""),"France")</f>
        <v>France</v>
      </c>
      <c r="C173" s="9" t="str">
        <f>IFERROR(__xludf.DUMMYFUNCTION("""COMPUTED_VALUE"""),"burgundy")</f>
        <v>burgundy</v>
      </c>
      <c r="D173" s="9" t="str">
        <f>IFERROR(__xludf.DUMMYFUNCTION("""COMPUTED_VALUE"""),"Domaine de la Vougeraie, Puligny-Montrachet Premier Cru, Champ Gain")</f>
        <v>Domaine de la Vougeraie, Puligny-Montrachet Premier Cru, Champ Gain</v>
      </c>
      <c r="E173" s="9">
        <f>IFERROR(__xludf.DUMMYFUNCTION("""COMPUTED_VALUE"""),2020.0)</f>
        <v>2020</v>
      </c>
      <c r="F173" s="9">
        <f>IFERROR(__xludf.DUMMYFUNCTION("""COMPUTED_VALUE"""),750.0)</f>
        <v>750</v>
      </c>
      <c r="G173" s="9">
        <f>IFERROR(__xludf.DUMMYFUNCTION("""COMPUTED_VALUE"""),6.0)</f>
        <v>6</v>
      </c>
      <c r="H173" s="10">
        <f>IFERROR(__xludf.DUMMYFUNCTION("""COMPUTED_VALUE"""),1.0)</f>
        <v>1</v>
      </c>
      <c r="I173" s="11">
        <f>IFERROR(__xludf.DUMMYFUNCTION("""COMPUTED_VALUE"""),537.0)</f>
        <v>537</v>
      </c>
      <c r="J173" s="9" t="str">
        <f>IFERROR(__xludf.DUMMYFUNCTION("""COMPUTED_VALUE"""),"France")</f>
        <v>France</v>
      </c>
      <c r="K173" s="8"/>
      <c r="L173" s="12"/>
      <c r="M173" s="13"/>
      <c r="N173" s="13" t="str">
        <f>IFERROR(__xludf.DUMMYFUNCTION("IF(ISBLANK(M173),"""",M173*GOOGLEFINANCE(""USDGBP""))"),"")</f>
        <v/>
      </c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</row>
    <row r="174">
      <c r="A174" s="8" t="str">
        <f>IFERROR(__xludf.DUMMYFUNCTION("""COMPUTED_VALUE"""),"108161720200600750")</f>
        <v>108161720200600750</v>
      </c>
      <c r="B174" s="9" t="str">
        <f>IFERROR(__xludf.DUMMYFUNCTION("""COMPUTED_VALUE"""),"France")</f>
        <v>France</v>
      </c>
      <c r="C174" s="9" t="str">
        <f>IFERROR(__xludf.DUMMYFUNCTION("""COMPUTED_VALUE"""),"burgundy")</f>
        <v>burgundy</v>
      </c>
      <c r="D174" s="9" t="str">
        <f>IFERROR(__xludf.DUMMYFUNCTION("""COMPUTED_VALUE"""),"Domaine de la Vougeraie, Vougeot Premier Cru, Le Clos Blanc de Vougeot")</f>
        <v>Domaine de la Vougeraie, Vougeot Premier Cru, Le Clos Blanc de Vougeot</v>
      </c>
      <c r="E174" s="9">
        <f>IFERROR(__xludf.DUMMYFUNCTION("""COMPUTED_VALUE"""),2020.0)</f>
        <v>2020</v>
      </c>
      <c r="F174" s="9">
        <f>IFERROR(__xludf.DUMMYFUNCTION("""COMPUTED_VALUE"""),750.0)</f>
        <v>750</v>
      </c>
      <c r="G174" s="9">
        <f>IFERROR(__xludf.DUMMYFUNCTION("""COMPUTED_VALUE"""),6.0)</f>
        <v>6</v>
      </c>
      <c r="H174" s="10">
        <f>IFERROR(__xludf.DUMMYFUNCTION("""COMPUTED_VALUE"""),1.0)</f>
        <v>1</v>
      </c>
      <c r="I174" s="11">
        <f>IFERROR(__xludf.DUMMYFUNCTION("""COMPUTED_VALUE"""),526.0)</f>
        <v>526</v>
      </c>
      <c r="J174" s="9" t="str">
        <f>IFERROR(__xludf.DUMMYFUNCTION("""COMPUTED_VALUE"""),"France")</f>
        <v>France</v>
      </c>
      <c r="K174" s="8"/>
      <c r="L174" s="12"/>
      <c r="M174" s="13"/>
      <c r="N174" s="13" t="str">
        <f>IFERROR(__xludf.DUMMYFUNCTION("IF(ISBLANK(M174),"""",M174*GOOGLEFINANCE(""USDGBP""))"),"")</f>
        <v/>
      </c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</row>
    <row r="175">
      <c r="A175" s="8" t="str">
        <f>IFERROR(__xludf.DUMMYFUNCTION("""COMPUTED_VALUE"""),"107902520200600750")</f>
        <v>107902520200600750</v>
      </c>
      <c r="B175" s="9" t="str">
        <f>IFERROR(__xludf.DUMMYFUNCTION("""COMPUTED_VALUE"""),"France")</f>
        <v>France</v>
      </c>
      <c r="C175" s="9" t="str">
        <f>IFERROR(__xludf.DUMMYFUNCTION("""COMPUTED_VALUE"""),"burgundy")</f>
        <v>burgundy</v>
      </c>
      <c r="D175" s="9" t="str">
        <f>IFERROR(__xludf.DUMMYFUNCTION("""COMPUTED_VALUE"""),"Jean-Claude Ramonet, Chassagne-Montrachet Premier Cru, Morgeot Blanc")</f>
        <v>Jean-Claude Ramonet, Chassagne-Montrachet Premier Cru, Morgeot Blanc</v>
      </c>
      <c r="E175" s="9">
        <f>IFERROR(__xludf.DUMMYFUNCTION("""COMPUTED_VALUE"""),2020.0)</f>
        <v>2020</v>
      </c>
      <c r="F175" s="9">
        <f>IFERROR(__xludf.DUMMYFUNCTION("""COMPUTED_VALUE"""),750.0)</f>
        <v>750</v>
      </c>
      <c r="G175" s="9">
        <f>IFERROR(__xludf.DUMMYFUNCTION("""COMPUTED_VALUE"""),6.0)</f>
        <v>6</v>
      </c>
      <c r="H175" s="10">
        <f>IFERROR(__xludf.DUMMYFUNCTION("""COMPUTED_VALUE"""),1.0)</f>
        <v>1</v>
      </c>
      <c r="I175" s="11">
        <f>IFERROR(__xludf.DUMMYFUNCTION("""COMPUTED_VALUE"""),1421.0)</f>
        <v>1421</v>
      </c>
      <c r="J175" s="9" t="str">
        <f>IFERROR(__xludf.DUMMYFUNCTION("""COMPUTED_VALUE"""),"France")</f>
        <v>France</v>
      </c>
      <c r="K175" s="8"/>
      <c r="L175" s="12"/>
      <c r="M175" s="13"/>
      <c r="N175" s="13" t="str">
        <f>IFERROR(__xludf.DUMMYFUNCTION("IF(ISBLANK(M175),"""",M175*GOOGLEFINANCE(""USDGBP""))"),"")</f>
        <v/>
      </c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</row>
    <row r="176">
      <c r="A176" s="8" t="str">
        <f>IFERROR(__xludf.DUMMYFUNCTION("""COMPUTED_VALUE"""),"106718520200600750")</f>
        <v>106718520200600750</v>
      </c>
      <c r="B176" s="9" t="str">
        <f>IFERROR(__xludf.DUMMYFUNCTION("""COMPUTED_VALUE"""),"France")</f>
        <v>France</v>
      </c>
      <c r="C176" s="9" t="str">
        <f>IFERROR(__xludf.DUMMYFUNCTION("""COMPUTED_VALUE"""),"burgundy")</f>
        <v>burgundy</v>
      </c>
      <c r="D176" s="9" t="str">
        <f>IFERROR(__xludf.DUMMYFUNCTION("""COMPUTED_VALUE"""),"Joseph Drouhin, Beaune Premier Cru, Le Clos des Mouches Blanc")</f>
        <v>Joseph Drouhin, Beaune Premier Cru, Le Clos des Mouches Blanc</v>
      </c>
      <c r="E176" s="9">
        <f>IFERROR(__xludf.DUMMYFUNCTION("""COMPUTED_VALUE"""),2020.0)</f>
        <v>2020</v>
      </c>
      <c r="F176" s="9">
        <f>IFERROR(__xludf.DUMMYFUNCTION("""COMPUTED_VALUE"""),750.0)</f>
        <v>750</v>
      </c>
      <c r="G176" s="9">
        <f>IFERROR(__xludf.DUMMYFUNCTION("""COMPUTED_VALUE"""),6.0)</f>
        <v>6</v>
      </c>
      <c r="H176" s="10">
        <f>IFERROR(__xludf.DUMMYFUNCTION("""COMPUTED_VALUE"""),1.0)</f>
        <v>1</v>
      </c>
      <c r="I176" s="11">
        <f>IFERROR(__xludf.DUMMYFUNCTION("""COMPUTED_VALUE"""),776.0)</f>
        <v>776</v>
      </c>
      <c r="J176" s="9" t="str">
        <f>IFERROR(__xludf.DUMMYFUNCTION("""COMPUTED_VALUE"""),"France")</f>
        <v>France</v>
      </c>
      <c r="K176" s="8"/>
      <c r="L176" s="12"/>
      <c r="M176" s="13"/>
      <c r="N176" s="13" t="str">
        <f>IFERROR(__xludf.DUMMYFUNCTION("IF(ISBLANK(M176),"""",M176*GOOGLEFINANCE(""USDGBP""))"),"")</f>
        <v/>
      </c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</row>
    <row r="177">
      <c r="A177" s="8" t="str">
        <f>IFERROR(__xludf.DUMMYFUNCTION("""COMPUTED_VALUE"""),"114220020200600750")</f>
        <v>114220020200600750</v>
      </c>
      <c r="B177" s="9" t="str">
        <f>IFERROR(__xludf.DUMMYFUNCTION("""COMPUTED_VALUE"""),"France")</f>
        <v>France</v>
      </c>
      <c r="C177" s="9" t="str">
        <f>IFERROR(__xludf.DUMMYFUNCTION("""COMPUTED_VALUE"""),"burgundy")</f>
        <v>burgundy</v>
      </c>
      <c r="D177" s="9" t="str">
        <f>IFERROR(__xludf.DUMMYFUNCTION("""COMPUTED_VALUE"""),"Joseph Drouhin, Chassagne-Montrachet Premier Cru, Morgeot Marquis de Laguiche")</f>
        <v>Joseph Drouhin, Chassagne-Montrachet Premier Cru, Morgeot Marquis de Laguiche</v>
      </c>
      <c r="E177" s="9">
        <f>IFERROR(__xludf.DUMMYFUNCTION("""COMPUTED_VALUE"""),2020.0)</f>
        <v>2020</v>
      </c>
      <c r="F177" s="9">
        <f>IFERROR(__xludf.DUMMYFUNCTION("""COMPUTED_VALUE"""),750.0)</f>
        <v>750</v>
      </c>
      <c r="G177" s="9">
        <f>IFERROR(__xludf.DUMMYFUNCTION("""COMPUTED_VALUE"""),6.0)</f>
        <v>6</v>
      </c>
      <c r="H177" s="10">
        <f>IFERROR(__xludf.DUMMYFUNCTION("""COMPUTED_VALUE"""),1.0)</f>
        <v>1</v>
      </c>
      <c r="I177" s="11">
        <f>IFERROR(__xludf.DUMMYFUNCTION("""COMPUTED_VALUE"""),634.0)</f>
        <v>634</v>
      </c>
      <c r="J177" s="9" t="str">
        <f>IFERROR(__xludf.DUMMYFUNCTION("""COMPUTED_VALUE"""),"France")</f>
        <v>France</v>
      </c>
      <c r="K177" s="8"/>
      <c r="L177" s="12"/>
      <c r="M177" s="13"/>
      <c r="N177" s="13" t="str">
        <f>IFERROR(__xludf.DUMMYFUNCTION("IF(ISBLANK(M177),"""",M177*GOOGLEFINANCE(""USDGBP""))"),"")</f>
        <v/>
      </c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</row>
    <row r="178">
      <c r="A178" s="8" t="str">
        <f>IFERROR(__xludf.DUMMYFUNCTION("""COMPUTED_VALUE"""),"131966220200600750")</f>
        <v>131966220200600750</v>
      </c>
      <c r="B178" s="9" t="str">
        <f>IFERROR(__xludf.DUMMYFUNCTION("""COMPUTED_VALUE"""),"France")</f>
        <v>France</v>
      </c>
      <c r="C178" s="9" t="str">
        <f>IFERROR(__xludf.DUMMYFUNCTION("""COMPUTED_VALUE"""),"burgundy")</f>
        <v>burgundy</v>
      </c>
      <c r="D178" s="9" t="str">
        <f>IFERROR(__xludf.DUMMYFUNCTION("""COMPUTED_VALUE"""),"La Pousse d'Or, Puligny-Montrachet Premier Cru, Le Cailleret")</f>
        <v>La Pousse d'Or, Puligny-Montrachet Premier Cru, Le Cailleret</v>
      </c>
      <c r="E178" s="9">
        <f>IFERROR(__xludf.DUMMYFUNCTION("""COMPUTED_VALUE"""),2020.0)</f>
        <v>2020</v>
      </c>
      <c r="F178" s="9">
        <f>IFERROR(__xludf.DUMMYFUNCTION("""COMPUTED_VALUE"""),750.0)</f>
        <v>750</v>
      </c>
      <c r="G178" s="9">
        <f>IFERROR(__xludf.DUMMYFUNCTION("""COMPUTED_VALUE"""),6.0)</f>
        <v>6</v>
      </c>
      <c r="H178" s="10">
        <f>IFERROR(__xludf.DUMMYFUNCTION("""COMPUTED_VALUE"""),1.0)</f>
        <v>1</v>
      </c>
      <c r="I178" s="11">
        <f>IFERROR(__xludf.DUMMYFUNCTION("""COMPUTED_VALUE"""),560.0)</f>
        <v>560</v>
      </c>
      <c r="J178" s="9" t="str">
        <f>IFERROR(__xludf.DUMMYFUNCTION("""COMPUTED_VALUE"""),"France")</f>
        <v>France</v>
      </c>
      <c r="K178" s="8"/>
      <c r="L178" s="12"/>
      <c r="M178" s="13"/>
      <c r="N178" s="13" t="str">
        <f>IFERROR(__xludf.DUMMYFUNCTION("IF(ISBLANK(M178),"""",M178*GOOGLEFINANCE(""USDGBP""))"),"")</f>
        <v/>
      </c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</row>
    <row r="179">
      <c r="A179" s="8" t="str">
        <f>IFERROR(__xludf.DUMMYFUNCTION("""COMPUTED_VALUE"""),"236013120190600750")</f>
        <v>236013120190600750</v>
      </c>
      <c r="B179" s="9" t="str">
        <f>IFERROR(__xludf.DUMMYFUNCTION("""COMPUTED_VALUE"""),"France")</f>
        <v>France</v>
      </c>
      <c r="C179" s="9" t="str">
        <f>IFERROR(__xludf.DUMMYFUNCTION("""COMPUTED_VALUE"""),"burgundy")</f>
        <v>burgundy</v>
      </c>
      <c r="D179" s="9" t="str">
        <f>IFERROR(__xludf.DUMMYFUNCTION("""COMPUTED_VALUE"""),"Maison Louis Latour, Batard-Montrachet Grand Cru, Clos Poirier")</f>
        <v>Maison Louis Latour, Batard-Montrachet Grand Cru, Clos Poirier</v>
      </c>
      <c r="E179" s="9">
        <f>IFERROR(__xludf.DUMMYFUNCTION("""COMPUTED_VALUE"""),2019.0)</f>
        <v>2019</v>
      </c>
      <c r="F179" s="9">
        <f>IFERROR(__xludf.DUMMYFUNCTION("""COMPUTED_VALUE"""),750.0)</f>
        <v>750</v>
      </c>
      <c r="G179" s="9">
        <f>IFERROR(__xludf.DUMMYFUNCTION("""COMPUTED_VALUE"""),6.0)</f>
        <v>6</v>
      </c>
      <c r="H179" s="10">
        <f>IFERROR(__xludf.DUMMYFUNCTION("""COMPUTED_VALUE"""),1.0)</f>
        <v>1</v>
      </c>
      <c r="I179" s="11">
        <f>IFERROR(__xludf.DUMMYFUNCTION("""COMPUTED_VALUE"""),2334.0)</f>
        <v>2334</v>
      </c>
      <c r="J179" s="9" t="str">
        <f>IFERROR(__xludf.DUMMYFUNCTION("""COMPUTED_VALUE"""),"France")</f>
        <v>France</v>
      </c>
      <c r="K179" s="8"/>
      <c r="L179" s="12"/>
      <c r="M179" s="13"/>
      <c r="N179" s="13" t="str">
        <f>IFERROR(__xludf.DUMMYFUNCTION("IF(ISBLANK(M179),"""",M179*GOOGLEFINANCE(""USDGBP""))"),"")</f>
        <v/>
      </c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</row>
    <row r="180">
      <c r="A180" s="8" t="str">
        <f>IFERROR(__xludf.DUMMYFUNCTION("""COMPUTED_VALUE"""),"107288220180600750")</f>
        <v>107288220180600750</v>
      </c>
      <c r="B180" s="9" t="str">
        <f>IFERROR(__xludf.DUMMYFUNCTION("""COMPUTED_VALUE"""),"France")</f>
        <v>France</v>
      </c>
      <c r="C180" s="9" t="str">
        <f>IFERROR(__xludf.DUMMYFUNCTION("""COMPUTED_VALUE"""),"burgundy")</f>
        <v>burgundy</v>
      </c>
      <c r="D180" s="9" t="str">
        <f>IFERROR(__xludf.DUMMYFUNCTION("""COMPUTED_VALUE"""),"Maison Louis Latour, Montrachet Grand Cru")</f>
        <v>Maison Louis Latour, Montrachet Grand Cru</v>
      </c>
      <c r="E180" s="9">
        <f>IFERROR(__xludf.DUMMYFUNCTION("""COMPUTED_VALUE"""),2018.0)</f>
        <v>2018</v>
      </c>
      <c r="F180" s="9">
        <f>IFERROR(__xludf.DUMMYFUNCTION("""COMPUTED_VALUE"""),750.0)</f>
        <v>750</v>
      </c>
      <c r="G180" s="9">
        <f>IFERROR(__xludf.DUMMYFUNCTION("""COMPUTED_VALUE"""),6.0)</f>
        <v>6</v>
      </c>
      <c r="H180" s="10">
        <f>IFERROR(__xludf.DUMMYFUNCTION("""COMPUTED_VALUE"""),3.0)</f>
        <v>3</v>
      </c>
      <c r="I180" s="11">
        <f>IFERROR(__xludf.DUMMYFUNCTION("""COMPUTED_VALUE"""),2745.0)</f>
        <v>2745</v>
      </c>
      <c r="J180" s="9" t="str">
        <f>IFERROR(__xludf.DUMMYFUNCTION("""COMPUTED_VALUE"""),"France")</f>
        <v>France</v>
      </c>
      <c r="K180" s="8"/>
      <c r="L180" s="12"/>
      <c r="M180" s="13"/>
      <c r="N180" s="13" t="str">
        <f>IFERROR(__xludf.DUMMYFUNCTION("IF(ISBLANK(M180),"""",M180*GOOGLEFINANCE(""USDGBP""))"),"")</f>
        <v/>
      </c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</row>
    <row r="181">
      <c r="A181" s="8" t="str">
        <f>IFERROR(__xludf.DUMMYFUNCTION("""COMPUTED_VALUE"""),"107772820180600750")</f>
        <v>107772820180600750</v>
      </c>
      <c r="B181" s="9" t="str">
        <f>IFERROR(__xludf.DUMMYFUNCTION("""COMPUTED_VALUE"""),"France")</f>
        <v>France</v>
      </c>
      <c r="C181" s="9" t="str">
        <f>IFERROR(__xludf.DUMMYFUNCTION("""COMPUTED_VALUE"""),"burgundy")</f>
        <v>burgundy</v>
      </c>
      <c r="D181" s="9" t="str">
        <f>IFERROR(__xludf.DUMMYFUNCTION("""COMPUTED_VALUE"""),"Paul Pernot, Puligny-Montrachet Premier Cru, Les Folatieres")</f>
        <v>Paul Pernot, Puligny-Montrachet Premier Cru, Les Folatieres</v>
      </c>
      <c r="E181" s="9">
        <f>IFERROR(__xludf.DUMMYFUNCTION("""COMPUTED_VALUE"""),2018.0)</f>
        <v>2018</v>
      </c>
      <c r="F181" s="9">
        <f>IFERROR(__xludf.DUMMYFUNCTION("""COMPUTED_VALUE"""),750.0)</f>
        <v>750</v>
      </c>
      <c r="G181" s="9">
        <f>IFERROR(__xludf.DUMMYFUNCTION("""COMPUTED_VALUE"""),6.0)</f>
        <v>6</v>
      </c>
      <c r="H181" s="10">
        <f>IFERROR(__xludf.DUMMYFUNCTION("""COMPUTED_VALUE"""),1.0)</f>
        <v>1</v>
      </c>
      <c r="I181" s="11">
        <f>IFERROR(__xludf.DUMMYFUNCTION("""COMPUTED_VALUE"""),789.0)</f>
        <v>789</v>
      </c>
      <c r="J181" s="9" t="str">
        <f>IFERROR(__xludf.DUMMYFUNCTION("""COMPUTED_VALUE"""),"France")</f>
        <v>France</v>
      </c>
      <c r="K181" s="8"/>
      <c r="L181" s="12"/>
      <c r="M181" s="13"/>
      <c r="N181" s="13" t="str">
        <f>IFERROR(__xludf.DUMMYFUNCTION("IF(ISBLANK(M181),"""",M181*GOOGLEFINANCE(""USDGBP""))"),"")</f>
        <v/>
      </c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</row>
    <row r="182">
      <c r="A182" s="8" t="str">
        <f>IFERROR(__xludf.DUMMYFUNCTION("""COMPUTED_VALUE"""),"106923520200600750")</f>
        <v>106923520200600750</v>
      </c>
      <c r="B182" s="9" t="str">
        <f>IFERROR(__xludf.DUMMYFUNCTION("""COMPUTED_VALUE"""),"France")</f>
        <v>France</v>
      </c>
      <c r="C182" s="9" t="str">
        <f>IFERROR(__xludf.DUMMYFUNCTION("""COMPUTED_VALUE"""),"burgundy")</f>
        <v>burgundy</v>
      </c>
      <c r="D182" s="9" t="str">
        <f>IFERROR(__xludf.DUMMYFUNCTION("""COMPUTED_VALUE"""),"Vincent Girardin, Chassagne-Montrachet Premier Cru, Blanchot Dessus")</f>
        <v>Vincent Girardin, Chassagne-Montrachet Premier Cru, Blanchot Dessus</v>
      </c>
      <c r="E182" s="9">
        <f>IFERROR(__xludf.DUMMYFUNCTION("""COMPUTED_VALUE"""),2020.0)</f>
        <v>2020</v>
      </c>
      <c r="F182" s="9">
        <f>IFERROR(__xludf.DUMMYFUNCTION("""COMPUTED_VALUE"""),750.0)</f>
        <v>750</v>
      </c>
      <c r="G182" s="9">
        <f>IFERROR(__xludf.DUMMYFUNCTION("""COMPUTED_VALUE"""),6.0)</f>
        <v>6</v>
      </c>
      <c r="H182" s="10">
        <f>IFERROR(__xludf.DUMMYFUNCTION("""COMPUTED_VALUE"""),1.0)</f>
        <v>1</v>
      </c>
      <c r="I182" s="11">
        <f>IFERROR(__xludf.DUMMYFUNCTION("""COMPUTED_VALUE"""),739.0)</f>
        <v>739</v>
      </c>
      <c r="J182" s="9" t="str">
        <f>IFERROR(__xludf.DUMMYFUNCTION("""COMPUTED_VALUE"""),"France")</f>
        <v>France</v>
      </c>
      <c r="K182" s="8"/>
      <c r="L182" s="12"/>
      <c r="M182" s="13"/>
      <c r="N182" s="13" t="str">
        <f>IFERROR(__xludf.DUMMYFUNCTION("IF(ISBLANK(M182),"""",M182*GOOGLEFINANCE(""USDGBP""))"),"")</f>
        <v/>
      </c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</row>
    <row r="183">
      <c r="A183" s="8" t="str">
        <f>IFERROR(__xludf.DUMMYFUNCTION("""COMPUTED_VALUE"""),"114116020190300750")</f>
        <v>114116020190300750</v>
      </c>
      <c r="B183" s="9" t="str">
        <f>IFERROR(__xludf.DUMMYFUNCTION("""COMPUTED_VALUE"""),"United States")</f>
        <v>United States</v>
      </c>
      <c r="C183" s="9" t="str">
        <f>IFERROR(__xludf.DUMMYFUNCTION("""COMPUTED_VALUE"""),"california")</f>
        <v>california</v>
      </c>
      <c r="D183" s="9" t="str">
        <f>IFERROR(__xludf.DUMMYFUNCTION("""COMPUTED_VALUE"""),"Colgin, IX Estate, Napa Valley")</f>
        <v>Colgin, IX Estate, Napa Valley</v>
      </c>
      <c r="E183" s="9">
        <f>IFERROR(__xludf.DUMMYFUNCTION("""COMPUTED_VALUE"""),2019.0)</f>
        <v>2019</v>
      </c>
      <c r="F183" s="9">
        <f>IFERROR(__xludf.DUMMYFUNCTION("""COMPUTED_VALUE"""),750.0)</f>
        <v>750</v>
      </c>
      <c r="G183" s="9">
        <f>IFERROR(__xludf.DUMMYFUNCTION("""COMPUTED_VALUE"""),3.0)</f>
        <v>3</v>
      </c>
      <c r="H183" s="10">
        <f>IFERROR(__xludf.DUMMYFUNCTION("""COMPUTED_VALUE"""),1.0)</f>
        <v>1</v>
      </c>
      <c r="I183" s="11">
        <f>IFERROR(__xludf.DUMMYFUNCTION("""COMPUTED_VALUE"""),1639.0)</f>
        <v>1639</v>
      </c>
      <c r="J183" s="9" t="str">
        <f>IFERROR(__xludf.DUMMYFUNCTION("""COMPUTED_VALUE"""),"France")</f>
        <v>France</v>
      </c>
      <c r="K183" s="8"/>
      <c r="L183" s="12"/>
      <c r="M183" s="13"/>
      <c r="N183" s="13" t="str">
        <f>IFERROR(__xludf.DUMMYFUNCTION("IF(ISBLANK(M183),"""",M183*GOOGLEFINANCE(""USDGBP""))"),"")</f>
        <v/>
      </c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</row>
    <row r="184">
      <c r="A184" s="8" t="str">
        <f>IFERROR(__xludf.DUMMYFUNCTION("""COMPUTED_VALUE"""),"113058820180600750")</f>
        <v>113058820180600750</v>
      </c>
      <c r="B184" s="9" t="str">
        <f>IFERROR(__xludf.DUMMYFUNCTION("""COMPUTED_VALUE"""),"United States")</f>
        <v>United States</v>
      </c>
      <c r="C184" s="9" t="str">
        <f>IFERROR(__xludf.DUMMYFUNCTION("""COMPUTED_VALUE"""),"california")</f>
        <v>california</v>
      </c>
      <c r="D184" s="9" t="str">
        <f>IFERROR(__xludf.DUMMYFUNCTION("""COMPUTED_VALUE"""),"Dalla Valle, Cabernet Sauvignon, Napa Valley")</f>
        <v>Dalla Valle, Cabernet Sauvignon, Napa Valley</v>
      </c>
      <c r="E184" s="9">
        <f>IFERROR(__xludf.DUMMYFUNCTION("""COMPUTED_VALUE"""),2018.0)</f>
        <v>2018</v>
      </c>
      <c r="F184" s="9">
        <f>IFERROR(__xludf.DUMMYFUNCTION("""COMPUTED_VALUE"""),750.0)</f>
        <v>750</v>
      </c>
      <c r="G184" s="9">
        <f>IFERROR(__xludf.DUMMYFUNCTION("""COMPUTED_VALUE"""),6.0)</f>
        <v>6</v>
      </c>
      <c r="H184" s="10">
        <f>IFERROR(__xludf.DUMMYFUNCTION("""COMPUTED_VALUE"""),1.0)</f>
        <v>1</v>
      </c>
      <c r="I184" s="11">
        <f>IFERROR(__xludf.DUMMYFUNCTION("""COMPUTED_VALUE"""),1165.0)</f>
        <v>1165</v>
      </c>
      <c r="J184" s="9" t="str">
        <f>IFERROR(__xludf.DUMMYFUNCTION("""COMPUTED_VALUE"""),"France")</f>
        <v>France</v>
      </c>
      <c r="K184" s="8"/>
      <c r="L184" s="12"/>
      <c r="M184" s="13"/>
      <c r="N184" s="13" t="str">
        <f>IFERROR(__xludf.DUMMYFUNCTION("IF(ISBLANK(M184),"""",M184*GOOGLEFINANCE(""USDGBP""))"),"")</f>
        <v/>
      </c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</row>
    <row r="185">
      <c r="A185" s="8" t="str">
        <f>IFERROR(__xludf.DUMMYFUNCTION("""COMPUTED_VALUE"""),"158513120190600750")</f>
        <v>158513120190600750</v>
      </c>
      <c r="B185" s="9" t="str">
        <f>IFERROR(__xludf.DUMMYFUNCTION("""COMPUTED_VALUE"""),"United States")</f>
        <v>United States</v>
      </c>
      <c r="C185" s="9" t="str">
        <f>IFERROR(__xludf.DUMMYFUNCTION("""COMPUTED_VALUE"""),"california")</f>
        <v>california</v>
      </c>
      <c r="D185" s="9" t="str">
        <f>IFERROR(__xludf.DUMMYFUNCTION("""COMPUTED_VALUE"""),"Inglenook, Cabernet Sauvignon, Rutherford")</f>
        <v>Inglenook, Cabernet Sauvignon, Rutherford</v>
      </c>
      <c r="E185" s="9">
        <f>IFERROR(__xludf.DUMMYFUNCTION("""COMPUTED_VALUE"""),2019.0)</f>
        <v>2019</v>
      </c>
      <c r="F185" s="9">
        <f>IFERROR(__xludf.DUMMYFUNCTION("""COMPUTED_VALUE"""),750.0)</f>
        <v>750</v>
      </c>
      <c r="G185" s="9">
        <f>IFERROR(__xludf.DUMMYFUNCTION("""COMPUTED_VALUE"""),6.0)</f>
        <v>6</v>
      </c>
      <c r="H185" s="10">
        <f>IFERROR(__xludf.DUMMYFUNCTION("""COMPUTED_VALUE"""),28.0)</f>
        <v>28</v>
      </c>
      <c r="I185" s="11">
        <f>IFERROR(__xludf.DUMMYFUNCTION("""COMPUTED_VALUE"""),414.0)</f>
        <v>414</v>
      </c>
      <c r="J185" s="9" t="str">
        <f>IFERROR(__xludf.DUMMYFUNCTION("""COMPUTED_VALUE"""),"France")</f>
        <v>France</v>
      </c>
      <c r="K185" s="8"/>
      <c r="L185" s="12"/>
      <c r="M185" s="13"/>
      <c r="N185" s="13" t="str">
        <f>IFERROR(__xludf.DUMMYFUNCTION("IF(ISBLANK(M185),"""",M185*GOOGLEFINANCE(""USDGBP""))"),"")</f>
        <v/>
      </c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</row>
    <row r="186">
      <c r="A186" s="8" t="str">
        <f>IFERROR(__xludf.DUMMYFUNCTION("""COMPUTED_VALUE"""),"114274720190600750")</f>
        <v>114274720190600750</v>
      </c>
      <c r="B186" s="9" t="str">
        <f>IFERROR(__xludf.DUMMYFUNCTION("""COMPUTED_VALUE"""),"United States")</f>
        <v>United States</v>
      </c>
      <c r="C186" s="9" t="str">
        <f>IFERROR(__xludf.DUMMYFUNCTION("""COMPUTED_VALUE"""),"california")</f>
        <v>california</v>
      </c>
      <c r="D186" s="9" t="str">
        <f>IFERROR(__xludf.DUMMYFUNCTION("""COMPUTED_VALUE"""),"Inglenook, Rubicon, Napa Valley")</f>
        <v>Inglenook, Rubicon, Napa Valley</v>
      </c>
      <c r="E186" s="9">
        <f>IFERROR(__xludf.DUMMYFUNCTION("""COMPUTED_VALUE"""),2019.0)</f>
        <v>2019</v>
      </c>
      <c r="F186" s="9">
        <f>IFERROR(__xludf.DUMMYFUNCTION("""COMPUTED_VALUE"""),750.0)</f>
        <v>750</v>
      </c>
      <c r="G186" s="9">
        <f>IFERROR(__xludf.DUMMYFUNCTION("""COMPUTED_VALUE"""),6.0)</f>
        <v>6</v>
      </c>
      <c r="H186" s="10">
        <f>IFERROR(__xludf.DUMMYFUNCTION("""COMPUTED_VALUE"""),1.0)</f>
        <v>1</v>
      </c>
      <c r="I186" s="11">
        <f>IFERROR(__xludf.DUMMYFUNCTION("""COMPUTED_VALUE"""),795.0)</f>
        <v>795</v>
      </c>
      <c r="J186" s="9" t="str">
        <f>IFERROR(__xludf.DUMMYFUNCTION("""COMPUTED_VALUE"""),"France")</f>
        <v>France</v>
      </c>
      <c r="K186" s="8"/>
      <c r="L186" s="12"/>
      <c r="M186" s="13"/>
      <c r="N186" s="13" t="str">
        <f>IFERROR(__xludf.DUMMYFUNCTION("IF(ISBLANK(M186),"""",M186*GOOGLEFINANCE(""USDGBP""))"),"")</f>
        <v/>
      </c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</row>
    <row r="187">
      <c r="A187" s="8" t="str">
        <f>IFERROR(__xludf.DUMMYFUNCTION("""COMPUTED_VALUE"""),"179631520180300750")</f>
        <v>179631520180300750</v>
      </c>
      <c r="B187" s="9" t="str">
        <f>IFERROR(__xludf.DUMMYFUNCTION("""COMPUTED_VALUE"""),"United States")</f>
        <v>United States</v>
      </c>
      <c r="C187" s="9" t="str">
        <f>IFERROR(__xludf.DUMMYFUNCTION("""COMPUTED_VALUE"""),"california")</f>
        <v>california</v>
      </c>
      <c r="D187" s="9" t="str">
        <f>IFERROR(__xludf.DUMMYFUNCTION("""COMPUTED_VALUE"""),"Tesseron, Pym Rae, Napa Valley")</f>
        <v>Tesseron, Pym Rae, Napa Valley</v>
      </c>
      <c r="E187" s="9">
        <f>IFERROR(__xludf.DUMMYFUNCTION("""COMPUTED_VALUE"""),2018.0)</f>
        <v>2018</v>
      </c>
      <c r="F187" s="9">
        <f>IFERROR(__xludf.DUMMYFUNCTION("""COMPUTED_VALUE"""),750.0)</f>
        <v>750</v>
      </c>
      <c r="G187" s="9">
        <f>IFERROR(__xludf.DUMMYFUNCTION("""COMPUTED_VALUE"""),3.0)</f>
        <v>3</v>
      </c>
      <c r="H187" s="10">
        <f>IFERROR(__xludf.DUMMYFUNCTION("""COMPUTED_VALUE"""),11.0)</f>
        <v>11</v>
      </c>
      <c r="I187" s="11">
        <f>IFERROR(__xludf.DUMMYFUNCTION("""COMPUTED_VALUE"""),660.0)</f>
        <v>660</v>
      </c>
      <c r="J187" s="9" t="str">
        <f>IFERROR(__xludf.DUMMYFUNCTION("""COMPUTED_VALUE"""),"France")</f>
        <v>France</v>
      </c>
      <c r="K187" s="8"/>
      <c r="L187" s="12"/>
      <c r="M187" s="13"/>
      <c r="N187" s="13" t="str">
        <f>IFERROR(__xludf.DUMMYFUNCTION("IF(ISBLANK(M187),"""",M187*GOOGLEFINANCE(""USDGBP""))"),"")</f>
        <v/>
      </c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</row>
    <row r="188">
      <c r="A188" s="8" t="str">
        <f>IFERROR(__xludf.DUMMYFUNCTION("""COMPUTED_VALUE"""),"141473220170300750")</f>
        <v>141473220170300750</v>
      </c>
      <c r="B188" s="9" t="str">
        <f>IFERROR(__xludf.DUMMYFUNCTION("""COMPUTED_VALUE"""),"United States")</f>
        <v>United States</v>
      </c>
      <c r="C188" s="9" t="str">
        <f>IFERROR(__xludf.DUMMYFUNCTION("""COMPUTED_VALUE"""),"california")</f>
        <v>california</v>
      </c>
      <c r="D188" s="9" t="str">
        <f>IFERROR(__xludf.DUMMYFUNCTION("""COMPUTED_VALUE"""),"Verite, Assortment Case, Sonoma County")</f>
        <v>Verite, Assortment Case, Sonoma County</v>
      </c>
      <c r="E188" s="9">
        <f>IFERROR(__xludf.DUMMYFUNCTION("""COMPUTED_VALUE"""),2017.0)</f>
        <v>2017</v>
      </c>
      <c r="F188" s="9">
        <f>IFERROR(__xludf.DUMMYFUNCTION("""COMPUTED_VALUE"""),750.0)</f>
        <v>750</v>
      </c>
      <c r="G188" s="9">
        <f>IFERROR(__xludf.DUMMYFUNCTION("""COMPUTED_VALUE"""),3.0)</f>
        <v>3</v>
      </c>
      <c r="H188" s="10">
        <f>IFERROR(__xludf.DUMMYFUNCTION("""COMPUTED_VALUE"""),2.0)</f>
        <v>2</v>
      </c>
      <c r="I188" s="11">
        <f>IFERROR(__xludf.DUMMYFUNCTION("""COMPUTED_VALUE"""),756.0)</f>
        <v>756</v>
      </c>
      <c r="J188" s="9" t="str">
        <f>IFERROR(__xludf.DUMMYFUNCTION("""COMPUTED_VALUE"""),"France")</f>
        <v>France</v>
      </c>
      <c r="K188" s="8"/>
      <c r="L188" s="12"/>
      <c r="M188" s="13"/>
      <c r="N188" s="13" t="str">
        <f>IFERROR(__xludf.DUMMYFUNCTION("IF(ISBLANK(M188),"""",M188*GOOGLEFINANCE(""USDGBP""))"),"")</f>
        <v/>
      </c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</row>
    <row r="189">
      <c r="A189" s="8" t="str">
        <f>IFERROR(__xludf.DUMMYFUNCTION("""COMPUTED_VALUE"""),"144816820180600750")</f>
        <v>144816820180600750</v>
      </c>
      <c r="B189" s="9" t="str">
        <f>IFERROR(__xludf.DUMMYFUNCTION("""COMPUTED_VALUE"""),"Spain")</f>
        <v>Spain</v>
      </c>
      <c r="C189" s="9" t="str">
        <f>IFERROR(__xludf.DUMMYFUNCTION("""COMPUTED_VALUE"""),"castilla y leon")</f>
        <v>castilla y leon</v>
      </c>
      <c r="D189" s="9" t="str">
        <f>IFERROR(__xludf.DUMMYFUNCTION("""COMPUTED_VALUE"""),"Dominio Aguila, Ribera del Duero, Canta Perdiz")</f>
        <v>Dominio Aguila, Ribera del Duero, Canta Perdiz</v>
      </c>
      <c r="E189" s="9">
        <f>IFERROR(__xludf.DUMMYFUNCTION("""COMPUTED_VALUE"""),2018.0)</f>
        <v>2018</v>
      </c>
      <c r="F189" s="9">
        <f>IFERROR(__xludf.DUMMYFUNCTION("""COMPUTED_VALUE"""),750.0)</f>
        <v>750</v>
      </c>
      <c r="G189" s="9">
        <f>IFERROR(__xludf.DUMMYFUNCTION("""COMPUTED_VALUE"""),6.0)</f>
        <v>6</v>
      </c>
      <c r="H189" s="10">
        <f>IFERROR(__xludf.DUMMYFUNCTION("""COMPUTED_VALUE"""),1.0)</f>
        <v>1</v>
      </c>
      <c r="I189" s="11">
        <f>IFERROR(__xludf.DUMMYFUNCTION("""COMPUTED_VALUE"""),1483.0)</f>
        <v>1483</v>
      </c>
      <c r="J189" s="9" t="str">
        <f>IFERROR(__xludf.DUMMYFUNCTION("""COMPUTED_VALUE"""),"France")</f>
        <v>France</v>
      </c>
      <c r="K189" s="8"/>
      <c r="L189" s="12"/>
      <c r="M189" s="13"/>
      <c r="N189" s="13" t="str">
        <f>IFERROR(__xludf.DUMMYFUNCTION("IF(ISBLANK(M189),"""",M189*GOOGLEFINANCE(""USDGBP""))"),"")</f>
        <v/>
      </c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</row>
    <row r="190">
      <c r="A190" s="8" t="str">
        <f>IFERROR(__xludf.DUMMYFUNCTION("""COMPUTED_VALUE"""),"137813120140600750")</f>
        <v>137813120140600750</v>
      </c>
      <c r="B190" s="9" t="str">
        <f>IFERROR(__xludf.DUMMYFUNCTION("""COMPUTED_VALUE"""),"Spain")</f>
        <v>Spain</v>
      </c>
      <c r="C190" s="9" t="str">
        <f>IFERROR(__xludf.DUMMYFUNCTION("""COMPUTED_VALUE"""),"castilla y leon")</f>
        <v>castilla y leon</v>
      </c>
      <c r="D190" s="9" t="str">
        <f>IFERROR(__xludf.DUMMYFUNCTION("""COMPUTED_VALUE"""),"Dominio Aguila, Ribera del Duero, Penas Aladas Gran Reserva")</f>
        <v>Dominio Aguila, Ribera del Duero, Penas Aladas Gran Reserva</v>
      </c>
      <c r="E190" s="9">
        <f>IFERROR(__xludf.DUMMYFUNCTION("""COMPUTED_VALUE"""),2014.0)</f>
        <v>2014</v>
      </c>
      <c r="F190" s="9">
        <f>IFERROR(__xludf.DUMMYFUNCTION("""COMPUTED_VALUE"""),750.0)</f>
        <v>750</v>
      </c>
      <c r="G190" s="9">
        <f>IFERROR(__xludf.DUMMYFUNCTION("""COMPUTED_VALUE"""),6.0)</f>
        <v>6</v>
      </c>
      <c r="H190" s="10">
        <f>IFERROR(__xludf.DUMMYFUNCTION("""COMPUTED_VALUE"""),1.0)</f>
        <v>1</v>
      </c>
      <c r="I190" s="11">
        <f>IFERROR(__xludf.DUMMYFUNCTION("""COMPUTED_VALUE"""),950.0)</f>
        <v>950</v>
      </c>
      <c r="J190" s="9" t="str">
        <f>IFERROR(__xludf.DUMMYFUNCTION("""COMPUTED_VALUE"""),"France")</f>
        <v>France</v>
      </c>
      <c r="K190" s="8"/>
      <c r="L190" s="12"/>
      <c r="M190" s="13"/>
      <c r="N190" s="13" t="str">
        <f>IFERROR(__xludf.DUMMYFUNCTION("IF(ISBLANK(M190),"""",M190*GOOGLEFINANCE(""USDGBP""))"),"")</f>
        <v/>
      </c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</row>
    <row r="191">
      <c r="A191" s="8" t="str">
        <f>IFERROR(__xludf.DUMMYFUNCTION("""COMPUTED_VALUE"""),"137813120160600750")</f>
        <v>137813120160600750</v>
      </c>
      <c r="B191" s="9" t="str">
        <f>IFERROR(__xludf.DUMMYFUNCTION("""COMPUTED_VALUE"""),"Spain")</f>
        <v>Spain</v>
      </c>
      <c r="C191" s="9" t="str">
        <f>IFERROR(__xludf.DUMMYFUNCTION("""COMPUTED_VALUE"""),"castilla y leon")</f>
        <v>castilla y leon</v>
      </c>
      <c r="D191" s="9" t="str">
        <f>IFERROR(__xludf.DUMMYFUNCTION("""COMPUTED_VALUE"""),"Dominio Aguila, Ribera del Duero, Penas Aladas Gran Reserva")</f>
        <v>Dominio Aguila, Ribera del Duero, Penas Aladas Gran Reserva</v>
      </c>
      <c r="E191" s="9">
        <f>IFERROR(__xludf.DUMMYFUNCTION("""COMPUTED_VALUE"""),2016.0)</f>
        <v>2016</v>
      </c>
      <c r="F191" s="9">
        <f>IFERROR(__xludf.DUMMYFUNCTION("""COMPUTED_VALUE"""),750.0)</f>
        <v>750</v>
      </c>
      <c r="G191" s="9">
        <f>IFERROR(__xludf.DUMMYFUNCTION("""COMPUTED_VALUE"""),6.0)</f>
        <v>6</v>
      </c>
      <c r="H191" s="10">
        <f>IFERROR(__xludf.DUMMYFUNCTION("""COMPUTED_VALUE"""),2.0)</f>
        <v>2</v>
      </c>
      <c r="I191" s="11">
        <f>IFERROR(__xludf.DUMMYFUNCTION("""COMPUTED_VALUE"""),1293.0)</f>
        <v>1293</v>
      </c>
      <c r="J191" s="9" t="str">
        <f>IFERROR(__xludf.DUMMYFUNCTION("""COMPUTED_VALUE"""),"France")</f>
        <v>France</v>
      </c>
      <c r="K191" s="8"/>
      <c r="L191" s="12"/>
      <c r="M191" s="13"/>
      <c r="N191" s="13" t="str">
        <f>IFERROR(__xludf.DUMMYFUNCTION("IF(ISBLANK(M191),"""",M191*GOOGLEFINANCE(""USDGBP""))"),"")</f>
        <v/>
      </c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</row>
    <row r="192">
      <c r="A192" s="8" t="str">
        <f>IFERROR(__xludf.DUMMYFUNCTION("""COMPUTED_VALUE"""),"112135920120600750")</f>
        <v>112135920120600750</v>
      </c>
      <c r="B192" s="9" t="str">
        <f>IFERROR(__xludf.DUMMYFUNCTION("""COMPUTED_VALUE"""),"Spain")</f>
        <v>Spain</v>
      </c>
      <c r="C192" s="9" t="str">
        <f>IFERROR(__xludf.DUMMYFUNCTION("""COMPUTED_VALUE"""),"castilla y leon")</f>
        <v>castilla y leon</v>
      </c>
      <c r="D192" s="9" t="str">
        <f>IFERROR(__xludf.DUMMYFUNCTION("""COMPUTED_VALUE"""),"Vega Sicilia, Unico, Ribera del Duero")</f>
        <v>Vega Sicilia, Unico, Ribera del Duero</v>
      </c>
      <c r="E192" s="9">
        <f>IFERROR(__xludf.DUMMYFUNCTION("""COMPUTED_VALUE"""),2012.0)</f>
        <v>2012</v>
      </c>
      <c r="F192" s="9">
        <f>IFERROR(__xludf.DUMMYFUNCTION("""COMPUTED_VALUE"""),750.0)</f>
        <v>750</v>
      </c>
      <c r="G192" s="9">
        <f>IFERROR(__xludf.DUMMYFUNCTION("""COMPUTED_VALUE"""),6.0)</f>
        <v>6</v>
      </c>
      <c r="H192" s="10">
        <f>IFERROR(__xludf.DUMMYFUNCTION("""COMPUTED_VALUE"""),5.0)</f>
        <v>5</v>
      </c>
      <c r="I192" s="11">
        <f>IFERROR(__xludf.DUMMYFUNCTION("""COMPUTED_VALUE"""),1752.0)</f>
        <v>1752</v>
      </c>
      <c r="J192" s="9" t="str">
        <f>IFERROR(__xludf.DUMMYFUNCTION("""COMPUTED_VALUE"""),"France")</f>
        <v>France</v>
      </c>
      <c r="K192" s="8"/>
      <c r="L192" s="12"/>
      <c r="M192" s="13"/>
      <c r="N192" s="13" t="str">
        <f>IFERROR(__xludf.DUMMYFUNCTION("IF(ISBLANK(M192),"""",M192*GOOGLEFINANCE(""USDGBP""))"),"")</f>
        <v/>
      </c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</row>
    <row r="193">
      <c r="A193" s="8" t="str">
        <f>IFERROR(__xludf.DUMMYFUNCTION("""COMPUTED_VALUE"""),"112135920130300750")</f>
        <v>112135920130300750</v>
      </c>
      <c r="B193" s="9" t="str">
        <f>IFERROR(__xludf.DUMMYFUNCTION("""COMPUTED_VALUE"""),"Spain")</f>
        <v>Spain</v>
      </c>
      <c r="C193" s="9" t="str">
        <f>IFERROR(__xludf.DUMMYFUNCTION("""COMPUTED_VALUE"""),"castilla y leon")</f>
        <v>castilla y leon</v>
      </c>
      <c r="D193" s="9" t="str">
        <f>IFERROR(__xludf.DUMMYFUNCTION("""COMPUTED_VALUE"""),"Vega Sicilia, Unico, Ribera del Duero")</f>
        <v>Vega Sicilia, Unico, Ribera del Duero</v>
      </c>
      <c r="E193" s="9">
        <f>IFERROR(__xludf.DUMMYFUNCTION("""COMPUTED_VALUE"""),2013.0)</f>
        <v>2013</v>
      </c>
      <c r="F193" s="9">
        <f>IFERROR(__xludf.DUMMYFUNCTION("""COMPUTED_VALUE"""),750.0)</f>
        <v>750</v>
      </c>
      <c r="G193" s="9">
        <f>IFERROR(__xludf.DUMMYFUNCTION("""COMPUTED_VALUE"""),3.0)</f>
        <v>3</v>
      </c>
      <c r="H193" s="10">
        <f>IFERROR(__xludf.DUMMYFUNCTION("""COMPUTED_VALUE"""),8.0)</f>
        <v>8</v>
      </c>
      <c r="I193" s="11">
        <f>IFERROR(__xludf.DUMMYFUNCTION("""COMPUTED_VALUE"""),874.0)</f>
        <v>874</v>
      </c>
      <c r="J193" s="9" t="str">
        <f>IFERROR(__xludf.DUMMYFUNCTION("""COMPUTED_VALUE"""),"France")</f>
        <v>France</v>
      </c>
      <c r="K193" s="8"/>
      <c r="L193" s="12"/>
      <c r="M193" s="13"/>
      <c r="N193" s="13" t="str">
        <f>IFERROR(__xludf.DUMMYFUNCTION("IF(ISBLANK(M193),"""",M193*GOOGLEFINANCE(""USDGBP""))"),"")</f>
        <v/>
      </c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</row>
    <row r="194">
      <c r="A194" s="8" t="str">
        <f>IFERROR(__xludf.DUMMYFUNCTION("""COMPUTED_VALUE"""),"124059920180300750")</f>
        <v>124059920180300750</v>
      </c>
      <c r="B194" s="9" t="str">
        <f>IFERROR(__xludf.DUMMYFUNCTION("""COMPUTED_VALUE"""),"Spain")</f>
        <v>Spain</v>
      </c>
      <c r="C194" s="9" t="str">
        <f>IFERROR(__xludf.DUMMYFUNCTION("""COMPUTED_VALUE"""),"castilla y leon")</f>
        <v>castilla y leon</v>
      </c>
      <c r="D194" s="9" t="str">
        <f>IFERROR(__xludf.DUMMYFUNCTION("""COMPUTED_VALUE"""),"Vega Sicilia, Valbuena 5.°, Ribera del Duero")</f>
        <v>Vega Sicilia, Valbuena 5.°, Ribera del Duero</v>
      </c>
      <c r="E194" s="9">
        <f>IFERROR(__xludf.DUMMYFUNCTION("""COMPUTED_VALUE"""),2018.0)</f>
        <v>2018</v>
      </c>
      <c r="F194" s="9">
        <f>IFERROR(__xludf.DUMMYFUNCTION("""COMPUTED_VALUE"""),750.0)</f>
        <v>750</v>
      </c>
      <c r="G194" s="9">
        <f>IFERROR(__xludf.DUMMYFUNCTION("""COMPUTED_VALUE"""),3.0)</f>
        <v>3</v>
      </c>
      <c r="H194" s="10">
        <f>IFERROR(__xludf.DUMMYFUNCTION("""COMPUTED_VALUE"""),4.0)</f>
        <v>4</v>
      </c>
      <c r="I194" s="11">
        <f>IFERROR(__xludf.DUMMYFUNCTION("""COMPUTED_VALUE"""),367.0)</f>
        <v>367</v>
      </c>
      <c r="J194" s="9" t="str">
        <f>IFERROR(__xludf.DUMMYFUNCTION("""COMPUTED_VALUE"""),"France")</f>
        <v>France</v>
      </c>
      <c r="K194" s="8"/>
      <c r="L194" s="12"/>
      <c r="M194" s="13"/>
      <c r="N194" s="13" t="str">
        <f>IFERROR(__xludf.DUMMYFUNCTION("IF(ISBLANK(M194),"""",M194*GOOGLEFINANCE(""USDGBP""))"),"")</f>
        <v/>
      </c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</row>
    <row r="195">
      <c r="A195" s="8" t="str">
        <f>IFERROR(__xludf.DUMMYFUNCTION("""COMPUTED_VALUE"""),"108316120180600750")</f>
        <v>108316120180600750</v>
      </c>
      <c r="B195" s="9" t="str">
        <f>IFERROR(__xludf.DUMMYFUNCTION("""COMPUTED_VALUE"""),"Chile")</f>
        <v>Chile</v>
      </c>
      <c r="C195" s="9" t="str">
        <f>IFERROR(__xludf.DUMMYFUNCTION("""COMPUTED_VALUE"""),"central valley")</f>
        <v>central valley</v>
      </c>
      <c r="D195" s="9" t="str">
        <f>IFERROR(__xludf.DUMMYFUNCTION("""COMPUTED_VALUE"""),"Domaine Bournet-Lapostolle, Clos Apalta, Apalta")</f>
        <v>Domaine Bournet-Lapostolle, Clos Apalta, Apalta</v>
      </c>
      <c r="E195" s="9">
        <f>IFERROR(__xludf.DUMMYFUNCTION("""COMPUTED_VALUE"""),2018.0)</f>
        <v>2018</v>
      </c>
      <c r="F195" s="9">
        <f>IFERROR(__xludf.DUMMYFUNCTION("""COMPUTED_VALUE"""),750.0)</f>
        <v>750</v>
      </c>
      <c r="G195" s="9">
        <f>IFERROR(__xludf.DUMMYFUNCTION("""COMPUTED_VALUE"""),6.0)</f>
        <v>6</v>
      </c>
      <c r="H195" s="10">
        <f>IFERROR(__xludf.DUMMYFUNCTION("""COMPUTED_VALUE"""),4.0)</f>
        <v>4</v>
      </c>
      <c r="I195" s="11">
        <f>IFERROR(__xludf.DUMMYFUNCTION("""COMPUTED_VALUE"""),469.0)</f>
        <v>469</v>
      </c>
      <c r="J195" s="9" t="str">
        <f>IFERROR(__xludf.DUMMYFUNCTION("""COMPUTED_VALUE"""),"France")</f>
        <v>France</v>
      </c>
      <c r="K195" s="8"/>
      <c r="L195" s="12"/>
      <c r="M195" s="13"/>
      <c r="N195" s="13" t="str">
        <f>IFERROR(__xludf.DUMMYFUNCTION("IF(ISBLANK(M195),"""",M195*GOOGLEFINANCE(""USDGBP""))"),"")</f>
        <v/>
      </c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</row>
    <row r="196">
      <c r="A196" s="8" t="str">
        <f>IFERROR(__xludf.DUMMYFUNCTION("""COMPUTED_VALUE"""),"108316120190600750")</f>
        <v>108316120190600750</v>
      </c>
      <c r="B196" s="9" t="str">
        <f>IFERROR(__xludf.DUMMYFUNCTION("""COMPUTED_VALUE"""),"Chile")</f>
        <v>Chile</v>
      </c>
      <c r="C196" s="9" t="str">
        <f>IFERROR(__xludf.DUMMYFUNCTION("""COMPUTED_VALUE"""),"central valley")</f>
        <v>central valley</v>
      </c>
      <c r="D196" s="9" t="str">
        <f>IFERROR(__xludf.DUMMYFUNCTION("""COMPUTED_VALUE"""),"Domaine Bournet-Lapostolle, Clos Apalta, Apalta")</f>
        <v>Domaine Bournet-Lapostolle, Clos Apalta, Apalta</v>
      </c>
      <c r="E196" s="9">
        <f>IFERROR(__xludf.DUMMYFUNCTION("""COMPUTED_VALUE"""),2019.0)</f>
        <v>2019</v>
      </c>
      <c r="F196" s="9">
        <f>IFERROR(__xludf.DUMMYFUNCTION("""COMPUTED_VALUE"""),750.0)</f>
        <v>750</v>
      </c>
      <c r="G196" s="9">
        <f>IFERROR(__xludf.DUMMYFUNCTION("""COMPUTED_VALUE"""),6.0)</f>
        <v>6</v>
      </c>
      <c r="H196" s="10">
        <f>IFERROR(__xludf.DUMMYFUNCTION("""COMPUTED_VALUE"""),3.0)</f>
        <v>3</v>
      </c>
      <c r="I196" s="11">
        <f>IFERROR(__xludf.DUMMYFUNCTION("""COMPUTED_VALUE"""),453.0)</f>
        <v>453</v>
      </c>
      <c r="J196" s="9" t="str">
        <f>IFERROR(__xludf.DUMMYFUNCTION("""COMPUTED_VALUE"""),"France")</f>
        <v>France</v>
      </c>
      <c r="K196" s="8"/>
      <c r="L196" s="12"/>
      <c r="M196" s="13"/>
      <c r="N196" s="13" t="str">
        <f>IFERROR(__xludf.DUMMYFUNCTION("IF(ISBLANK(M196),"""",M196*GOOGLEFINANCE(""USDGBP""))"),"")</f>
        <v/>
      </c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</row>
    <row r="197">
      <c r="A197" s="8" t="str">
        <f>IFERROR(__xludf.DUMMYFUNCTION("""COMPUTED_VALUE"""),"108316120200600750")</f>
        <v>108316120200600750</v>
      </c>
      <c r="B197" s="9" t="str">
        <f>IFERROR(__xludf.DUMMYFUNCTION("""COMPUTED_VALUE"""),"Chile")</f>
        <v>Chile</v>
      </c>
      <c r="C197" s="9" t="str">
        <f>IFERROR(__xludf.DUMMYFUNCTION("""COMPUTED_VALUE"""),"central valley")</f>
        <v>central valley</v>
      </c>
      <c r="D197" s="9" t="str">
        <f>IFERROR(__xludf.DUMMYFUNCTION("""COMPUTED_VALUE"""),"Domaine Bournet-Lapostolle, Clos Apalta, Apalta")</f>
        <v>Domaine Bournet-Lapostolle, Clos Apalta, Apalta</v>
      </c>
      <c r="E197" s="9">
        <f>IFERROR(__xludf.DUMMYFUNCTION("""COMPUTED_VALUE"""),2020.0)</f>
        <v>2020</v>
      </c>
      <c r="F197" s="9">
        <f>IFERROR(__xludf.DUMMYFUNCTION("""COMPUTED_VALUE"""),750.0)</f>
        <v>750</v>
      </c>
      <c r="G197" s="9">
        <f>IFERROR(__xludf.DUMMYFUNCTION("""COMPUTED_VALUE"""),6.0)</f>
        <v>6</v>
      </c>
      <c r="H197" s="10">
        <f>IFERROR(__xludf.DUMMYFUNCTION("""COMPUTED_VALUE"""),1.0)</f>
        <v>1</v>
      </c>
      <c r="I197" s="11">
        <f>IFERROR(__xludf.DUMMYFUNCTION("""COMPUTED_VALUE"""),476.0)</f>
        <v>476</v>
      </c>
      <c r="J197" s="9" t="str">
        <f>IFERROR(__xludf.DUMMYFUNCTION("""COMPUTED_VALUE"""),"France")</f>
        <v>France</v>
      </c>
      <c r="K197" s="8"/>
      <c r="L197" s="12"/>
      <c r="M197" s="13"/>
      <c r="N197" s="13" t="str">
        <f>IFERROR(__xludf.DUMMYFUNCTION("IF(ISBLANK(M197),"""",M197*GOOGLEFINANCE(""USDGBP""))"),"")</f>
        <v/>
      </c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</row>
    <row r="198">
      <c r="A198" s="8" t="str">
        <f>IFERROR(__xludf.DUMMYFUNCTION("""COMPUTED_VALUE"""),"108324620190600750")</f>
        <v>108324620190600750</v>
      </c>
      <c r="B198" s="9" t="str">
        <f>IFERROR(__xludf.DUMMYFUNCTION("""COMPUTED_VALUE"""),"Chile")</f>
        <v>Chile</v>
      </c>
      <c r="C198" s="9" t="str">
        <f>IFERROR(__xludf.DUMMYFUNCTION("""COMPUTED_VALUE"""),"central valley")</f>
        <v>central valley</v>
      </c>
      <c r="D198" s="9" t="str">
        <f>IFERROR(__xludf.DUMMYFUNCTION("""COMPUTED_VALUE"""),"Rothschild &amp; Concha Y Toro, Almaviva, Maipo Valley")</f>
        <v>Rothschild &amp; Concha Y Toro, Almaviva, Maipo Valley</v>
      </c>
      <c r="E198" s="9">
        <f>IFERROR(__xludf.DUMMYFUNCTION("""COMPUTED_VALUE"""),2019.0)</f>
        <v>2019</v>
      </c>
      <c r="F198" s="9">
        <f>IFERROR(__xludf.DUMMYFUNCTION("""COMPUTED_VALUE"""),750.0)</f>
        <v>750</v>
      </c>
      <c r="G198" s="9">
        <f>IFERROR(__xludf.DUMMYFUNCTION("""COMPUTED_VALUE"""),6.0)</f>
        <v>6</v>
      </c>
      <c r="H198" s="10">
        <f>IFERROR(__xludf.DUMMYFUNCTION("""COMPUTED_VALUE"""),13.0)</f>
        <v>13</v>
      </c>
      <c r="I198" s="11">
        <f>IFERROR(__xludf.DUMMYFUNCTION("""COMPUTED_VALUE"""),683.0)</f>
        <v>683</v>
      </c>
      <c r="J198" s="9" t="str">
        <f>IFERROR(__xludf.DUMMYFUNCTION("""COMPUTED_VALUE"""),"France")</f>
        <v>France</v>
      </c>
      <c r="K198" s="8"/>
      <c r="L198" s="12"/>
      <c r="M198" s="13"/>
      <c r="N198" s="13" t="str">
        <f>IFERROR(__xludf.DUMMYFUNCTION("IF(ISBLANK(M198),"""",M198*GOOGLEFINANCE(""USDGBP""))"),"")</f>
        <v/>
      </c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</row>
    <row r="199">
      <c r="A199" s="8" t="str">
        <f>IFERROR(__xludf.DUMMYFUNCTION("""COMPUTED_VALUE"""),"108324620200600750")</f>
        <v>108324620200600750</v>
      </c>
      <c r="B199" s="9" t="str">
        <f>IFERROR(__xludf.DUMMYFUNCTION("""COMPUTED_VALUE"""),"Chile")</f>
        <v>Chile</v>
      </c>
      <c r="C199" s="9" t="str">
        <f>IFERROR(__xludf.DUMMYFUNCTION("""COMPUTED_VALUE"""),"central valley")</f>
        <v>central valley</v>
      </c>
      <c r="D199" s="9" t="str">
        <f>IFERROR(__xludf.DUMMYFUNCTION("""COMPUTED_VALUE"""),"Rothschild &amp; Concha Y Toro, Almaviva, Maipo Valley")</f>
        <v>Rothschild &amp; Concha Y Toro, Almaviva, Maipo Valley</v>
      </c>
      <c r="E199" s="9">
        <f>IFERROR(__xludf.DUMMYFUNCTION("""COMPUTED_VALUE"""),2020.0)</f>
        <v>2020</v>
      </c>
      <c r="F199" s="9">
        <f>IFERROR(__xludf.DUMMYFUNCTION("""COMPUTED_VALUE"""),750.0)</f>
        <v>750</v>
      </c>
      <c r="G199" s="9">
        <f>IFERROR(__xludf.DUMMYFUNCTION("""COMPUTED_VALUE"""),6.0)</f>
        <v>6</v>
      </c>
      <c r="H199" s="10">
        <f>IFERROR(__xludf.DUMMYFUNCTION("""COMPUTED_VALUE"""),12.0)</f>
        <v>12</v>
      </c>
      <c r="I199" s="11">
        <f>IFERROR(__xludf.DUMMYFUNCTION("""COMPUTED_VALUE"""),677.0)</f>
        <v>677</v>
      </c>
      <c r="J199" s="9" t="str">
        <f>IFERROR(__xludf.DUMMYFUNCTION("""COMPUTED_VALUE"""),"France")</f>
        <v>France</v>
      </c>
      <c r="K199" s="8"/>
      <c r="L199" s="12"/>
      <c r="M199" s="13"/>
      <c r="N199" s="13" t="str">
        <f>IFERROR(__xludf.DUMMYFUNCTION("IF(ISBLANK(M199),"""",M199*GOOGLEFINANCE(""USDGBP""))"),"")</f>
        <v/>
      </c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</row>
    <row r="200">
      <c r="A200" s="8" t="str">
        <f>IFERROR(__xludf.DUMMYFUNCTION("""COMPUTED_VALUE"""),"108324620200101500")</f>
        <v>108324620200101500</v>
      </c>
      <c r="B200" s="9" t="str">
        <f>IFERROR(__xludf.DUMMYFUNCTION("""COMPUTED_VALUE"""),"Chile")</f>
        <v>Chile</v>
      </c>
      <c r="C200" s="9" t="str">
        <f>IFERROR(__xludf.DUMMYFUNCTION("""COMPUTED_VALUE"""),"central valley")</f>
        <v>central valley</v>
      </c>
      <c r="D200" s="9" t="str">
        <f>IFERROR(__xludf.DUMMYFUNCTION("""COMPUTED_VALUE"""),"Rothschild &amp; Concha Y Toro, Almaviva, Maipo Valley")</f>
        <v>Rothschild &amp; Concha Y Toro, Almaviva, Maipo Valley</v>
      </c>
      <c r="E200" s="9">
        <f>IFERROR(__xludf.DUMMYFUNCTION("""COMPUTED_VALUE"""),2020.0)</f>
        <v>2020</v>
      </c>
      <c r="F200" s="9">
        <f>IFERROR(__xludf.DUMMYFUNCTION("""COMPUTED_VALUE"""),1500.0)</f>
        <v>1500</v>
      </c>
      <c r="G200" s="9">
        <f>IFERROR(__xludf.DUMMYFUNCTION("""COMPUTED_VALUE"""),1.0)</f>
        <v>1</v>
      </c>
      <c r="H200" s="10">
        <f>IFERROR(__xludf.DUMMYFUNCTION("""COMPUTED_VALUE"""),1.0)</f>
        <v>1</v>
      </c>
      <c r="I200" s="11">
        <f>IFERROR(__xludf.DUMMYFUNCTION("""COMPUTED_VALUE"""),210.0)</f>
        <v>210</v>
      </c>
      <c r="J200" s="9" t="str">
        <f>IFERROR(__xludf.DUMMYFUNCTION("""COMPUTED_VALUE"""),"France")</f>
        <v>France</v>
      </c>
      <c r="K200" s="8"/>
      <c r="L200" s="12"/>
      <c r="M200" s="13"/>
      <c r="N200" s="13" t="str">
        <f>IFERROR(__xludf.DUMMYFUNCTION("IF(ISBLANK(M200),"""",M200*GOOGLEFINANCE(""USDGBP""))"),"")</f>
        <v/>
      </c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</row>
    <row r="201">
      <c r="A201" s="8" t="str">
        <f>IFERROR(__xludf.DUMMYFUNCTION("""COMPUTED_VALUE"""),"108318720180300750")</f>
        <v>108318720180300750</v>
      </c>
      <c r="B201" s="9" t="str">
        <f>IFERROR(__xludf.DUMMYFUNCTION("""COMPUTED_VALUE"""),"Chile")</f>
        <v>Chile</v>
      </c>
      <c r="C201" s="9" t="str">
        <f>IFERROR(__xludf.DUMMYFUNCTION("""COMPUTED_VALUE"""),"central valley")</f>
        <v>central valley</v>
      </c>
      <c r="D201" s="9" t="str">
        <f>IFERROR(__xludf.DUMMYFUNCTION("""COMPUTED_VALUE"""),"Vinedo Chadwick, Maipo Valley")</f>
        <v>Vinedo Chadwick, Maipo Valley</v>
      </c>
      <c r="E201" s="9">
        <f>IFERROR(__xludf.DUMMYFUNCTION("""COMPUTED_VALUE"""),2018.0)</f>
        <v>2018</v>
      </c>
      <c r="F201" s="9">
        <f>IFERROR(__xludf.DUMMYFUNCTION("""COMPUTED_VALUE"""),750.0)</f>
        <v>750</v>
      </c>
      <c r="G201" s="9">
        <f>IFERROR(__xludf.DUMMYFUNCTION("""COMPUTED_VALUE"""),3.0)</f>
        <v>3</v>
      </c>
      <c r="H201" s="10">
        <f>IFERROR(__xludf.DUMMYFUNCTION("""COMPUTED_VALUE"""),1.0)</f>
        <v>1</v>
      </c>
      <c r="I201" s="11">
        <f>IFERROR(__xludf.DUMMYFUNCTION("""COMPUTED_VALUE"""),632.0)</f>
        <v>632</v>
      </c>
      <c r="J201" s="9" t="str">
        <f>IFERROR(__xludf.DUMMYFUNCTION("""COMPUTED_VALUE"""),"France")</f>
        <v>France</v>
      </c>
      <c r="K201" s="8"/>
      <c r="L201" s="12"/>
      <c r="M201" s="13"/>
      <c r="N201" s="13" t="str">
        <f>IFERROR(__xludf.DUMMYFUNCTION("IF(ISBLANK(M201),"""",M201*GOOGLEFINANCE(""USDGBP""))"),"")</f>
        <v/>
      </c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</row>
    <row r="202">
      <c r="A202" s="8" t="str">
        <f>IFERROR(__xludf.DUMMYFUNCTION("""COMPUTED_VALUE"""),"108318720190300750")</f>
        <v>108318720190300750</v>
      </c>
      <c r="B202" s="9" t="str">
        <f>IFERROR(__xludf.DUMMYFUNCTION("""COMPUTED_VALUE"""),"Chile")</f>
        <v>Chile</v>
      </c>
      <c r="C202" s="9" t="str">
        <f>IFERROR(__xludf.DUMMYFUNCTION("""COMPUTED_VALUE"""),"central valley")</f>
        <v>central valley</v>
      </c>
      <c r="D202" s="9" t="str">
        <f>IFERROR(__xludf.DUMMYFUNCTION("""COMPUTED_VALUE"""),"Vinedo Chadwick, Maipo Valley")</f>
        <v>Vinedo Chadwick, Maipo Valley</v>
      </c>
      <c r="E202" s="9">
        <f>IFERROR(__xludf.DUMMYFUNCTION("""COMPUTED_VALUE"""),2019.0)</f>
        <v>2019</v>
      </c>
      <c r="F202" s="9">
        <f>IFERROR(__xludf.DUMMYFUNCTION("""COMPUTED_VALUE"""),750.0)</f>
        <v>750</v>
      </c>
      <c r="G202" s="9">
        <f>IFERROR(__xludf.DUMMYFUNCTION("""COMPUTED_VALUE"""),3.0)</f>
        <v>3</v>
      </c>
      <c r="H202" s="10">
        <f>IFERROR(__xludf.DUMMYFUNCTION("""COMPUTED_VALUE"""),4.0)</f>
        <v>4</v>
      </c>
      <c r="I202" s="11">
        <f>IFERROR(__xludf.DUMMYFUNCTION("""COMPUTED_VALUE"""),610.0)</f>
        <v>610</v>
      </c>
      <c r="J202" s="9" t="str">
        <f>IFERROR(__xludf.DUMMYFUNCTION("""COMPUTED_VALUE"""),"France")</f>
        <v>France</v>
      </c>
      <c r="K202" s="8"/>
      <c r="L202" s="12"/>
      <c r="M202" s="13"/>
      <c r="N202" s="13" t="str">
        <f>IFERROR(__xludf.DUMMYFUNCTION("IF(ISBLANK(M202),"""",M202*GOOGLEFINANCE(""USDGBP""))"),"")</f>
        <v/>
      </c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</row>
    <row r="203">
      <c r="A203" s="8" t="str">
        <f>IFERROR(__xludf.DUMMYFUNCTION("""COMPUTED_VALUE"""),"108318720200300750")</f>
        <v>108318720200300750</v>
      </c>
      <c r="B203" s="9" t="str">
        <f>IFERROR(__xludf.DUMMYFUNCTION("""COMPUTED_VALUE"""),"Chile")</f>
        <v>Chile</v>
      </c>
      <c r="C203" s="9" t="str">
        <f>IFERROR(__xludf.DUMMYFUNCTION("""COMPUTED_VALUE"""),"central valley")</f>
        <v>central valley</v>
      </c>
      <c r="D203" s="9" t="str">
        <f>IFERROR(__xludf.DUMMYFUNCTION("""COMPUTED_VALUE"""),"Vinedo Chadwick, Maipo Valley")</f>
        <v>Vinedo Chadwick, Maipo Valley</v>
      </c>
      <c r="E203" s="9">
        <f>IFERROR(__xludf.DUMMYFUNCTION("""COMPUTED_VALUE"""),2020.0)</f>
        <v>2020</v>
      </c>
      <c r="F203" s="9">
        <f>IFERROR(__xludf.DUMMYFUNCTION("""COMPUTED_VALUE"""),750.0)</f>
        <v>750</v>
      </c>
      <c r="G203" s="9">
        <f>IFERROR(__xludf.DUMMYFUNCTION("""COMPUTED_VALUE"""),3.0)</f>
        <v>3</v>
      </c>
      <c r="H203" s="10">
        <f>IFERROR(__xludf.DUMMYFUNCTION("""COMPUTED_VALUE"""),1.0)</f>
        <v>1</v>
      </c>
      <c r="I203" s="11">
        <f>IFERROR(__xludf.DUMMYFUNCTION("""COMPUTED_VALUE"""),630.0)</f>
        <v>630</v>
      </c>
      <c r="J203" s="9" t="str">
        <f>IFERROR(__xludf.DUMMYFUNCTION("""COMPUTED_VALUE"""),"France")</f>
        <v>France</v>
      </c>
      <c r="K203" s="8"/>
      <c r="L203" s="12"/>
      <c r="M203" s="13"/>
      <c r="N203" s="13" t="str">
        <f>IFERROR(__xludf.DUMMYFUNCTION("IF(ISBLANK(M203),"""",M203*GOOGLEFINANCE(""USDGBP""))"),"")</f>
        <v/>
      </c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</row>
    <row r="204">
      <c r="A204" s="8" t="str">
        <f>IFERROR(__xludf.DUMMYFUNCTION("""COMPUTED_VALUE"""),"226186120140600750")</f>
        <v>226186120140600750</v>
      </c>
      <c r="B204" s="9" t="str">
        <f>IFERROR(__xludf.DUMMYFUNCTION("""COMPUTED_VALUE"""),"France")</f>
        <v>France</v>
      </c>
      <c r="C204" s="9" t="str">
        <f>IFERROR(__xludf.DUMMYFUNCTION("""COMPUTED_VALUE"""),"champagne")</f>
        <v>champagne</v>
      </c>
      <c r="D204" s="9" t="str">
        <f>IFERROR(__xludf.DUMMYFUNCTION("""COMPUTED_VALUE"""),"de Venoge, Grand Vin des Princes Rose Millesime, Champagne")</f>
        <v>de Venoge, Grand Vin des Princes Rose Millesime, Champagne</v>
      </c>
      <c r="E204" s="9">
        <f>IFERROR(__xludf.DUMMYFUNCTION("""COMPUTED_VALUE"""),2014.0)</f>
        <v>2014</v>
      </c>
      <c r="F204" s="9">
        <f>IFERROR(__xludf.DUMMYFUNCTION("""COMPUTED_VALUE"""),750.0)</f>
        <v>750</v>
      </c>
      <c r="G204" s="9">
        <f>IFERROR(__xludf.DUMMYFUNCTION("""COMPUTED_VALUE"""),6.0)</f>
        <v>6</v>
      </c>
      <c r="H204" s="10">
        <f>IFERROR(__xludf.DUMMYFUNCTION("""COMPUTED_VALUE"""),1.0)</f>
        <v>1</v>
      </c>
      <c r="I204" s="11">
        <f>IFERROR(__xludf.DUMMYFUNCTION("""COMPUTED_VALUE"""),509.0)</f>
        <v>509</v>
      </c>
      <c r="J204" s="9" t="str">
        <f>IFERROR(__xludf.DUMMYFUNCTION("""COMPUTED_VALUE"""),"France")</f>
        <v>France</v>
      </c>
      <c r="K204" s="8"/>
      <c r="L204" s="12"/>
      <c r="M204" s="13"/>
      <c r="N204" s="13" t="str">
        <f>IFERROR(__xludf.DUMMYFUNCTION("IF(ISBLANK(M204),"""",M204*GOOGLEFINANCE(""USDGBP""))"),"")</f>
        <v/>
      </c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</row>
    <row r="205">
      <c r="A205" s="8" t="str">
        <f>IFERROR(__xludf.DUMMYFUNCTION("""COMPUTED_VALUE"""),"114820220060100750")</f>
        <v>114820220060100750</v>
      </c>
      <c r="B205" s="9" t="str">
        <f>IFERROR(__xludf.DUMMYFUNCTION("""COMPUTED_VALUE"""),"France")</f>
        <v>France</v>
      </c>
      <c r="C205" s="9" t="str">
        <f>IFERROR(__xludf.DUMMYFUNCTION("""COMPUTED_VALUE"""),"champagne")</f>
        <v>champagne</v>
      </c>
      <c r="D205" s="9" t="str">
        <f>IFERROR(__xludf.DUMMYFUNCTION("""COMPUTED_VALUE"""),"de Venoge, Louis XV Rose")</f>
        <v>de Venoge, Louis XV Rose</v>
      </c>
      <c r="E205" s="9">
        <f>IFERROR(__xludf.DUMMYFUNCTION("""COMPUTED_VALUE"""),2006.0)</f>
        <v>2006</v>
      </c>
      <c r="F205" s="9">
        <f>IFERROR(__xludf.DUMMYFUNCTION("""COMPUTED_VALUE"""),750.0)</f>
        <v>750</v>
      </c>
      <c r="G205" s="9">
        <f>IFERROR(__xludf.DUMMYFUNCTION("""COMPUTED_VALUE"""),1.0)</f>
        <v>1</v>
      </c>
      <c r="H205" s="10">
        <f>IFERROR(__xludf.DUMMYFUNCTION("""COMPUTED_VALUE"""),68.0)</f>
        <v>68</v>
      </c>
      <c r="I205" s="11">
        <f>IFERROR(__xludf.DUMMYFUNCTION("""COMPUTED_VALUE"""),186.0)</f>
        <v>186</v>
      </c>
      <c r="J205" s="9" t="str">
        <f>IFERROR(__xludf.DUMMYFUNCTION("""COMPUTED_VALUE"""),"France")</f>
        <v>France</v>
      </c>
      <c r="K205" s="8"/>
      <c r="L205" s="12"/>
      <c r="M205" s="13"/>
      <c r="N205" s="13" t="str">
        <f>IFERROR(__xludf.DUMMYFUNCTION("IF(ISBLANK(M205),"""",M205*GOOGLEFINANCE(""USDGBP""))"),"")</f>
        <v/>
      </c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</row>
    <row r="206">
      <c r="A206" s="8" t="str">
        <f>IFERROR(__xludf.DUMMYFUNCTION("""COMPUTED_VALUE"""),"121774020070600750")</f>
        <v>121774020070600750</v>
      </c>
      <c r="B206" s="9" t="str">
        <f>IFERROR(__xludf.DUMMYFUNCTION("""COMPUTED_VALUE"""),"France")</f>
        <v>France</v>
      </c>
      <c r="C206" s="9" t="str">
        <f>IFERROR(__xludf.DUMMYFUNCTION("""COMPUTED_VALUE"""),"champagne")</f>
        <v>champagne</v>
      </c>
      <c r="D206" s="9" t="str">
        <f>IFERROR(__xludf.DUMMYFUNCTION("""COMPUTED_VALUE"""),"Charles Heidsieck, Blanc des Millenaires Brut")</f>
        <v>Charles Heidsieck, Blanc des Millenaires Brut</v>
      </c>
      <c r="E206" s="9">
        <f>IFERROR(__xludf.DUMMYFUNCTION("""COMPUTED_VALUE"""),2007.0)</f>
        <v>2007</v>
      </c>
      <c r="F206" s="9">
        <f>IFERROR(__xludf.DUMMYFUNCTION("""COMPUTED_VALUE"""),750.0)</f>
        <v>750</v>
      </c>
      <c r="G206" s="9">
        <f>IFERROR(__xludf.DUMMYFUNCTION("""COMPUTED_VALUE"""),6.0)</f>
        <v>6</v>
      </c>
      <c r="H206" s="10">
        <f>IFERROR(__xludf.DUMMYFUNCTION("""COMPUTED_VALUE"""),1.0)</f>
        <v>1</v>
      </c>
      <c r="I206" s="11">
        <f>IFERROR(__xludf.DUMMYFUNCTION("""COMPUTED_VALUE"""),677.0)</f>
        <v>677</v>
      </c>
      <c r="J206" s="9" t="str">
        <f>IFERROR(__xludf.DUMMYFUNCTION("""COMPUTED_VALUE"""),"France")</f>
        <v>France</v>
      </c>
      <c r="K206" s="8"/>
      <c r="L206" s="12"/>
      <c r="M206" s="13"/>
      <c r="N206" s="13" t="str">
        <f>IFERROR(__xludf.DUMMYFUNCTION("IF(ISBLANK(M206),"""",M206*GOOGLEFINANCE(""USDGBP""))"),"")</f>
        <v/>
      </c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</row>
    <row r="207">
      <c r="A207" s="8" t="str">
        <f>IFERROR(__xludf.DUMMYFUNCTION("""COMPUTED_VALUE"""),"108199420110600750")</f>
        <v>108199420110600750</v>
      </c>
      <c r="B207" s="9" t="str">
        <f>IFERROR(__xludf.DUMMYFUNCTION("""COMPUTED_VALUE"""),"France")</f>
        <v>France</v>
      </c>
      <c r="C207" s="9" t="str">
        <f>IFERROR(__xludf.DUMMYFUNCTION("""COMPUTED_VALUE"""),"champagne")</f>
        <v>champagne</v>
      </c>
      <c r="D207" s="9" t="str">
        <f>IFERROR(__xludf.DUMMYFUNCTION("""COMPUTED_VALUE"""),"Deutz, Amour Deutz")</f>
        <v>Deutz, Amour Deutz</v>
      </c>
      <c r="E207" s="9">
        <f>IFERROR(__xludf.DUMMYFUNCTION("""COMPUTED_VALUE"""),2011.0)</f>
        <v>2011</v>
      </c>
      <c r="F207" s="9">
        <f>IFERROR(__xludf.DUMMYFUNCTION("""COMPUTED_VALUE"""),750.0)</f>
        <v>750</v>
      </c>
      <c r="G207" s="9">
        <f>IFERROR(__xludf.DUMMYFUNCTION("""COMPUTED_VALUE"""),6.0)</f>
        <v>6</v>
      </c>
      <c r="H207" s="10">
        <f>IFERROR(__xludf.DUMMYFUNCTION("""COMPUTED_VALUE"""),4.0)</f>
        <v>4</v>
      </c>
      <c r="I207" s="11">
        <f>IFERROR(__xludf.DUMMYFUNCTION("""COMPUTED_VALUE"""),655.0)</f>
        <v>655</v>
      </c>
      <c r="J207" s="9" t="str">
        <f>IFERROR(__xludf.DUMMYFUNCTION("""COMPUTED_VALUE"""),"France")</f>
        <v>France</v>
      </c>
      <c r="K207" s="8"/>
      <c r="L207" s="12"/>
      <c r="M207" s="13"/>
      <c r="N207" s="13" t="str">
        <f>IFERROR(__xludf.DUMMYFUNCTION("IF(ISBLANK(M207),"""",M207*GOOGLEFINANCE(""USDGBP""))"),"")</f>
        <v/>
      </c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</row>
    <row r="208">
      <c r="A208" s="8" t="str">
        <f>IFERROR(__xludf.DUMMYFUNCTION("""COMPUTED_VALUE"""),"108204720130600750")</f>
        <v>108204720130600750</v>
      </c>
      <c r="B208" s="9" t="str">
        <f>IFERROR(__xludf.DUMMYFUNCTION("""COMPUTED_VALUE"""),"France")</f>
        <v>France</v>
      </c>
      <c r="C208" s="9" t="str">
        <f>IFERROR(__xludf.DUMMYFUNCTION("""COMPUTED_VALUE"""),"champagne")</f>
        <v>champagne</v>
      </c>
      <c r="D208" s="9" t="str">
        <f>IFERROR(__xludf.DUMMYFUNCTION("""COMPUTED_VALUE"""),"Deutz, Cuvee William Deutz")</f>
        <v>Deutz, Cuvee William Deutz</v>
      </c>
      <c r="E208" s="9">
        <f>IFERROR(__xludf.DUMMYFUNCTION("""COMPUTED_VALUE"""),2013.0)</f>
        <v>2013</v>
      </c>
      <c r="F208" s="9">
        <f>IFERROR(__xludf.DUMMYFUNCTION("""COMPUTED_VALUE"""),750.0)</f>
        <v>750</v>
      </c>
      <c r="G208" s="9">
        <f>IFERROR(__xludf.DUMMYFUNCTION("""COMPUTED_VALUE"""),6.0)</f>
        <v>6</v>
      </c>
      <c r="H208" s="10">
        <f>IFERROR(__xludf.DUMMYFUNCTION("""COMPUTED_VALUE"""),4.0)</f>
        <v>4</v>
      </c>
      <c r="I208" s="11">
        <f>IFERROR(__xludf.DUMMYFUNCTION("""COMPUTED_VALUE"""),599.0)</f>
        <v>599</v>
      </c>
      <c r="J208" s="9" t="str">
        <f>IFERROR(__xludf.DUMMYFUNCTION("""COMPUTED_VALUE"""),"France")</f>
        <v>France</v>
      </c>
      <c r="K208" s="8"/>
      <c r="L208" s="12"/>
      <c r="M208" s="13"/>
      <c r="N208" s="13" t="str">
        <f>IFERROR(__xludf.DUMMYFUNCTION("IF(ISBLANK(M208),"""",M208*GOOGLEFINANCE(""USDGBP""))"),"")</f>
        <v/>
      </c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</row>
    <row r="209">
      <c r="A209" s="8" t="str">
        <f>IFERROR(__xludf.DUMMYFUNCTION("""COMPUTED_VALUE"""),"117627420130100750")</f>
        <v>117627420130100750</v>
      </c>
      <c r="B209" s="9" t="str">
        <f>IFERROR(__xludf.DUMMYFUNCTION("""COMPUTED_VALUE"""),"France")</f>
        <v>France</v>
      </c>
      <c r="C209" s="9" t="str">
        <f>IFERROR(__xludf.DUMMYFUNCTION("""COMPUTED_VALUE"""),"champagne")</f>
        <v>champagne</v>
      </c>
      <c r="D209" s="9" t="str">
        <f>IFERROR(__xludf.DUMMYFUNCTION("""COMPUTED_VALUE"""),"Henri Giraud, Argonne Grand Cru, Ay")</f>
        <v>Henri Giraud, Argonne Grand Cru, Ay</v>
      </c>
      <c r="E209" s="9">
        <f>IFERROR(__xludf.DUMMYFUNCTION("""COMPUTED_VALUE"""),2013.0)</f>
        <v>2013</v>
      </c>
      <c r="F209" s="9">
        <f>IFERROR(__xludf.DUMMYFUNCTION("""COMPUTED_VALUE"""),750.0)</f>
        <v>750</v>
      </c>
      <c r="G209" s="9">
        <f>IFERROR(__xludf.DUMMYFUNCTION("""COMPUTED_VALUE"""),1.0)</f>
        <v>1</v>
      </c>
      <c r="H209" s="10">
        <f>IFERROR(__xludf.DUMMYFUNCTION("""COMPUTED_VALUE"""),3.0)</f>
        <v>3</v>
      </c>
      <c r="I209" s="11">
        <f>IFERROR(__xludf.DUMMYFUNCTION("""COMPUTED_VALUE"""),311.0)</f>
        <v>311</v>
      </c>
      <c r="J209" s="9" t="str">
        <f>IFERROR(__xludf.DUMMYFUNCTION("""COMPUTED_VALUE"""),"France")</f>
        <v>France</v>
      </c>
      <c r="K209" s="8"/>
      <c r="L209" s="12"/>
      <c r="M209" s="13"/>
      <c r="N209" s="13" t="str">
        <f>IFERROR(__xludf.DUMMYFUNCTION("IF(ISBLANK(M209),"""",M209*GOOGLEFINANCE(""USDGBP""))"),"")</f>
        <v/>
      </c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</row>
    <row r="210">
      <c r="A210" s="8" t="str">
        <f>IFERROR(__xludf.DUMMYFUNCTION("""COMPUTED_VALUE"""),"205970710000600750")</f>
        <v>205970710000600750</v>
      </c>
      <c r="B210" s="9" t="str">
        <f>IFERROR(__xludf.DUMMYFUNCTION("""COMPUTED_VALUE"""),"France")</f>
        <v>France</v>
      </c>
      <c r="C210" s="9" t="str">
        <f>IFERROR(__xludf.DUMMYFUNCTION("""COMPUTED_VALUE"""),"champagne")</f>
        <v>champagne</v>
      </c>
      <c r="D210" s="9" t="str">
        <f>IFERROR(__xludf.DUMMYFUNCTION("""COMPUTED_VALUE"""),"Krug, Grande Cuvee 169eme Edition")</f>
        <v>Krug, Grande Cuvee 169eme Edition</v>
      </c>
      <c r="E210" s="9">
        <f>IFERROR(__xludf.DUMMYFUNCTION("""COMPUTED_VALUE"""),1000.0)</f>
        <v>1000</v>
      </c>
      <c r="F210" s="9">
        <f>IFERROR(__xludf.DUMMYFUNCTION("""COMPUTED_VALUE"""),750.0)</f>
        <v>750</v>
      </c>
      <c r="G210" s="9">
        <f>IFERROR(__xludf.DUMMYFUNCTION("""COMPUTED_VALUE"""),6.0)</f>
        <v>6</v>
      </c>
      <c r="H210" s="10">
        <f>IFERROR(__xludf.DUMMYFUNCTION("""COMPUTED_VALUE"""),3.0)</f>
        <v>3</v>
      </c>
      <c r="I210" s="11">
        <f>IFERROR(__xludf.DUMMYFUNCTION("""COMPUTED_VALUE"""),990.0)</f>
        <v>990</v>
      </c>
      <c r="J210" s="9" t="str">
        <f>IFERROR(__xludf.DUMMYFUNCTION("""COMPUTED_VALUE"""),"France")</f>
        <v>France</v>
      </c>
      <c r="K210" s="8"/>
      <c r="L210" s="12"/>
      <c r="M210" s="13"/>
      <c r="N210" s="13" t="str">
        <f>IFERROR(__xludf.DUMMYFUNCTION("IF(ISBLANK(M210),"""",M210*GOOGLEFINANCE(""USDGBP""))"),"")</f>
        <v/>
      </c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</row>
    <row r="211">
      <c r="A211" s="8" t="str">
        <f>IFERROR(__xludf.DUMMYFUNCTION("""COMPUTED_VALUE"""),"131693520060100750")</f>
        <v>131693520060100750</v>
      </c>
      <c r="B211" s="9" t="str">
        <f>IFERROR(__xludf.DUMMYFUNCTION("""COMPUTED_VALUE"""),"France")</f>
        <v>France</v>
      </c>
      <c r="C211" s="9" t="str">
        <f>IFERROR(__xludf.DUMMYFUNCTION("""COMPUTED_VALUE"""),"champagne")</f>
        <v>champagne</v>
      </c>
      <c r="D211" s="9" t="str">
        <f>IFERROR(__xludf.DUMMYFUNCTION("""COMPUTED_VALUE"""),"Krug, Vintage Brut")</f>
        <v>Krug, Vintage Brut</v>
      </c>
      <c r="E211" s="9">
        <f>IFERROR(__xludf.DUMMYFUNCTION("""COMPUTED_VALUE"""),2006.0)</f>
        <v>2006</v>
      </c>
      <c r="F211" s="9">
        <f>IFERROR(__xludf.DUMMYFUNCTION("""COMPUTED_VALUE"""),750.0)</f>
        <v>750</v>
      </c>
      <c r="G211" s="9">
        <f>IFERROR(__xludf.DUMMYFUNCTION("""COMPUTED_VALUE"""),1.0)</f>
        <v>1</v>
      </c>
      <c r="H211" s="10">
        <f>IFERROR(__xludf.DUMMYFUNCTION("""COMPUTED_VALUE"""),2.0)</f>
        <v>2</v>
      </c>
      <c r="I211" s="11">
        <f>IFERROR(__xludf.DUMMYFUNCTION("""COMPUTED_VALUE"""),258.0)</f>
        <v>258</v>
      </c>
      <c r="J211" s="9" t="str">
        <f>IFERROR(__xludf.DUMMYFUNCTION("""COMPUTED_VALUE"""),"France")</f>
        <v>France</v>
      </c>
      <c r="K211" s="8"/>
      <c r="L211" s="12"/>
      <c r="M211" s="13"/>
      <c r="N211" s="13" t="str">
        <f>IFERROR(__xludf.DUMMYFUNCTION("IF(ISBLANK(M211),"""",M211*GOOGLEFINANCE(""USDGBP""))"),"")</f>
        <v/>
      </c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</row>
    <row r="212">
      <c r="A212" s="8" t="str">
        <f>IFERROR(__xludf.DUMMYFUNCTION("""COMPUTED_VALUE"""),"131693520080100750")</f>
        <v>131693520080100750</v>
      </c>
      <c r="B212" s="9" t="str">
        <f>IFERROR(__xludf.DUMMYFUNCTION("""COMPUTED_VALUE"""),"France")</f>
        <v>France</v>
      </c>
      <c r="C212" s="9" t="str">
        <f>IFERROR(__xludf.DUMMYFUNCTION("""COMPUTED_VALUE"""),"champagne")</f>
        <v>champagne</v>
      </c>
      <c r="D212" s="9" t="str">
        <f>IFERROR(__xludf.DUMMYFUNCTION("""COMPUTED_VALUE"""),"Krug, Vintage Brut")</f>
        <v>Krug, Vintage Brut</v>
      </c>
      <c r="E212" s="9">
        <f>IFERROR(__xludf.DUMMYFUNCTION("""COMPUTED_VALUE"""),2008.0)</f>
        <v>2008</v>
      </c>
      <c r="F212" s="9">
        <f>IFERROR(__xludf.DUMMYFUNCTION("""COMPUTED_VALUE"""),750.0)</f>
        <v>750</v>
      </c>
      <c r="G212" s="9">
        <f>IFERROR(__xludf.DUMMYFUNCTION("""COMPUTED_VALUE"""),1.0)</f>
        <v>1</v>
      </c>
      <c r="H212" s="10">
        <f>IFERROR(__xludf.DUMMYFUNCTION("""COMPUTED_VALUE"""),1.0)</f>
        <v>1</v>
      </c>
      <c r="I212" s="11">
        <f>IFERROR(__xludf.DUMMYFUNCTION("""COMPUTED_VALUE"""),375.0)</f>
        <v>375</v>
      </c>
      <c r="J212" s="9" t="str">
        <f>IFERROR(__xludf.DUMMYFUNCTION("""COMPUTED_VALUE"""),"France")</f>
        <v>France</v>
      </c>
      <c r="K212" s="8"/>
      <c r="L212" s="12"/>
      <c r="M212" s="13"/>
      <c r="N212" s="13" t="str">
        <f>IFERROR(__xludf.DUMMYFUNCTION("IF(ISBLANK(M212),"""",M212*GOOGLEFINANCE(""USDGBP""))"),"")</f>
        <v/>
      </c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</row>
    <row r="213">
      <c r="A213" s="8" t="str">
        <f>IFERROR(__xludf.DUMMYFUNCTION("""COMPUTED_VALUE"""),"218851910000600750")</f>
        <v>218851910000600750</v>
      </c>
      <c r="B213" s="9" t="str">
        <f>IFERROR(__xludf.DUMMYFUNCTION("""COMPUTED_VALUE"""),"France")</f>
        <v>France</v>
      </c>
      <c r="C213" s="9" t="str">
        <f>IFERROR(__xludf.DUMMYFUNCTION("""COMPUTED_VALUE"""),"champagne")</f>
        <v>champagne</v>
      </c>
      <c r="D213" s="9" t="str">
        <f>IFERROR(__xludf.DUMMYFUNCTION("""COMPUTED_VALUE"""),"Laurent Perrier, Grand Siecle Iteration N°25")</f>
        <v>Laurent Perrier, Grand Siecle Iteration N°25</v>
      </c>
      <c r="E213" s="9">
        <f>IFERROR(__xludf.DUMMYFUNCTION("""COMPUTED_VALUE"""),1000.0)</f>
        <v>1000</v>
      </c>
      <c r="F213" s="9">
        <f>IFERROR(__xludf.DUMMYFUNCTION("""COMPUTED_VALUE"""),750.0)</f>
        <v>750</v>
      </c>
      <c r="G213" s="9">
        <f>IFERROR(__xludf.DUMMYFUNCTION("""COMPUTED_VALUE"""),6.0)</f>
        <v>6</v>
      </c>
      <c r="H213" s="10">
        <f>IFERROR(__xludf.DUMMYFUNCTION("""COMPUTED_VALUE"""),7.0)</f>
        <v>7</v>
      </c>
      <c r="I213" s="11">
        <f>IFERROR(__xludf.DUMMYFUNCTION("""COMPUTED_VALUE"""),699.0)</f>
        <v>699</v>
      </c>
      <c r="J213" s="9" t="str">
        <f>IFERROR(__xludf.DUMMYFUNCTION("""COMPUTED_VALUE"""),"France")</f>
        <v>France</v>
      </c>
      <c r="K213" s="8"/>
      <c r="L213" s="12"/>
      <c r="M213" s="13"/>
      <c r="N213" s="13" t="str">
        <f>IFERROR(__xludf.DUMMYFUNCTION("IF(ISBLANK(M213),"""",M213*GOOGLEFINANCE(""USDGBP""))"),"")</f>
        <v/>
      </c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</row>
    <row r="214">
      <c r="A214" s="8" t="str">
        <f>IFERROR(__xludf.DUMMYFUNCTION("""COMPUTED_VALUE"""),"168028520170600750")</f>
        <v>168028520170600750</v>
      </c>
      <c r="B214" s="9" t="str">
        <f>IFERROR(__xludf.DUMMYFUNCTION("""COMPUTED_VALUE"""),"France")</f>
        <v>France</v>
      </c>
      <c r="C214" s="9" t="str">
        <f>IFERROR(__xludf.DUMMYFUNCTION("""COMPUTED_VALUE"""),"champagne")</f>
        <v>champagne</v>
      </c>
      <c r="D214" s="9" t="str">
        <f>IFERROR(__xludf.DUMMYFUNCTION("""COMPUTED_VALUE"""),"Leclerc Briant, Abyss Brut Zero")</f>
        <v>Leclerc Briant, Abyss Brut Zero</v>
      </c>
      <c r="E214" s="9">
        <f>IFERROR(__xludf.DUMMYFUNCTION("""COMPUTED_VALUE"""),2017.0)</f>
        <v>2017</v>
      </c>
      <c r="F214" s="9">
        <f>IFERROR(__xludf.DUMMYFUNCTION("""COMPUTED_VALUE"""),750.0)</f>
        <v>750</v>
      </c>
      <c r="G214" s="9">
        <f>IFERROR(__xludf.DUMMYFUNCTION("""COMPUTED_VALUE"""),6.0)</f>
        <v>6</v>
      </c>
      <c r="H214" s="10">
        <f>IFERROR(__xludf.DUMMYFUNCTION("""COMPUTED_VALUE"""),2.0)</f>
        <v>2</v>
      </c>
      <c r="I214" s="11">
        <f>IFERROR(__xludf.DUMMYFUNCTION("""COMPUTED_VALUE"""),851.0)</f>
        <v>851</v>
      </c>
      <c r="J214" s="9" t="str">
        <f>IFERROR(__xludf.DUMMYFUNCTION("""COMPUTED_VALUE"""),"France")</f>
        <v>France</v>
      </c>
      <c r="K214" s="8"/>
      <c r="L214" s="12"/>
      <c r="M214" s="13"/>
      <c r="N214" s="13" t="str">
        <f>IFERROR(__xludf.DUMMYFUNCTION("IF(ISBLANK(M214),"""",M214*GOOGLEFINANCE(""USDGBP""))"),"")</f>
        <v/>
      </c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</row>
    <row r="215">
      <c r="A215" s="8" t="str">
        <f>IFERROR(__xludf.DUMMYFUNCTION("""COMPUTED_VALUE"""),"241854220120300750")</f>
        <v>241854220120300750</v>
      </c>
      <c r="B215" s="9" t="str">
        <f>IFERROR(__xludf.DUMMYFUNCTION("""COMPUTED_VALUE"""),"France")</f>
        <v>France</v>
      </c>
      <c r="C215" s="9" t="str">
        <f>IFERROR(__xludf.DUMMYFUNCTION("""COMPUTED_VALUE"""),"champagne")</f>
        <v>champagne</v>
      </c>
      <c r="D215" s="9" t="str">
        <f>IFERROR(__xludf.DUMMYFUNCTION("""COMPUTED_VALUE"""),"Leclerc Briant, Chateau d'Avize Blanc de Blancs Brut Zero Grand Cru, Avize")</f>
        <v>Leclerc Briant, Chateau d'Avize Blanc de Blancs Brut Zero Grand Cru, Avize</v>
      </c>
      <c r="E215" s="9">
        <f>IFERROR(__xludf.DUMMYFUNCTION("""COMPUTED_VALUE"""),2012.0)</f>
        <v>2012</v>
      </c>
      <c r="F215" s="9">
        <f>IFERROR(__xludf.DUMMYFUNCTION("""COMPUTED_VALUE"""),750.0)</f>
        <v>750</v>
      </c>
      <c r="G215" s="9">
        <f>IFERROR(__xludf.DUMMYFUNCTION("""COMPUTED_VALUE"""),3.0)</f>
        <v>3</v>
      </c>
      <c r="H215" s="10">
        <f>IFERROR(__xludf.DUMMYFUNCTION("""COMPUTED_VALUE"""),45.0)</f>
        <v>45</v>
      </c>
      <c r="I215" s="11">
        <f>IFERROR(__xludf.DUMMYFUNCTION("""COMPUTED_VALUE"""),675.0)</f>
        <v>675</v>
      </c>
      <c r="J215" s="9" t="str">
        <f>IFERROR(__xludf.DUMMYFUNCTION("""COMPUTED_VALUE"""),"France")</f>
        <v>France</v>
      </c>
      <c r="K215" s="8"/>
      <c r="L215" s="12"/>
      <c r="M215" s="13"/>
      <c r="N215" s="13" t="str">
        <f>IFERROR(__xludf.DUMMYFUNCTION("IF(ISBLANK(M215),"""",M215*GOOGLEFINANCE(""USDGBP""))"),"")</f>
        <v/>
      </c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</row>
    <row r="216">
      <c r="A216" s="8" t="str">
        <f>IFERROR(__xludf.DUMMYFUNCTION("""COMPUTED_VALUE"""),"241854220120100750")</f>
        <v>241854220120100750</v>
      </c>
      <c r="B216" s="9" t="str">
        <f>IFERROR(__xludf.DUMMYFUNCTION("""COMPUTED_VALUE"""),"France")</f>
        <v>France</v>
      </c>
      <c r="C216" s="9" t="str">
        <f>IFERROR(__xludf.DUMMYFUNCTION("""COMPUTED_VALUE"""),"champagne")</f>
        <v>champagne</v>
      </c>
      <c r="D216" s="9" t="str">
        <f>IFERROR(__xludf.DUMMYFUNCTION("""COMPUTED_VALUE"""),"Leclerc Briant, Chateau d'Avize Blanc de Blancs Brut Zero Grand Cru, Avize")</f>
        <v>Leclerc Briant, Chateau d'Avize Blanc de Blancs Brut Zero Grand Cru, Avize</v>
      </c>
      <c r="E216" s="9">
        <f>IFERROR(__xludf.DUMMYFUNCTION("""COMPUTED_VALUE"""),2012.0)</f>
        <v>2012</v>
      </c>
      <c r="F216" s="9">
        <f>IFERROR(__xludf.DUMMYFUNCTION("""COMPUTED_VALUE"""),750.0)</f>
        <v>750</v>
      </c>
      <c r="G216" s="9">
        <f>IFERROR(__xludf.DUMMYFUNCTION("""COMPUTED_VALUE"""),1.0)</f>
        <v>1</v>
      </c>
      <c r="H216" s="10">
        <f>IFERROR(__xludf.DUMMYFUNCTION("""COMPUTED_VALUE"""),12.0)</f>
        <v>12</v>
      </c>
      <c r="I216" s="11">
        <f>IFERROR(__xludf.DUMMYFUNCTION("""COMPUTED_VALUE"""),225.0)</f>
        <v>225</v>
      </c>
      <c r="J216" s="9" t="str">
        <f>IFERROR(__xludf.DUMMYFUNCTION("""COMPUTED_VALUE"""),"France")</f>
        <v>France</v>
      </c>
      <c r="K216" s="8"/>
      <c r="L216" s="12"/>
      <c r="M216" s="13"/>
      <c r="N216" s="13" t="str">
        <f>IFERROR(__xludf.DUMMYFUNCTION("IF(ISBLANK(M216),"""",M216*GOOGLEFINANCE(""USDGBP""))"),"")</f>
        <v/>
      </c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</row>
    <row r="217">
      <c r="A217" s="8" t="str">
        <f>IFERROR(__xludf.DUMMYFUNCTION("""COMPUTED_VALUE"""),"108254220080100750")</f>
        <v>108254220080100750</v>
      </c>
      <c r="B217" s="9" t="str">
        <f>IFERROR(__xludf.DUMMYFUNCTION("""COMPUTED_VALUE"""),"France")</f>
        <v>France</v>
      </c>
      <c r="C217" s="9" t="str">
        <f>IFERROR(__xludf.DUMMYFUNCTION("""COMPUTED_VALUE"""),"champagne")</f>
        <v>champagne</v>
      </c>
      <c r="D217" s="9" t="str">
        <f>IFERROR(__xludf.DUMMYFUNCTION("""COMPUTED_VALUE"""),"Louis Roederer, Cristal")</f>
        <v>Louis Roederer, Cristal</v>
      </c>
      <c r="E217" s="9">
        <f>IFERROR(__xludf.DUMMYFUNCTION("""COMPUTED_VALUE"""),2008.0)</f>
        <v>2008</v>
      </c>
      <c r="F217" s="9">
        <f>IFERROR(__xludf.DUMMYFUNCTION("""COMPUTED_VALUE"""),750.0)</f>
        <v>750</v>
      </c>
      <c r="G217" s="9">
        <f>IFERROR(__xludf.DUMMYFUNCTION("""COMPUTED_VALUE"""),1.0)</f>
        <v>1</v>
      </c>
      <c r="H217" s="10">
        <f>IFERROR(__xludf.DUMMYFUNCTION("""COMPUTED_VALUE"""),1.0)</f>
        <v>1</v>
      </c>
      <c r="I217" s="11">
        <f>IFERROR(__xludf.DUMMYFUNCTION("""COMPUTED_VALUE"""),253.0)</f>
        <v>253</v>
      </c>
      <c r="J217" s="9" t="str">
        <f>IFERROR(__xludf.DUMMYFUNCTION("""COMPUTED_VALUE"""),"France")</f>
        <v>France</v>
      </c>
      <c r="K217" s="8"/>
      <c r="L217" s="12"/>
      <c r="M217" s="13"/>
      <c r="N217" s="13" t="str">
        <f>IFERROR(__xludf.DUMMYFUNCTION("IF(ISBLANK(M217),"""",M217*GOOGLEFINANCE(""USDGBP""))"),"")</f>
        <v/>
      </c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</row>
    <row r="218">
      <c r="A218" s="8" t="str">
        <f>IFERROR(__xludf.DUMMYFUNCTION("""COMPUTED_VALUE"""),"108254220120100750")</f>
        <v>108254220120100750</v>
      </c>
      <c r="B218" s="9" t="str">
        <f>IFERROR(__xludf.DUMMYFUNCTION("""COMPUTED_VALUE"""),"France")</f>
        <v>France</v>
      </c>
      <c r="C218" s="9" t="str">
        <f>IFERROR(__xludf.DUMMYFUNCTION("""COMPUTED_VALUE"""),"champagne")</f>
        <v>champagne</v>
      </c>
      <c r="D218" s="9" t="str">
        <f>IFERROR(__xludf.DUMMYFUNCTION("""COMPUTED_VALUE"""),"Louis Roederer, Cristal")</f>
        <v>Louis Roederer, Cristal</v>
      </c>
      <c r="E218" s="9">
        <f>IFERROR(__xludf.DUMMYFUNCTION("""COMPUTED_VALUE"""),2012.0)</f>
        <v>2012</v>
      </c>
      <c r="F218" s="9">
        <f>IFERROR(__xludf.DUMMYFUNCTION("""COMPUTED_VALUE"""),750.0)</f>
        <v>750</v>
      </c>
      <c r="G218" s="9">
        <f>IFERROR(__xludf.DUMMYFUNCTION("""COMPUTED_VALUE"""),1.0)</f>
        <v>1</v>
      </c>
      <c r="H218" s="10">
        <f>IFERROR(__xludf.DUMMYFUNCTION("""COMPUTED_VALUE"""),1.0)</f>
        <v>1</v>
      </c>
      <c r="I218" s="11">
        <f>IFERROR(__xludf.DUMMYFUNCTION("""COMPUTED_VALUE"""),201.0)</f>
        <v>201</v>
      </c>
      <c r="J218" s="9" t="str">
        <f>IFERROR(__xludf.DUMMYFUNCTION("""COMPUTED_VALUE"""),"France")</f>
        <v>France</v>
      </c>
      <c r="K218" s="8"/>
      <c r="L218" s="12"/>
      <c r="M218" s="13"/>
      <c r="N218" s="13" t="str">
        <f>IFERROR(__xludf.DUMMYFUNCTION("IF(ISBLANK(M218),"""",M218*GOOGLEFINANCE(""USDGBP""))"),"")</f>
        <v/>
      </c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</row>
    <row r="219">
      <c r="A219" s="8" t="str">
        <f>IFERROR(__xludf.DUMMYFUNCTION("""COMPUTED_VALUE"""),"108254220150300750")</f>
        <v>108254220150300750</v>
      </c>
      <c r="B219" s="9" t="str">
        <f>IFERROR(__xludf.DUMMYFUNCTION("""COMPUTED_VALUE"""),"France")</f>
        <v>France</v>
      </c>
      <c r="C219" s="9" t="str">
        <f>IFERROR(__xludf.DUMMYFUNCTION("""COMPUTED_VALUE"""),"champagne")</f>
        <v>champagne</v>
      </c>
      <c r="D219" s="9" t="str">
        <f>IFERROR(__xludf.DUMMYFUNCTION("""COMPUTED_VALUE"""),"Louis Roederer, Cristal")</f>
        <v>Louis Roederer, Cristal</v>
      </c>
      <c r="E219" s="9">
        <f>IFERROR(__xludf.DUMMYFUNCTION("""COMPUTED_VALUE"""),2015.0)</f>
        <v>2015</v>
      </c>
      <c r="F219" s="9">
        <f>IFERROR(__xludf.DUMMYFUNCTION("""COMPUTED_VALUE"""),750.0)</f>
        <v>750</v>
      </c>
      <c r="G219" s="9">
        <f>IFERROR(__xludf.DUMMYFUNCTION("""COMPUTED_VALUE"""),3.0)</f>
        <v>3</v>
      </c>
      <c r="H219" s="10">
        <f>IFERROR(__xludf.DUMMYFUNCTION("""COMPUTED_VALUE"""),3.0)</f>
        <v>3</v>
      </c>
      <c r="I219" s="11">
        <f>IFERROR(__xludf.DUMMYFUNCTION("""COMPUTED_VALUE"""),576.0)</f>
        <v>576</v>
      </c>
      <c r="J219" s="9" t="str">
        <f>IFERROR(__xludf.DUMMYFUNCTION("""COMPUTED_VALUE"""),"France")</f>
        <v>France</v>
      </c>
      <c r="K219" s="8"/>
      <c r="L219" s="12"/>
      <c r="M219" s="13"/>
      <c r="N219" s="13" t="str">
        <f>IFERROR(__xludf.DUMMYFUNCTION("IF(ISBLANK(M219),"""",M219*GOOGLEFINANCE(""USDGBP""))"),"")</f>
        <v/>
      </c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</row>
    <row r="220">
      <c r="A220" s="8" t="str">
        <f>IFERROR(__xludf.DUMMYFUNCTION("""COMPUTED_VALUE"""),"138505020090600750")</f>
        <v>138505020090600750</v>
      </c>
      <c r="B220" s="9" t="str">
        <f>IFERROR(__xludf.DUMMYFUNCTION("""COMPUTED_VALUE"""),"France")</f>
        <v>France</v>
      </c>
      <c r="C220" s="9" t="str">
        <f>IFERROR(__xludf.DUMMYFUNCTION("""COMPUTED_VALUE"""),"champagne")</f>
        <v>champagne</v>
      </c>
      <c r="D220" s="9" t="str">
        <f>IFERROR(__xludf.DUMMYFUNCTION("""COMPUTED_VALUE"""),"Philipponnat, Les Cintres")</f>
        <v>Philipponnat, Les Cintres</v>
      </c>
      <c r="E220" s="9">
        <f>IFERROR(__xludf.DUMMYFUNCTION("""COMPUTED_VALUE"""),2009.0)</f>
        <v>2009</v>
      </c>
      <c r="F220" s="9">
        <f>IFERROR(__xludf.DUMMYFUNCTION("""COMPUTED_VALUE"""),750.0)</f>
        <v>750</v>
      </c>
      <c r="G220" s="9">
        <f>IFERROR(__xludf.DUMMYFUNCTION("""COMPUTED_VALUE"""),6.0)</f>
        <v>6</v>
      </c>
      <c r="H220" s="10">
        <f>IFERROR(__xludf.DUMMYFUNCTION("""COMPUTED_VALUE"""),1.0)</f>
        <v>1</v>
      </c>
      <c r="I220" s="11">
        <f>IFERROR(__xludf.DUMMYFUNCTION("""COMPUTED_VALUE"""),1640.0)</f>
        <v>1640</v>
      </c>
      <c r="J220" s="9" t="str">
        <f>IFERROR(__xludf.DUMMYFUNCTION("""COMPUTED_VALUE"""),"France")</f>
        <v>France</v>
      </c>
      <c r="K220" s="8"/>
      <c r="L220" s="12"/>
      <c r="M220" s="13"/>
      <c r="N220" s="13" t="str">
        <f>IFERROR(__xludf.DUMMYFUNCTION("IF(ISBLANK(M220),"""",M220*GOOGLEFINANCE(""USDGBP""))"),"")</f>
        <v/>
      </c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</row>
    <row r="221">
      <c r="A221" s="8" t="str">
        <f>IFERROR(__xludf.DUMMYFUNCTION("""COMPUTED_VALUE"""),"108283220150600750")</f>
        <v>108283220150600750</v>
      </c>
      <c r="B221" s="9" t="str">
        <f>IFERROR(__xludf.DUMMYFUNCTION("""COMPUTED_VALUE"""),"France")</f>
        <v>France</v>
      </c>
      <c r="C221" s="9" t="str">
        <f>IFERROR(__xludf.DUMMYFUNCTION("""COMPUTED_VALUE"""),"champagne")</f>
        <v>champagne</v>
      </c>
      <c r="D221" s="9" t="str">
        <f>IFERROR(__xludf.DUMMYFUNCTION("""COMPUTED_VALUE"""),"Pol Roger, Brut Vintage")</f>
        <v>Pol Roger, Brut Vintage</v>
      </c>
      <c r="E221" s="9">
        <f>IFERROR(__xludf.DUMMYFUNCTION("""COMPUTED_VALUE"""),2015.0)</f>
        <v>2015</v>
      </c>
      <c r="F221" s="9">
        <f>IFERROR(__xludf.DUMMYFUNCTION("""COMPUTED_VALUE"""),750.0)</f>
        <v>750</v>
      </c>
      <c r="G221" s="9">
        <f>IFERROR(__xludf.DUMMYFUNCTION("""COMPUTED_VALUE"""),6.0)</f>
        <v>6</v>
      </c>
      <c r="H221" s="10">
        <f>IFERROR(__xludf.DUMMYFUNCTION("""COMPUTED_VALUE"""),10.0)</f>
        <v>10</v>
      </c>
      <c r="I221" s="11">
        <f>IFERROR(__xludf.DUMMYFUNCTION("""COMPUTED_VALUE"""),330.0)</f>
        <v>330</v>
      </c>
      <c r="J221" s="9" t="str">
        <f>IFERROR(__xludf.DUMMYFUNCTION("""COMPUTED_VALUE"""),"France")</f>
        <v>France</v>
      </c>
      <c r="K221" s="8"/>
      <c r="L221" s="12"/>
      <c r="M221" s="13"/>
      <c r="N221" s="13" t="str">
        <f>IFERROR(__xludf.DUMMYFUNCTION("IF(ISBLANK(M221),"""",M221*GOOGLEFINANCE(""USDGBP""))"),"")</f>
        <v/>
      </c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</row>
    <row r="222">
      <c r="A222" s="8" t="str">
        <f>IFERROR(__xludf.DUMMYFUNCTION("""COMPUTED_VALUE"""),"108279920130300750")</f>
        <v>108279920130300750</v>
      </c>
      <c r="B222" s="9" t="str">
        <f>IFERROR(__xludf.DUMMYFUNCTION("""COMPUTED_VALUE"""),"France")</f>
        <v>France</v>
      </c>
      <c r="C222" s="9" t="str">
        <f>IFERROR(__xludf.DUMMYFUNCTION("""COMPUTED_VALUE"""),"champagne")</f>
        <v>champagne</v>
      </c>
      <c r="D222" s="9" t="str">
        <f>IFERROR(__xludf.DUMMYFUNCTION("""COMPUTED_VALUE"""),"Rare, Champagne")</f>
        <v>Rare, Champagne</v>
      </c>
      <c r="E222" s="9">
        <f>IFERROR(__xludf.DUMMYFUNCTION("""COMPUTED_VALUE"""),2013.0)</f>
        <v>2013</v>
      </c>
      <c r="F222" s="9">
        <f>IFERROR(__xludf.DUMMYFUNCTION("""COMPUTED_VALUE"""),750.0)</f>
        <v>750</v>
      </c>
      <c r="G222" s="9">
        <f>IFERROR(__xludf.DUMMYFUNCTION("""COMPUTED_VALUE"""),3.0)</f>
        <v>3</v>
      </c>
      <c r="H222" s="10">
        <f>IFERROR(__xludf.DUMMYFUNCTION("""COMPUTED_VALUE"""),2.0)</f>
        <v>2</v>
      </c>
      <c r="I222" s="11">
        <f>IFERROR(__xludf.DUMMYFUNCTION("""COMPUTED_VALUE"""),417.0)</f>
        <v>417</v>
      </c>
      <c r="J222" s="9" t="str">
        <f>IFERROR(__xludf.DUMMYFUNCTION("""COMPUTED_VALUE"""),"France")</f>
        <v>France</v>
      </c>
      <c r="K222" s="8"/>
      <c r="L222" s="12"/>
      <c r="M222" s="13"/>
      <c r="N222" s="13" t="str">
        <f>IFERROR(__xludf.DUMMYFUNCTION("IF(ISBLANK(M222),"""",M222*GOOGLEFINANCE(""USDGBP""))"),"")</f>
        <v/>
      </c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</row>
    <row r="223">
      <c r="A223" s="8" t="str">
        <f>IFERROR(__xludf.DUMMYFUNCTION("""COMPUTED_VALUE"""),"116079820100300750")</f>
        <v>116079820100300750</v>
      </c>
      <c r="B223" s="9" t="str">
        <f>IFERROR(__xludf.DUMMYFUNCTION("""COMPUTED_VALUE"""),"France")</f>
        <v>France</v>
      </c>
      <c r="C223" s="9" t="str">
        <f>IFERROR(__xludf.DUMMYFUNCTION("""COMPUTED_VALUE"""),"champagne")</f>
        <v>champagne</v>
      </c>
      <c r="D223" s="9" t="str">
        <f>IFERROR(__xludf.DUMMYFUNCTION("""COMPUTED_VALUE"""),"Ruinart, Dom Ruinart Blanc de Blancs")</f>
        <v>Ruinart, Dom Ruinart Blanc de Blancs</v>
      </c>
      <c r="E223" s="9">
        <f>IFERROR(__xludf.DUMMYFUNCTION("""COMPUTED_VALUE"""),2010.0)</f>
        <v>2010</v>
      </c>
      <c r="F223" s="9">
        <f>IFERROR(__xludf.DUMMYFUNCTION("""COMPUTED_VALUE"""),750.0)</f>
        <v>750</v>
      </c>
      <c r="G223" s="9">
        <f>IFERROR(__xludf.DUMMYFUNCTION("""COMPUTED_VALUE"""),3.0)</f>
        <v>3</v>
      </c>
      <c r="H223" s="10">
        <f>IFERROR(__xludf.DUMMYFUNCTION("""COMPUTED_VALUE"""),1.0)</f>
        <v>1</v>
      </c>
      <c r="I223" s="11">
        <f>IFERROR(__xludf.DUMMYFUNCTION("""COMPUTED_VALUE"""),486.0)</f>
        <v>486</v>
      </c>
      <c r="J223" s="9" t="str">
        <f>IFERROR(__xludf.DUMMYFUNCTION("""COMPUTED_VALUE"""),"France")</f>
        <v>France</v>
      </c>
      <c r="K223" s="8"/>
      <c r="L223" s="12"/>
      <c r="M223" s="13"/>
      <c r="N223" s="13" t="str">
        <f>IFERROR(__xludf.DUMMYFUNCTION("IF(ISBLANK(M223),"""",M223*GOOGLEFINANCE(""USDGBP""))"),"")</f>
        <v/>
      </c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</row>
    <row r="224">
      <c r="A224" s="8" t="str">
        <f>IFERROR(__xludf.DUMMYFUNCTION("""COMPUTED_VALUE"""),"180762620130100750")</f>
        <v>180762620130100750</v>
      </c>
      <c r="B224" s="9" t="str">
        <f>IFERROR(__xludf.DUMMYFUNCTION("""COMPUTED_VALUE"""),"France")</f>
        <v>France</v>
      </c>
      <c r="C224" s="9" t="str">
        <f>IFERROR(__xludf.DUMMYFUNCTION("""COMPUTED_VALUE"""),"champagne")</f>
        <v>champagne</v>
      </c>
      <c r="D224" s="9" t="str">
        <f>IFERROR(__xludf.DUMMYFUNCTION("""COMPUTED_VALUE"""),"Salon, Le Mesnil-sur-Oger Grand Cru")</f>
        <v>Salon, Le Mesnil-sur-Oger Grand Cru</v>
      </c>
      <c r="E224" s="9">
        <f>IFERROR(__xludf.DUMMYFUNCTION("""COMPUTED_VALUE"""),2013.0)</f>
        <v>2013</v>
      </c>
      <c r="F224" s="9">
        <f>IFERROR(__xludf.DUMMYFUNCTION("""COMPUTED_VALUE"""),750.0)</f>
        <v>750</v>
      </c>
      <c r="G224" s="9">
        <f>IFERROR(__xludf.DUMMYFUNCTION("""COMPUTED_VALUE"""),1.0)</f>
        <v>1</v>
      </c>
      <c r="H224" s="10">
        <f>IFERROR(__xludf.DUMMYFUNCTION("""COMPUTED_VALUE"""),3.0)</f>
        <v>3</v>
      </c>
      <c r="I224" s="11">
        <f>IFERROR(__xludf.DUMMYFUNCTION("""COMPUTED_VALUE"""),894.0)</f>
        <v>894</v>
      </c>
      <c r="J224" s="9" t="str">
        <f>IFERROR(__xludf.DUMMYFUNCTION("""COMPUTED_VALUE"""),"France")</f>
        <v>France</v>
      </c>
      <c r="K224" s="8"/>
      <c r="L224" s="12"/>
      <c r="M224" s="13"/>
      <c r="N224" s="13" t="str">
        <f>IFERROR(__xludf.DUMMYFUNCTION("IF(ISBLANK(M224),"""",M224*GOOGLEFINANCE(""USDGBP""))"),"")</f>
        <v/>
      </c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</row>
    <row r="225">
      <c r="A225" s="8" t="str">
        <f>IFERROR(__xludf.DUMMYFUNCTION("""COMPUTED_VALUE"""),"165825720100300750")</f>
        <v>165825720100300750</v>
      </c>
      <c r="B225" s="9" t="str">
        <f>IFERROR(__xludf.DUMMYFUNCTION("""COMPUTED_VALUE"""),"France")</f>
        <v>France</v>
      </c>
      <c r="C225" s="9" t="str">
        <f>IFERROR(__xludf.DUMMYFUNCTION("""COMPUTED_VALUE"""),"champagne")</f>
        <v>champagne</v>
      </c>
      <c r="D225" s="9" t="str">
        <f>IFERROR(__xludf.DUMMYFUNCTION("""COMPUTED_VALUE"""),"Thienot, Vigne Gamins Blanc de Blancs")</f>
        <v>Thienot, Vigne Gamins Blanc de Blancs</v>
      </c>
      <c r="E225" s="9">
        <f>IFERROR(__xludf.DUMMYFUNCTION("""COMPUTED_VALUE"""),2010.0)</f>
        <v>2010</v>
      </c>
      <c r="F225" s="9">
        <f>IFERROR(__xludf.DUMMYFUNCTION("""COMPUTED_VALUE"""),750.0)</f>
        <v>750</v>
      </c>
      <c r="G225" s="9">
        <f>IFERROR(__xludf.DUMMYFUNCTION("""COMPUTED_VALUE"""),3.0)</f>
        <v>3</v>
      </c>
      <c r="H225" s="10">
        <f>IFERROR(__xludf.DUMMYFUNCTION("""COMPUTED_VALUE"""),2.0)</f>
        <v>2</v>
      </c>
      <c r="I225" s="11">
        <f>IFERROR(__xludf.DUMMYFUNCTION("""COMPUTED_VALUE"""),288.0)</f>
        <v>288</v>
      </c>
      <c r="J225" s="9" t="str">
        <f>IFERROR(__xludf.DUMMYFUNCTION("""COMPUTED_VALUE"""),"France")</f>
        <v>France</v>
      </c>
      <c r="K225" s="8"/>
      <c r="L225" s="12"/>
      <c r="M225" s="13"/>
      <c r="N225" s="13" t="str">
        <f>IFERROR(__xludf.DUMMYFUNCTION("IF(ISBLANK(M225),"""",M225*GOOGLEFINANCE(""USDGBP""))"),"")</f>
        <v/>
      </c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</row>
    <row r="226">
      <c r="A226" s="8" t="str">
        <f>IFERROR(__xludf.DUMMYFUNCTION("""COMPUTED_VALUE"""),"135763920120100750")</f>
        <v>135763920120100750</v>
      </c>
      <c r="B226" s="9" t="str">
        <f>IFERROR(__xludf.DUMMYFUNCTION("""COMPUTED_VALUE"""),"France")</f>
        <v>France</v>
      </c>
      <c r="C226" s="9" t="str">
        <f>IFERROR(__xludf.DUMMYFUNCTION("""COMPUTED_VALUE"""),"champagne")</f>
        <v>champagne</v>
      </c>
      <c r="D226" s="9" t="str">
        <f>IFERROR(__xludf.DUMMYFUNCTION("""COMPUTED_VALUE"""),"de Venoge, Louis XV Brut")</f>
        <v>de Venoge, Louis XV Brut</v>
      </c>
      <c r="E226" s="9">
        <f>IFERROR(__xludf.DUMMYFUNCTION("""COMPUTED_VALUE"""),2012.0)</f>
        <v>2012</v>
      </c>
      <c r="F226" s="9">
        <f>IFERROR(__xludf.DUMMYFUNCTION("""COMPUTED_VALUE"""),750.0)</f>
        <v>750</v>
      </c>
      <c r="G226" s="9">
        <f>IFERROR(__xludf.DUMMYFUNCTION("""COMPUTED_VALUE"""),1.0)</f>
        <v>1</v>
      </c>
      <c r="H226" s="10">
        <f>IFERROR(__xludf.DUMMYFUNCTION("""COMPUTED_VALUE"""),6.0)</f>
        <v>6</v>
      </c>
      <c r="I226" s="11">
        <f>IFERROR(__xludf.DUMMYFUNCTION("""COMPUTED_VALUE"""),125.0)</f>
        <v>125</v>
      </c>
      <c r="J226" s="9" t="str">
        <f>IFERROR(__xludf.DUMMYFUNCTION("""COMPUTED_VALUE"""),"France")</f>
        <v>France</v>
      </c>
      <c r="K226" s="8"/>
      <c r="L226" s="12"/>
      <c r="M226" s="13"/>
      <c r="N226" s="13" t="str">
        <f>IFERROR(__xludf.DUMMYFUNCTION("IF(ISBLANK(M226),"""",M226*GOOGLEFINANCE(""USDGBP""))"),"")</f>
        <v/>
      </c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</row>
    <row r="227">
      <c r="A227" s="8" t="str">
        <f>IFERROR(__xludf.DUMMYFUNCTION("""COMPUTED_VALUE"""),"114877820130600750")</f>
        <v>114877820130600750</v>
      </c>
      <c r="B227" s="9" t="str">
        <f>IFERROR(__xludf.DUMMYFUNCTION("""COMPUTED_VALUE"""),"France")</f>
        <v>France</v>
      </c>
      <c r="C227" s="9" t="str">
        <f>IFERROR(__xludf.DUMMYFUNCTION("""COMPUTED_VALUE"""),"loire")</f>
        <v>loire</v>
      </c>
      <c r="D227" s="9" t="str">
        <f>IFERROR(__xludf.DUMMYFUNCTION("""COMPUTED_VALUE"""),"Clos Rougeard, Saumur-Champigny, Bourg")</f>
        <v>Clos Rougeard, Saumur-Champigny, Bourg</v>
      </c>
      <c r="E227" s="9">
        <f>IFERROR(__xludf.DUMMYFUNCTION("""COMPUTED_VALUE"""),2013.0)</f>
        <v>2013</v>
      </c>
      <c r="F227" s="9">
        <f>IFERROR(__xludf.DUMMYFUNCTION("""COMPUTED_VALUE"""),750.0)</f>
        <v>750</v>
      </c>
      <c r="G227" s="9">
        <f>IFERROR(__xludf.DUMMYFUNCTION("""COMPUTED_VALUE"""),6.0)</f>
        <v>6</v>
      </c>
      <c r="H227" s="10">
        <f>IFERROR(__xludf.DUMMYFUNCTION("""COMPUTED_VALUE"""),1.0)</f>
        <v>1</v>
      </c>
      <c r="I227" s="11">
        <f>IFERROR(__xludf.DUMMYFUNCTION("""COMPUTED_VALUE"""),1980.0)</f>
        <v>1980</v>
      </c>
      <c r="J227" s="9" t="str">
        <f>IFERROR(__xludf.DUMMYFUNCTION("""COMPUTED_VALUE"""),"France")</f>
        <v>France</v>
      </c>
      <c r="K227" s="8"/>
      <c r="L227" s="12"/>
      <c r="M227" s="13"/>
      <c r="N227" s="13" t="str">
        <f>IFERROR(__xludf.DUMMYFUNCTION("IF(ISBLANK(M227),"""",M227*GOOGLEFINANCE(""USDGBP""))"),"")</f>
        <v/>
      </c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</row>
    <row r="228">
      <c r="A228" s="8" t="str">
        <f>IFERROR(__xludf.DUMMYFUNCTION("""COMPUTED_VALUE"""),"108323320180600750")</f>
        <v>108323320180600750</v>
      </c>
      <c r="B228" s="9" t="str">
        <f>IFERROR(__xludf.DUMMYFUNCTION("""COMPUTED_VALUE"""),"Argentina")</f>
        <v>Argentina</v>
      </c>
      <c r="C228" s="9" t="str">
        <f>IFERROR(__xludf.DUMMYFUNCTION("""COMPUTED_VALUE"""),"mendoza")</f>
        <v>mendoza</v>
      </c>
      <c r="D228" s="9" t="str">
        <f>IFERROR(__xludf.DUMMYFUNCTION("""COMPUTED_VALUE"""),"Cheval Blanc &amp; Terrazas de Los Andes, Cheval des Andes, Mendoza")</f>
        <v>Cheval Blanc &amp; Terrazas de Los Andes, Cheval des Andes, Mendoza</v>
      </c>
      <c r="E228" s="9">
        <f>IFERROR(__xludf.DUMMYFUNCTION("""COMPUTED_VALUE"""),2018.0)</f>
        <v>2018</v>
      </c>
      <c r="F228" s="9">
        <f>IFERROR(__xludf.DUMMYFUNCTION("""COMPUTED_VALUE"""),750.0)</f>
        <v>750</v>
      </c>
      <c r="G228" s="9">
        <f>IFERROR(__xludf.DUMMYFUNCTION("""COMPUTED_VALUE"""),6.0)</f>
        <v>6</v>
      </c>
      <c r="H228" s="10">
        <f>IFERROR(__xludf.DUMMYFUNCTION("""COMPUTED_VALUE"""),23.0)</f>
        <v>23</v>
      </c>
      <c r="I228" s="11">
        <f>IFERROR(__xludf.DUMMYFUNCTION("""COMPUTED_VALUE"""),330.0)</f>
        <v>330</v>
      </c>
      <c r="J228" s="9" t="str">
        <f>IFERROR(__xludf.DUMMYFUNCTION("""COMPUTED_VALUE"""),"France")</f>
        <v>France</v>
      </c>
      <c r="K228" s="8"/>
      <c r="L228" s="12"/>
      <c r="M228" s="13"/>
      <c r="N228" s="13" t="str">
        <f>IFERROR(__xludf.DUMMYFUNCTION("IF(ISBLANK(M228),"""",M228*GOOGLEFINANCE(""USDGBP""))"),"")</f>
        <v/>
      </c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</row>
    <row r="229">
      <c r="A229" s="8" t="str">
        <f>IFERROR(__xludf.DUMMYFUNCTION("""COMPUTED_VALUE"""),"108323320190600750")</f>
        <v>108323320190600750</v>
      </c>
      <c r="B229" s="9" t="str">
        <f>IFERROR(__xludf.DUMMYFUNCTION("""COMPUTED_VALUE"""),"Argentina")</f>
        <v>Argentina</v>
      </c>
      <c r="C229" s="9" t="str">
        <f>IFERROR(__xludf.DUMMYFUNCTION("""COMPUTED_VALUE"""),"mendoza")</f>
        <v>mendoza</v>
      </c>
      <c r="D229" s="9" t="str">
        <f>IFERROR(__xludf.DUMMYFUNCTION("""COMPUTED_VALUE"""),"Cheval Blanc &amp; Terrazas de Los Andes, Cheval des Andes, Mendoza")</f>
        <v>Cheval Blanc &amp; Terrazas de Los Andes, Cheval des Andes, Mendoza</v>
      </c>
      <c r="E229" s="9">
        <f>IFERROR(__xludf.DUMMYFUNCTION("""COMPUTED_VALUE"""),2019.0)</f>
        <v>2019</v>
      </c>
      <c r="F229" s="9">
        <f>IFERROR(__xludf.DUMMYFUNCTION("""COMPUTED_VALUE"""),750.0)</f>
        <v>750</v>
      </c>
      <c r="G229" s="9">
        <f>IFERROR(__xludf.DUMMYFUNCTION("""COMPUTED_VALUE"""),6.0)</f>
        <v>6</v>
      </c>
      <c r="H229" s="10">
        <f>IFERROR(__xludf.DUMMYFUNCTION("""COMPUTED_VALUE"""),15.0)</f>
        <v>15</v>
      </c>
      <c r="I229" s="11">
        <f>IFERROR(__xludf.DUMMYFUNCTION("""COMPUTED_VALUE"""),353.0)</f>
        <v>353</v>
      </c>
      <c r="J229" s="9" t="str">
        <f>IFERROR(__xludf.DUMMYFUNCTION("""COMPUTED_VALUE"""),"France")</f>
        <v>France</v>
      </c>
      <c r="K229" s="8"/>
      <c r="L229" s="12"/>
      <c r="M229" s="13"/>
      <c r="N229" s="13" t="str">
        <f>IFERROR(__xludf.DUMMYFUNCTION("IF(ISBLANK(M229),"""",M229*GOOGLEFINANCE(""USDGBP""))"),"")</f>
        <v/>
      </c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</row>
    <row r="230">
      <c r="A230" s="8" t="str">
        <f>IFERROR(__xludf.DUMMYFUNCTION("""COMPUTED_VALUE"""),"120104620140600750")</f>
        <v>120104620140600750</v>
      </c>
      <c r="B230" s="9" t="str">
        <f>IFERROR(__xludf.DUMMYFUNCTION("""COMPUTED_VALUE"""),"Italy")</f>
        <v>Italy</v>
      </c>
      <c r="C230" s="9" t="str">
        <f>IFERROR(__xludf.DUMMYFUNCTION("""COMPUTED_VALUE"""),"piedmont")</f>
        <v>piedmont</v>
      </c>
      <c r="D230" s="9" t="str">
        <f>IFERROR(__xludf.DUMMYFUNCTION("""COMPUTED_VALUE"""),"Domenico Clerico, Barolo, Ginestra Ciabot Mentin")</f>
        <v>Domenico Clerico, Barolo, Ginestra Ciabot Mentin</v>
      </c>
      <c r="E230" s="9">
        <f>IFERROR(__xludf.DUMMYFUNCTION("""COMPUTED_VALUE"""),2014.0)</f>
        <v>2014</v>
      </c>
      <c r="F230" s="9">
        <f>IFERROR(__xludf.DUMMYFUNCTION("""COMPUTED_VALUE"""),750.0)</f>
        <v>750</v>
      </c>
      <c r="G230" s="9">
        <f>IFERROR(__xludf.DUMMYFUNCTION("""COMPUTED_VALUE"""),6.0)</f>
        <v>6</v>
      </c>
      <c r="H230" s="10">
        <f>IFERROR(__xludf.DUMMYFUNCTION("""COMPUTED_VALUE"""),2.0)</f>
        <v>2</v>
      </c>
      <c r="I230" s="11">
        <f>IFERROR(__xludf.DUMMYFUNCTION("""COMPUTED_VALUE"""),364.0)</f>
        <v>364</v>
      </c>
      <c r="J230" s="9" t="str">
        <f>IFERROR(__xludf.DUMMYFUNCTION("""COMPUTED_VALUE"""),"France")</f>
        <v>France</v>
      </c>
      <c r="K230" s="8"/>
      <c r="L230" s="12"/>
      <c r="M230" s="13"/>
      <c r="N230" s="13" t="str">
        <f>IFERROR(__xludf.DUMMYFUNCTION("IF(ISBLANK(M230),"""",M230*GOOGLEFINANCE(""USDGBP""))"),"")</f>
        <v/>
      </c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</row>
    <row r="231">
      <c r="A231" s="8" t="str">
        <f>IFERROR(__xludf.DUMMYFUNCTION("""COMPUTED_VALUE"""),"109803120140600750")</f>
        <v>109803120140600750</v>
      </c>
      <c r="B231" s="9" t="str">
        <f>IFERROR(__xludf.DUMMYFUNCTION("""COMPUTED_VALUE"""),"Italy")</f>
        <v>Italy</v>
      </c>
      <c r="C231" s="9" t="str">
        <f>IFERROR(__xludf.DUMMYFUNCTION("""COMPUTED_VALUE"""),"piedmont")</f>
        <v>piedmont</v>
      </c>
      <c r="D231" s="9" t="str">
        <f>IFERROR(__xludf.DUMMYFUNCTION("""COMPUTED_VALUE"""),"Domenico Clerico, Barolo, Ginestra Pajana")</f>
        <v>Domenico Clerico, Barolo, Ginestra Pajana</v>
      </c>
      <c r="E231" s="9">
        <f>IFERROR(__xludf.DUMMYFUNCTION("""COMPUTED_VALUE"""),2014.0)</f>
        <v>2014</v>
      </c>
      <c r="F231" s="9">
        <f>IFERROR(__xludf.DUMMYFUNCTION("""COMPUTED_VALUE"""),750.0)</f>
        <v>750</v>
      </c>
      <c r="G231" s="9">
        <f>IFERROR(__xludf.DUMMYFUNCTION("""COMPUTED_VALUE"""),6.0)</f>
        <v>6</v>
      </c>
      <c r="H231" s="10">
        <f>IFERROR(__xludf.DUMMYFUNCTION("""COMPUTED_VALUE"""),17.0)</f>
        <v>17</v>
      </c>
      <c r="I231" s="11">
        <f>IFERROR(__xludf.DUMMYFUNCTION("""COMPUTED_VALUE"""),638.0)</f>
        <v>638</v>
      </c>
      <c r="J231" s="9" t="str">
        <f>IFERROR(__xludf.DUMMYFUNCTION("""COMPUTED_VALUE"""),"France")</f>
        <v>France</v>
      </c>
      <c r="K231" s="8"/>
      <c r="L231" s="12"/>
      <c r="M231" s="13"/>
      <c r="N231" s="13" t="str">
        <f>IFERROR(__xludf.DUMMYFUNCTION("IF(ISBLANK(M231),"""",M231*GOOGLEFINANCE(""USDGBP""))"),"")</f>
        <v/>
      </c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</row>
    <row r="232">
      <c r="A232" s="8" t="str">
        <f>IFERROR(__xludf.DUMMYFUNCTION("""COMPUTED_VALUE"""),"117187520180600750")</f>
        <v>117187520180600750</v>
      </c>
      <c r="B232" s="9" t="str">
        <f>IFERROR(__xludf.DUMMYFUNCTION("""COMPUTED_VALUE"""),"Italy")</f>
        <v>Italy</v>
      </c>
      <c r="C232" s="9" t="str">
        <f>IFERROR(__xludf.DUMMYFUNCTION("""COMPUTED_VALUE"""),"piedmont")</f>
        <v>piedmont</v>
      </c>
      <c r="D232" s="9" t="str">
        <f>IFERROR(__xludf.DUMMYFUNCTION("""COMPUTED_VALUE"""),"Gaja, Barolo, Dagromis")</f>
        <v>Gaja, Barolo, Dagromis</v>
      </c>
      <c r="E232" s="9">
        <f>IFERROR(__xludf.DUMMYFUNCTION("""COMPUTED_VALUE"""),2018.0)</f>
        <v>2018</v>
      </c>
      <c r="F232" s="9">
        <f>IFERROR(__xludf.DUMMYFUNCTION("""COMPUTED_VALUE"""),750.0)</f>
        <v>750</v>
      </c>
      <c r="G232" s="9">
        <f>IFERROR(__xludf.DUMMYFUNCTION("""COMPUTED_VALUE"""),6.0)</f>
        <v>6</v>
      </c>
      <c r="H232" s="10">
        <f>IFERROR(__xludf.DUMMYFUNCTION("""COMPUTED_VALUE"""),1.0)</f>
        <v>1</v>
      </c>
      <c r="I232" s="11">
        <f>IFERROR(__xludf.DUMMYFUNCTION("""COMPUTED_VALUE"""),408.0)</f>
        <v>408</v>
      </c>
      <c r="J232" s="9" t="str">
        <f>IFERROR(__xludf.DUMMYFUNCTION("""COMPUTED_VALUE"""),"France")</f>
        <v>France</v>
      </c>
      <c r="K232" s="8"/>
      <c r="L232" s="12"/>
      <c r="M232" s="13"/>
      <c r="N232" s="13" t="str">
        <f>IFERROR(__xludf.DUMMYFUNCTION("IF(ISBLANK(M232),"""",M232*GOOGLEFINANCE(""USDGBP""))"),"")</f>
        <v/>
      </c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</row>
    <row r="233">
      <c r="A233" s="8" t="str">
        <f>IFERROR(__xludf.DUMMYFUNCTION("""COMPUTED_VALUE"""),"112937120200600750")</f>
        <v>112937120200600750</v>
      </c>
      <c r="B233" s="9" t="str">
        <f>IFERROR(__xludf.DUMMYFUNCTION("""COMPUTED_VALUE"""),"Italy")</f>
        <v>Italy</v>
      </c>
      <c r="C233" s="9" t="str">
        <f>IFERROR(__xludf.DUMMYFUNCTION("""COMPUTED_VALUE"""),"piedmont")</f>
        <v>piedmont</v>
      </c>
      <c r="D233" s="9" t="str">
        <f>IFERROR(__xludf.DUMMYFUNCTION("""COMPUTED_VALUE"""),"Giacomo Conterno, Barbera d'Alba, Francia")</f>
        <v>Giacomo Conterno, Barbera d'Alba, Francia</v>
      </c>
      <c r="E233" s="9">
        <f>IFERROR(__xludf.DUMMYFUNCTION("""COMPUTED_VALUE"""),2020.0)</f>
        <v>2020</v>
      </c>
      <c r="F233" s="9">
        <f>IFERROR(__xludf.DUMMYFUNCTION("""COMPUTED_VALUE"""),750.0)</f>
        <v>750</v>
      </c>
      <c r="G233" s="9">
        <f>IFERROR(__xludf.DUMMYFUNCTION("""COMPUTED_VALUE"""),6.0)</f>
        <v>6</v>
      </c>
      <c r="H233" s="10">
        <f>IFERROR(__xludf.DUMMYFUNCTION("""COMPUTED_VALUE"""),1.0)</f>
        <v>1</v>
      </c>
      <c r="I233" s="11">
        <f>IFERROR(__xludf.DUMMYFUNCTION("""COMPUTED_VALUE"""),280.0)</f>
        <v>280</v>
      </c>
      <c r="J233" s="9" t="str">
        <f>IFERROR(__xludf.DUMMYFUNCTION("""COMPUTED_VALUE"""),"France")</f>
        <v>France</v>
      </c>
      <c r="K233" s="8"/>
      <c r="L233" s="12"/>
      <c r="M233" s="13"/>
      <c r="N233" s="13" t="str">
        <f>IFERROR(__xludf.DUMMYFUNCTION("IF(ISBLANK(M233),"""",M233*GOOGLEFINANCE(""USDGBP""))"),"")</f>
        <v/>
      </c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</row>
    <row r="234">
      <c r="A234" s="8" t="str">
        <f>IFERROR(__xludf.DUMMYFUNCTION("""COMPUTED_VALUE"""),"109779920180600750")</f>
        <v>109779920180600750</v>
      </c>
      <c r="B234" s="9" t="str">
        <f>IFERROR(__xludf.DUMMYFUNCTION("""COMPUTED_VALUE"""),"Italy")</f>
        <v>Italy</v>
      </c>
      <c r="C234" s="9" t="str">
        <f>IFERROR(__xludf.DUMMYFUNCTION("""COMPUTED_VALUE"""),"piedmont")</f>
        <v>piedmont</v>
      </c>
      <c r="D234" s="9" t="str">
        <f>IFERROR(__xludf.DUMMYFUNCTION("""COMPUTED_VALUE"""),"Michele Chiarlo, Barolo, Cerequio")</f>
        <v>Michele Chiarlo, Barolo, Cerequio</v>
      </c>
      <c r="E234" s="9">
        <f>IFERROR(__xludf.DUMMYFUNCTION("""COMPUTED_VALUE"""),2018.0)</f>
        <v>2018</v>
      </c>
      <c r="F234" s="9">
        <f>IFERROR(__xludf.DUMMYFUNCTION("""COMPUTED_VALUE"""),750.0)</f>
        <v>750</v>
      </c>
      <c r="G234" s="9">
        <f>IFERROR(__xludf.DUMMYFUNCTION("""COMPUTED_VALUE"""),6.0)</f>
        <v>6</v>
      </c>
      <c r="H234" s="10">
        <f>IFERROR(__xludf.DUMMYFUNCTION("""COMPUTED_VALUE"""),2.0)</f>
        <v>2</v>
      </c>
      <c r="I234" s="11">
        <f>IFERROR(__xludf.DUMMYFUNCTION("""COMPUTED_VALUE"""),295.0)</f>
        <v>295</v>
      </c>
      <c r="J234" s="9" t="str">
        <f>IFERROR(__xludf.DUMMYFUNCTION("""COMPUTED_VALUE"""),"France")</f>
        <v>France</v>
      </c>
      <c r="K234" s="8"/>
      <c r="L234" s="12"/>
      <c r="M234" s="13"/>
      <c r="N234" s="13" t="str">
        <f>IFERROR(__xludf.DUMMYFUNCTION("IF(ISBLANK(M234),"""",M234*GOOGLEFINANCE(""USDGBP""))"),"")</f>
        <v/>
      </c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</row>
    <row r="235">
      <c r="A235" s="8" t="str">
        <f>IFERROR(__xludf.DUMMYFUNCTION("""COMPUTED_VALUE"""),"110838720200600750")</f>
        <v>110838720200600750</v>
      </c>
      <c r="B235" s="9" t="str">
        <f>IFERROR(__xludf.DUMMYFUNCTION("""COMPUTED_VALUE"""),"France")</f>
        <v>France</v>
      </c>
      <c r="C235" s="9" t="str">
        <f>IFERROR(__xludf.DUMMYFUNCTION("""COMPUTED_VALUE"""),"rhone")</f>
        <v>rhone</v>
      </c>
      <c r="D235" s="9" t="str">
        <f>IFERROR(__xludf.DUMMYFUNCTION("""COMPUTED_VALUE"""),"Chateau de Beaucastel Rouge, Chateauneuf-du-Pape")</f>
        <v>Chateau de Beaucastel Rouge, Chateauneuf-du-Pape</v>
      </c>
      <c r="E235" s="9">
        <f>IFERROR(__xludf.DUMMYFUNCTION("""COMPUTED_VALUE"""),2020.0)</f>
        <v>2020</v>
      </c>
      <c r="F235" s="9">
        <f>IFERROR(__xludf.DUMMYFUNCTION("""COMPUTED_VALUE"""),750.0)</f>
        <v>750</v>
      </c>
      <c r="G235" s="9">
        <f>IFERROR(__xludf.DUMMYFUNCTION("""COMPUTED_VALUE"""),6.0)</f>
        <v>6</v>
      </c>
      <c r="H235" s="10">
        <f>IFERROR(__xludf.DUMMYFUNCTION("""COMPUTED_VALUE"""),8.0)</f>
        <v>8</v>
      </c>
      <c r="I235" s="11">
        <f>IFERROR(__xludf.DUMMYFUNCTION("""COMPUTED_VALUE"""),312.0)</f>
        <v>312</v>
      </c>
      <c r="J235" s="9" t="str">
        <f>IFERROR(__xludf.DUMMYFUNCTION("""COMPUTED_VALUE"""),"France")</f>
        <v>France</v>
      </c>
      <c r="K235" s="8"/>
      <c r="L235" s="12"/>
      <c r="M235" s="13"/>
      <c r="N235" s="13" t="str">
        <f>IFERROR(__xludf.DUMMYFUNCTION("IF(ISBLANK(M235),"""",M235*GOOGLEFINANCE(""USDGBP""))"),"")</f>
        <v/>
      </c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</row>
    <row r="236">
      <c r="A236" s="8" t="str">
        <f>IFERROR(__xludf.DUMMYFUNCTION("""COMPUTED_VALUE"""),"111149720180600750")</f>
        <v>111149720180600750</v>
      </c>
      <c r="B236" s="9" t="str">
        <f>IFERROR(__xludf.DUMMYFUNCTION("""COMPUTED_VALUE"""),"France")</f>
        <v>France</v>
      </c>
      <c r="C236" s="9" t="str">
        <f>IFERROR(__xludf.DUMMYFUNCTION("""COMPUTED_VALUE"""),"rhone")</f>
        <v>rhone</v>
      </c>
      <c r="D236" s="9" t="str">
        <f>IFERROR(__xludf.DUMMYFUNCTION("""COMPUTED_VALUE"""),"Delas, Hermitage, Les Bessards")</f>
        <v>Delas, Hermitage, Les Bessards</v>
      </c>
      <c r="E236" s="9">
        <f>IFERROR(__xludf.DUMMYFUNCTION("""COMPUTED_VALUE"""),2018.0)</f>
        <v>2018</v>
      </c>
      <c r="F236" s="9">
        <f>IFERROR(__xludf.DUMMYFUNCTION("""COMPUTED_VALUE"""),750.0)</f>
        <v>750</v>
      </c>
      <c r="G236" s="9">
        <f>IFERROR(__xludf.DUMMYFUNCTION("""COMPUTED_VALUE"""),6.0)</f>
        <v>6</v>
      </c>
      <c r="H236" s="10">
        <f>IFERROR(__xludf.DUMMYFUNCTION("""COMPUTED_VALUE"""),3.0)</f>
        <v>3</v>
      </c>
      <c r="I236" s="11">
        <f>IFERROR(__xludf.DUMMYFUNCTION("""COMPUTED_VALUE"""),641.0)</f>
        <v>641</v>
      </c>
      <c r="J236" s="9" t="str">
        <f>IFERROR(__xludf.DUMMYFUNCTION("""COMPUTED_VALUE"""),"France")</f>
        <v>France</v>
      </c>
      <c r="K236" s="8"/>
      <c r="L236" s="12"/>
      <c r="M236" s="13"/>
      <c r="N236" s="13" t="str">
        <f>IFERROR(__xludf.DUMMYFUNCTION("IF(ISBLANK(M236),"""",M236*GOOGLEFINANCE(""USDGBP""))"),"")</f>
        <v/>
      </c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</row>
    <row r="237">
      <c r="A237" s="8" t="str">
        <f>IFERROR(__xludf.DUMMYFUNCTION("""COMPUTED_VALUE"""),"111356320200600750")</f>
        <v>111356320200600750</v>
      </c>
      <c r="B237" s="9" t="str">
        <f>IFERROR(__xludf.DUMMYFUNCTION("""COMPUTED_VALUE"""),"France")</f>
        <v>France</v>
      </c>
      <c r="C237" s="9" t="str">
        <f>IFERROR(__xludf.DUMMYFUNCTION("""COMPUTED_VALUE"""),"rhone")</f>
        <v>rhone</v>
      </c>
      <c r="D237" s="9" t="str">
        <f>IFERROR(__xludf.DUMMYFUNCTION("""COMPUTED_VALUE"""),"Domaine de la Chapelle, Hermitage, La Chapelle Rouge")</f>
        <v>Domaine de la Chapelle, Hermitage, La Chapelle Rouge</v>
      </c>
      <c r="E237" s="9">
        <f>IFERROR(__xludf.DUMMYFUNCTION("""COMPUTED_VALUE"""),2020.0)</f>
        <v>2020</v>
      </c>
      <c r="F237" s="9">
        <f>IFERROR(__xludf.DUMMYFUNCTION("""COMPUTED_VALUE"""),750.0)</f>
        <v>750</v>
      </c>
      <c r="G237" s="9">
        <f>IFERROR(__xludf.DUMMYFUNCTION("""COMPUTED_VALUE"""),6.0)</f>
        <v>6</v>
      </c>
      <c r="H237" s="10">
        <f>IFERROR(__xludf.DUMMYFUNCTION("""COMPUTED_VALUE"""),6.0)</f>
        <v>6</v>
      </c>
      <c r="I237" s="11">
        <f>IFERROR(__xludf.DUMMYFUNCTION("""COMPUTED_VALUE"""),817.0)</f>
        <v>817</v>
      </c>
      <c r="J237" s="9" t="str">
        <f>IFERROR(__xludf.DUMMYFUNCTION("""COMPUTED_VALUE"""),"France")</f>
        <v>France</v>
      </c>
      <c r="K237" s="8"/>
      <c r="L237" s="12"/>
      <c r="M237" s="13"/>
      <c r="N237" s="13" t="str">
        <f>IFERROR(__xludf.DUMMYFUNCTION("IF(ISBLANK(M237),"""",M237*GOOGLEFINANCE(""USDGBP""))"),"")</f>
        <v/>
      </c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</row>
    <row r="238">
      <c r="A238" s="8" t="str">
        <f>IFERROR(__xludf.DUMMYFUNCTION("""COMPUTED_VALUE"""),"111803420180600750")</f>
        <v>111803420180600750</v>
      </c>
      <c r="B238" s="9" t="str">
        <f>IFERROR(__xludf.DUMMYFUNCTION("""COMPUTED_VALUE"""),"France")</f>
        <v>France</v>
      </c>
      <c r="C238" s="9" t="str">
        <f>IFERROR(__xludf.DUMMYFUNCTION("""COMPUTED_VALUE"""),"rhone")</f>
        <v>rhone</v>
      </c>
      <c r="D238" s="9" t="str">
        <f>IFERROR(__xludf.DUMMYFUNCTION("""COMPUTED_VALUE"""),"Domaine de la Vieille Julienne, Chateauneuf-du-Pape, Reserve")</f>
        <v>Domaine de la Vieille Julienne, Chateauneuf-du-Pape, Reserve</v>
      </c>
      <c r="E238" s="9">
        <f>IFERROR(__xludf.DUMMYFUNCTION("""COMPUTED_VALUE"""),2018.0)</f>
        <v>2018</v>
      </c>
      <c r="F238" s="9">
        <f>IFERROR(__xludf.DUMMYFUNCTION("""COMPUTED_VALUE"""),750.0)</f>
        <v>750</v>
      </c>
      <c r="G238" s="9">
        <f>IFERROR(__xludf.DUMMYFUNCTION("""COMPUTED_VALUE"""),6.0)</f>
        <v>6</v>
      </c>
      <c r="H238" s="10">
        <f>IFERROR(__xludf.DUMMYFUNCTION("""COMPUTED_VALUE"""),2.0)</f>
        <v>2</v>
      </c>
      <c r="I238" s="11">
        <f>IFERROR(__xludf.DUMMYFUNCTION("""COMPUTED_VALUE"""),1206.0)</f>
        <v>1206</v>
      </c>
      <c r="J238" s="9" t="str">
        <f>IFERROR(__xludf.DUMMYFUNCTION("""COMPUTED_VALUE"""),"France")</f>
        <v>France</v>
      </c>
      <c r="K238" s="8"/>
      <c r="L238" s="12"/>
      <c r="M238" s="13"/>
      <c r="N238" s="13" t="str">
        <f>IFERROR(__xludf.DUMMYFUNCTION("IF(ISBLANK(M238),"""",M238*GOOGLEFINANCE(""USDGBP""))"),"")</f>
        <v/>
      </c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</row>
    <row r="239">
      <c r="A239" s="8" t="str">
        <f>IFERROR(__xludf.DUMMYFUNCTION("""COMPUTED_VALUE"""),"111803420190600750")</f>
        <v>111803420190600750</v>
      </c>
      <c r="B239" s="9" t="str">
        <f>IFERROR(__xludf.DUMMYFUNCTION("""COMPUTED_VALUE"""),"France")</f>
        <v>France</v>
      </c>
      <c r="C239" s="9" t="str">
        <f>IFERROR(__xludf.DUMMYFUNCTION("""COMPUTED_VALUE"""),"rhone")</f>
        <v>rhone</v>
      </c>
      <c r="D239" s="9" t="str">
        <f>IFERROR(__xludf.DUMMYFUNCTION("""COMPUTED_VALUE"""),"Domaine de la Vieille Julienne, Chateauneuf-du-Pape, Reserve")</f>
        <v>Domaine de la Vieille Julienne, Chateauneuf-du-Pape, Reserve</v>
      </c>
      <c r="E239" s="9">
        <f>IFERROR(__xludf.DUMMYFUNCTION("""COMPUTED_VALUE"""),2019.0)</f>
        <v>2019</v>
      </c>
      <c r="F239" s="9">
        <f>IFERROR(__xludf.DUMMYFUNCTION("""COMPUTED_VALUE"""),750.0)</f>
        <v>750</v>
      </c>
      <c r="G239" s="9">
        <f>IFERROR(__xludf.DUMMYFUNCTION("""COMPUTED_VALUE"""),6.0)</f>
        <v>6</v>
      </c>
      <c r="H239" s="10">
        <f>IFERROR(__xludf.DUMMYFUNCTION("""COMPUTED_VALUE"""),1.0)</f>
        <v>1</v>
      </c>
      <c r="I239" s="11">
        <f>IFERROR(__xludf.DUMMYFUNCTION("""COMPUTED_VALUE"""),1327.0)</f>
        <v>1327</v>
      </c>
      <c r="J239" s="9" t="str">
        <f>IFERROR(__xludf.DUMMYFUNCTION("""COMPUTED_VALUE"""),"France")</f>
        <v>France</v>
      </c>
      <c r="K239" s="8"/>
      <c r="L239" s="12"/>
      <c r="M239" s="13"/>
      <c r="N239" s="13" t="str">
        <f>IFERROR(__xludf.DUMMYFUNCTION("IF(ISBLANK(M239),"""",M239*GOOGLEFINANCE(""USDGBP""))"),"")</f>
        <v/>
      </c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</row>
    <row r="240">
      <c r="A240" s="8" t="str">
        <f>IFERROR(__xludf.DUMMYFUNCTION("""COMPUTED_VALUE"""),"111506220200600750")</f>
        <v>111506220200600750</v>
      </c>
      <c r="B240" s="9" t="str">
        <f>IFERROR(__xludf.DUMMYFUNCTION("""COMPUTED_VALUE"""),"France")</f>
        <v>France</v>
      </c>
      <c r="C240" s="9" t="str">
        <f>IFERROR(__xludf.DUMMYFUNCTION("""COMPUTED_VALUE"""),"rhone")</f>
        <v>rhone</v>
      </c>
      <c r="D240" s="9" t="str">
        <f>IFERROR(__xludf.DUMMYFUNCTION("""COMPUTED_VALUE"""),"Domaine du Pegau, Chateauneuf-du-Pape, Cuvee Da Capo")</f>
        <v>Domaine du Pegau, Chateauneuf-du-Pape, Cuvee Da Capo</v>
      </c>
      <c r="E240" s="9">
        <f>IFERROR(__xludf.DUMMYFUNCTION("""COMPUTED_VALUE"""),2020.0)</f>
        <v>2020</v>
      </c>
      <c r="F240" s="9">
        <f>IFERROR(__xludf.DUMMYFUNCTION("""COMPUTED_VALUE"""),750.0)</f>
        <v>750</v>
      </c>
      <c r="G240" s="9">
        <f>IFERROR(__xludf.DUMMYFUNCTION("""COMPUTED_VALUE"""),6.0)</f>
        <v>6</v>
      </c>
      <c r="H240" s="10">
        <f>IFERROR(__xludf.DUMMYFUNCTION("""COMPUTED_VALUE"""),1.0)</f>
        <v>1</v>
      </c>
      <c r="I240" s="11">
        <f>IFERROR(__xludf.DUMMYFUNCTION("""COMPUTED_VALUE"""),1417.0)</f>
        <v>1417</v>
      </c>
      <c r="J240" s="9" t="str">
        <f>IFERROR(__xludf.DUMMYFUNCTION("""COMPUTED_VALUE"""),"France")</f>
        <v>France</v>
      </c>
      <c r="K240" s="8"/>
      <c r="L240" s="12"/>
      <c r="M240" s="13"/>
      <c r="N240" s="13" t="str">
        <f>IFERROR(__xludf.DUMMYFUNCTION("IF(ISBLANK(M240),"""",M240*GOOGLEFINANCE(""USDGBP""))"),"")</f>
        <v/>
      </c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</row>
    <row r="241">
      <c r="A241" s="8" t="str">
        <f>IFERROR(__xludf.DUMMYFUNCTION("""COMPUTED_VALUE"""),"111511820200301500")</f>
        <v>111511820200301500</v>
      </c>
      <c r="B241" s="9" t="str">
        <f>IFERROR(__xludf.DUMMYFUNCTION("""COMPUTED_VALUE"""),"France")</f>
        <v>France</v>
      </c>
      <c r="C241" s="9" t="str">
        <f>IFERROR(__xludf.DUMMYFUNCTION("""COMPUTED_VALUE"""),"rhone")</f>
        <v>rhone</v>
      </c>
      <c r="D241" s="9" t="str">
        <f>IFERROR(__xludf.DUMMYFUNCTION("""COMPUTED_VALUE"""),"Domaine du Pegau, Chateauneuf-du-Pape, Cuvee Reservee Rouge")</f>
        <v>Domaine du Pegau, Chateauneuf-du-Pape, Cuvee Reservee Rouge</v>
      </c>
      <c r="E241" s="9">
        <f>IFERROR(__xludf.DUMMYFUNCTION("""COMPUTED_VALUE"""),2020.0)</f>
        <v>2020</v>
      </c>
      <c r="F241" s="9">
        <f>IFERROR(__xludf.DUMMYFUNCTION("""COMPUTED_VALUE"""),1500.0)</f>
        <v>1500</v>
      </c>
      <c r="G241" s="9">
        <f>IFERROR(__xludf.DUMMYFUNCTION("""COMPUTED_VALUE"""),3.0)</f>
        <v>3</v>
      </c>
      <c r="H241" s="10">
        <f>IFERROR(__xludf.DUMMYFUNCTION("""COMPUTED_VALUE"""),1.0)</f>
        <v>1</v>
      </c>
      <c r="I241" s="11">
        <f>IFERROR(__xludf.DUMMYFUNCTION("""COMPUTED_VALUE"""),284.0)</f>
        <v>284</v>
      </c>
      <c r="J241" s="9" t="str">
        <f>IFERROR(__xludf.DUMMYFUNCTION("""COMPUTED_VALUE"""),"France")</f>
        <v>France</v>
      </c>
      <c r="K241" s="8"/>
      <c r="L241" s="12"/>
      <c r="M241" s="13"/>
      <c r="N241" s="13" t="str">
        <f>IFERROR(__xludf.DUMMYFUNCTION("IF(ISBLANK(M241),"""",M241*GOOGLEFINANCE(""USDGBP""))"),"")</f>
        <v/>
      </c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</row>
    <row r="242">
      <c r="A242" s="8" t="str">
        <f>IFERROR(__xludf.DUMMYFUNCTION("""COMPUTED_VALUE"""),"111317220180600750")</f>
        <v>111317220180600750</v>
      </c>
      <c r="B242" s="9" t="str">
        <f>IFERROR(__xludf.DUMMYFUNCTION("""COMPUTED_VALUE"""),"France")</f>
        <v>France</v>
      </c>
      <c r="C242" s="9" t="str">
        <f>IFERROR(__xludf.DUMMYFUNCTION("""COMPUTED_VALUE"""),"rhone")</f>
        <v>rhone</v>
      </c>
      <c r="D242" s="9" t="str">
        <f>IFERROR(__xludf.DUMMYFUNCTION("""COMPUTED_VALUE"""),"E. Guigal, Cote Rotie, Chateau d'Ampuis")</f>
        <v>E. Guigal, Cote Rotie, Chateau d'Ampuis</v>
      </c>
      <c r="E242" s="9">
        <f>IFERROR(__xludf.DUMMYFUNCTION("""COMPUTED_VALUE"""),2018.0)</f>
        <v>2018</v>
      </c>
      <c r="F242" s="9">
        <f>IFERROR(__xludf.DUMMYFUNCTION("""COMPUTED_VALUE"""),750.0)</f>
        <v>750</v>
      </c>
      <c r="G242" s="9">
        <f>IFERROR(__xludf.DUMMYFUNCTION("""COMPUTED_VALUE"""),6.0)</f>
        <v>6</v>
      </c>
      <c r="H242" s="10">
        <f>IFERROR(__xludf.DUMMYFUNCTION("""COMPUTED_VALUE"""),4.0)</f>
        <v>4</v>
      </c>
      <c r="I242" s="11">
        <f>IFERROR(__xludf.DUMMYFUNCTION("""COMPUTED_VALUE"""),409.0)</f>
        <v>409</v>
      </c>
      <c r="J242" s="9" t="str">
        <f>IFERROR(__xludf.DUMMYFUNCTION("""COMPUTED_VALUE"""),"France")</f>
        <v>France</v>
      </c>
      <c r="K242" s="8"/>
      <c r="L242" s="12"/>
      <c r="M242" s="13"/>
      <c r="N242" s="13" t="str">
        <f>IFERROR(__xludf.DUMMYFUNCTION("IF(ISBLANK(M242),"""",M242*GOOGLEFINANCE(""USDGBP""))"),"")</f>
        <v/>
      </c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</row>
    <row r="243">
      <c r="A243" s="8" t="str">
        <f>IFERROR(__xludf.DUMMYFUNCTION("""COMPUTED_VALUE"""),"110959920170600750")</f>
        <v>110959920170600750</v>
      </c>
      <c r="B243" s="9" t="str">
        <f>IFERROR(__xludf.DUMMYFUNCTION("""COMPUTED_VALUE"""),"France")</f>
        <v>France</v>
      </c>
      <c r="C243" s="9" t="str">
        <f>IFERROR(__xludf.DUMMYFUNCTION("""COMPUTED_VALUE"""),"rhone")</f>
        <v>rhone</v>
      </c>
      <c r="D243" s="9" t="str">
        <f>IFERROR(__xludf.DUMMYFUNCTION("""COMPUTED_VALUE"""),"M. Chapoutier, Cote Rotie, La Mordoree")</f>
        <v>M. Chapoutier, Cote Rotie, La Mordoree</v>
      </c>
      <c r="E243" s="9">
        <f>IFERROR(__xludf.DUMMYFUNCTION("""COMPUTED_VALUE"""),2017.0)</f>
        <v>2017</v>
      </c>
      <c r="F243" s="9">
        <f>IFERROR(__xludf.DUMMYFUNCTION("""COMPUTED_VALUE"""),750.0)</f>
        <v>750</v>
      </c>
      <c r="G243" s="9">
        <f>IFERROR(__xludf.DUMMYFUNCTION("""COMPUTED_VALUE"""),6.0)</f>
        <v>6</v>
      </c>
      <c r="H243" s="10">
        <f>IFERROR(__xludf.DUMMYFUNCTION("""COMPUTED_VALUE"""),4.0)</f>
        <v>4</v>
      </c>
      <c r="I243" s="11">
        <f>IFERROR(__xludf.DUMMYFUNCTION("""COMPUTED_VALUE"""),549.0)</f>
        <v>549</v>
      </c>
      <c r="J243" s="9" t="str">
        <f>IFERROR(__xludf.DUMMYFUNCTION("""COMPUTED_VALUE"""),"France")</f>
        <v>France</v>
      </c>
      <c r="K243" s="8"/>
      <c r="L243" s="12"/>
      <c r="M243" s="13"/>
      <c r="N243" s="13" t="str">
        <f>IFERROR(__xludf.DUMMYFUNCTION("IF(ISBLANK(M243),"""",M243*GOOGLEFINANCE(""USDGBP""))"),"")</f>
        <v/>
      </c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</row>
    <row r="244">
      <c r="A244" s="8" t="str">
        <f>IFERROR(__xludf.DUMMYFUNCTION("""COMPUTED_VALUE"""),"153576120190600750")</f>
        <v>153576120190600750</v>
      </c>
      <c r="B244" s="9" t="str">
        <f>IFERROR(__xludf.DUMMYFUNCTION("""COMPUTED_VALUE"""),"France")</f>
        <v>France</v>
      </c>
      <c r="C244" s="9" t="str">
        <f>IFERROR(__xludf.DUMMYFUNCTION("""COMPUTED_VALUE"""),"rhone")</f>
        <v>rhone</v>
      </c>
      <c r="D244" s="9" t="str">
        <f>IFERROR(__xludf.DUMMYFUNCTION("""COMPUTED_VALUE"""),"M. Chapoutier, Cote Rotie, Neve")</f>
        <v>M. Chapoutier, Cote Rotie, Neve</v>
      </c>
      <c r="E244" s="9">
        <f>IFERROR(__xludf.DUMMYFUNCTION("""COMPUTED_VALUE"""),2019.0)</f>
        <v>2019</v>
      </c>
      <c r="F244" s="9">
        <f>IFERROR(__xludf.DUMMYFUNCTION("""COMPUTED_VALUE"""),750.0)</f>
        <v>750</v>
      </c>
      <c r="G244" s="9">
        <f>IFERROR(__xludf.DUMMYFUNCTION("""COMPUTED_VALUE"""),6.0)</f>
        <v>6</v>
      </c>
      <c r="H244" s="10">
        <f>IFERROR(__xludf.DUMMYFUNCTION("""COMPUTED_VALUE"""),1.0)</f>
        <v>1</v>
      </c>
      <c r="I244" s="11">
        <f>IFERROR(__xludf.DUMMYFUNCTION("""COMPUTED_VALUE"""),604.0)</f>
        <v>604</v>
      </c>
      <c r="J244" s="9" t="str">
        <f>IFERROR(__xludf.DUMMYFUNCTION("""COMPUTED_VALUE"""),"France")</f>
        <v>France</v>
      </c>
      <c r="K244" s="8"/>
      <c r="L244" s="12"/>
      <c r="M244" s="13"/>
      <c r="N244" s="13" t="str">
        <f>IFERROR(__xludf.DUMMYFUNCTION("IF(ISBLANK(M244),"""",M244*GOOGLEFINANCE(""USDGBP""))"),"")</f>
        <v/>
      </c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</row>
    <row r="245">
      <c r="A245" s="8" t="str">
        <f>IFERROR(__xludf.DUMMYFUNCTION("""COMPUTED_VALUE"""),"110965820130600750")</f>
        <v>110965820130600750</v>
      </c>
      <c r="B245" s="9" t="str">
        <f>IFERROR(__xludf.DUMMYFUNCTION("""COMPUTED_VALUE"""),"France")</f>
        <v>France</v>
      </c>
      <c r="C245" s="9" t="str">
        <f>IFERROR(__xludf.DUMMYFUNCTION("""COMPUTED_VALUE"""),"rhone")</f>
        <v>rhone</v>
      </c>
      <c r="D245" s="9" t="str">
        <f>IFERROR(__xludf.DUMMYFUNCTION("""COMPUTED_VALUE"""),"M. Chapoutier, Ermitage, De l'Oree")</f>
        <v>M. Chapoutier, Ermitage, De l'Oree</v>
      </c>
      <c r="E245" s="9">
        <f>IFERROR(__xludf.DUMMYFUNCTION("""COMPUTED_VALUE"""),2013.0)</f>
        <v>2013</v>
      </c>
      <c r="F245" s="9">
        <f>IFERROR(__xludf.DUMMYFUNCTION("""COMPUTED_VALUE"""),750.0)</f>
        <v>750</v>
      </c>
      <c r="G245" s="9">
        <f>IFERROR(__xludf.DUMMYFUNCTION("""COMPUTED_VALUE"""),6.0)</f>
        <v>6</v>
      </c>
      <c r="H245" s="10">
        <f>IFERROR(__xludf.DUMMYFUNCTION("""COMPUTED_VALUE"""),1.0)</f>
        <v>1</v>
      </c>
      <c r="I245" s="11">
        <f>IFERROR(__xludf.DUMMYFUNCTION("""COMPUTED_VALUE"""),1011.0)</f>
        <v>1011</v>
      </c>
      <c r="J245" s="9" t="str">
        <f>IFERROR(__xludf.DUMMYFUNCTION("""COMPUTED_VALUE"""),"France")</f>
        <v>France</v>
      </c>
      <c r="K245" s="8"/>
      <c r="L245" s="12"/>
      <c r="M245" s="13"/>
      <c r="N245" s="13" t="str">
        <f>IFERROR(__xludf.DUMMYFUNCTION("IF(ISBLANK(M245),"""",M245*GOOGLEFINANCE(""USDGBP""))"),"")</f>
        <v/>
      </c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</row>
    <row r="246">
      <c r="A246" s="8" t="str">
        <f>IFERROR(__xludf.DUMMYFUNCTION("""COMPUTED_VALUE"""),"110969020090600750")</f>
        <v>110969020090600750</v>
      </c>
      <c r="B246" s="9" t="str">
        <f>IFERROR(__xludf.DUMMYFUNCTION("""COMPUTED_VALUE"""),"France")</f>
        <v>France</v>
      </c>
      <c r="C246" s="9" t="str">
        <f>IFERROR(__xludf.DUMMYFUNCTION("""COMPUTED_VALUE"""),"rhone")</f>
        <v>rhone</v>
      </c>
      <c r="D246" s="9" t="str">
        <f>IFERROR(__xludf.DUMMYFUNCTION("""COMPUTED_VALUE"""),"M. Chapoutier, Hermitage, Le Meal Blanc")</f>
        <v>M. Chapoutier, Hermitage, Le Meal Blanc</v>
      </c>
      <c r="E246" s="9">
        <f>IFERROR(__xludf.DUMMYFUNCTION("""COMPUTED_VALUE"""),2009.0)</f>
        <v>2009</v>
      </c>
      <c r="F246" s="9">
        <f>IFERROR(__xludf.DUMMYFUNCTION("""COMPUTED_VALUE"""),750.0)</f>
        <v>750</v>
      </c>
      <c r="G246" s="9">
        <f>IFERROR(__xludf.DUMMYFUNCTION("""COMPUTED_VALUE"""),6.0)</f>
        <v>6</v>
      </c>
      <c r="H246" s="10">
        <f>IFERROR(__xludf.DUMMYFUNCTION("""COMPUTED_VALUE"""),1.0)</f>
        <v>1</v>
      </c>
      <c r="I246" s="11">
        <f>IFERROR(__xludf.DUMMYFUNCTION("""COMPUTED_VALUE"""),899.0)</f>
        <v>899</v>
      </c>
      <c r="J246" s="9" t="str">
        <f>IFERROR(__xludf.DUMMYFUNCTION("""COMPUTED_VALUE"""),"France")</f>
        <v>France</v>
      </c>
      <c r="K246" s="8"/>
      <c r="L246" s="12"/>
      <c r="M246" s="13"/>
      <c r="N246" s="13" t="str">
        <f>IFERROR(__xludf.DUMMYFUNCTION("IF(ISBLANK(M246),"""",M246*GOOGLEFINANCE(""USDGBP""))"),"")</f>
        <v/>
      </c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</row>
    <row r="247">
      <c r="A247" s="8" t="str">
        <f>IFERROR(__xludf.DUMMYFUNCTION("""COMPUTED_VALUE"""),"109527420150600750")</f>
        <v>109527420150600750</v>
      </c>
      <c r="B247" s="9" t="str">
        <f>IFERROR(__xludf.DUMMYFUNCTION("""COMPUTED_VALUE"""),"Italy")</f>
        <v>Italy</v>
      </c>
      <c r="C247" s="9" t="str">
        <f>IFERROR(__xludf.DUMMYFUNCTION("""COMPUTED_VALUE"""),"tuscany")</f>
        <v>tuscany</v>
      </c>
      <c r="D247" s="9" t="str">
        <f>IFERROR(__xludf.DUMMYFUNCTION("""COMPUTED_VALUE"""),"Altesino, Brunello di Montalcino, Riserva")</f>
        <v>Altesino, Brunello di Montalcino, Riserva</v>
      </c>
      <c r="E247" s="9">
        <f>IFERROR(__xludf.DUMMYFUNCTION("""COMPUTED_VALUE"""),2015.0)</f>
        <v>2015</v>
      </c>
      <c r="F247" s="9">
        <f>IFERROR(__xludf.DUMMYFUNCTION("""COMPUTED_VALUE"""),750.0)</f>
        <v>750</v>
      </c>
      <c r="G247" s="9">
        <f>IFERROR(__xludf.DUMMYFUNCTION("""COMPUTED_VALUE"""),6.0)</f>
        <v>6</v>
      </c>
      <c r="H247" s="10">
        <f>IFERROR(__xludf.DUMMYFUNCTION("""COMPUTED_VALUE"""),2.0)</f>
        <v>2</v>
      </c>
      <c r="I247" s="11">
        <f>IFERROR(__xludf.DUMMYFUNCTION("""COMPUTED_VALUE"""),427.0)</f>
        <v>427</v>
      </c>
      <c r="J247" s="9" t="str">
        <f>IFERROR(__xludf.DUMMYFUNCTION("""COMPUTED_VALUE"""),"France")</f>
        <v>France</v>
      </c>
      <c r="K247" s="8"/>
      <c r="L247" s="12"/>
      <c r="M247" s="13"/>
      <c r="N247" s="13" t="str">
        <f>IFERROR(__xludf.DUMMYFUNCTION("IF(ISBLANK(M247),"""",M247*GOOGLEFINANCE(""USDGBP""))"),"")</f>
        <v/>
      </c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</row>
    <row r="248">
      <c r="A248" s="8" t="str">
        <f>IFERROR(__xludf.DUMMYFUNCTION("""COMPUTED_VALUE"""),"109733720180600750")</f>
        <v>109733720180600750</v>
      </c>
      <c r="B248" s="9" t="str">
        <f>IFERROR(__xludf.DUMMYFUNCTION("""COMPUTED_VALUE"""),"Italy")</f>
        <v>Italy</v>
      </c>
      <c r="C248" s="9" t="str">
        <f>IFERROR(__xludf.DUMMYFUNCTION("""COMPUTED_VALUE"""),"tuscany")</f>
        <v>tuscany</v>
      </c>
      <c r="D248" s="9" t="str">
        <f>IFERROR(__xludf.DUMMYFUNCTION("""COMPUTED_VALUE"""),"Castellare di Castellina, Sodi San Niccolo, IGT")</f>
        <v>Castellare di Castellina, Sodi San Niccolo, IGT</v>
      </c>
      <c r="E248" s="9">
        <f>IFERROR(__xludf.DUMMYFUNCTION("""COMPUTED_VALUE"""),2018.0)</f>
        <v>2018</v>
      </c>
      <c r="F248" s="9">
        <f>IFERROR(__xludf.DUMMYFUNCTION("""COMPUTED_VALUE"""),750.0)</f>
        <v>750</v>
      </c>
      <c r="G248" s="9">
        <f>IFERROR(__xludf.DUMMYFUNCTION("""COMPUTED_VALUE"""),6.0)</f>
        <v>6</v>
      </c>
      <c r="H248" s="10">
        <f>IFERROR(__xludf.DUMMYFUNCTION("""COMPUTED_VALUE"""),3.0)</f>
        <v>3</v>
      </c>
      <c r="I248" s="11">
        <f>IFERROR(__xludf.DUMMYFUNCTION("""COMPUTED_VALUE"""),229.0)</f>
        <v>229</v>
      </c>
      <c r="J248" s="9" t="str">
        <f>IFERROR(__xludf.DUMMYFUNCTION("""COMPUTED_VALUE"""),"France")</f>
        <v>France</v>
      </c>
      <c r="K248" s="8"/>
      <c r="L248" s="12"/>
      <c r="M248" s="13"/>
      <c r="N248" s="13" t="str">
        <f>IFERROR(__xludf.DUMMYFUNCTION("IF(ISBLANK(M248),"""",M248*GOOGLEFINANCE(""USDGBP""))"),"")</f>
        <v/>
      </c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</row>
    <row r="249">
      <c r="A249" s="8" t="str">
        <f>IFERROR(__xludf.DUMMYFUNCTION("""COMPUTED_VALUE"""),"109733720190600750")</f>
        <v>109733720190600750</v>
      </c>
      <c r="B249" s="9" t="str">
        <f>IFERROR(__xludf.DUMMYFUNCTION("""COMPUTED_VALUE"""),"Italy")</f>
        <v>Italy</v>
      </c>
      <c r="C249" s="9" t="str">
        <f>IFERROR(__xludf.DUMMYFUNCTION("""COMPUTED_VALUE"""),"tuscany")</f>
        <v>tuscany</v>
      </c>
      <c r="D249" s="9" t="str">
        <f>IFERROR(__xludf.DUMMYFUNCTION("""COMPUTED_VALUE"""),"Castellare di Castellina, Sodi San Niccolo, IGT")</f>
        <v>Castellare di Castellina, Sodi San Niccolo, IGT</v>
      </c>
      <c r="E249" s="9">
        <f>IFERROR(__xludf.DUMMYFUNCTION("""COMPUTED_VALUE"""),2019.0)</f>
        <v>2019</v>
      </c>
      <c r="F249" s="9">
        <f>IFERROR(__xludf.DUMMYFUNCTION("""COMPUTED_VALUE"""),750.0)</f>
        <v>750</v>
      </c>
      <c r="G249" s="9">
        <f>IFERROR(__xludf.DUMMYFUNCTION("""COMPUTED_VALUE"""),6.0)</f>
        <v>6</v>
      </c>
      <c r="H249" s="10">
        <f>IFERROR(__xludf.DUMMYFUNCTION("""COMPUTED_VALUE"""),5.0)</f>
        <v>5</v>
      </c>
      <c r="I249" s="11">
        <f>IFERROR(__xludf.DUMMYFUNCTION("""COMPUTED_VALUE"""),246.0)</f>
        <v>246</v>
      </c>
      <c r="J249" s="9" t="str">
        <f>IFERROR(__xludf.DUMMYFUNCTION("""COMPUTED_VALUE"""),"France")</f>
        <v>France</v>
      </c>
      <c r="K249" s="8"/>
      <c r="L249" s="12"/>
      <c r="M249" s="13"/>
      <c r="N249" s="13" t="str">
        <f>IFERROR(__xludf.DUMMYFUNCTION("IF(ISBLANK(M249),"""",M249*GOOGLEFINANCE(""USDGBP""))"),"")</f>
        <v/>
      </c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</row>
    <row r="250">
      <c r="A250" s="8" t="str">
        <f>IFERROR(__xludf.DUMMYFUNCTION("""COMPUTED_VALUE"""),"109736620200600750")</f>
        <v>109736620200600750</v>
      </c>
      <c r="B250" s="9" t="str">
        <f>IFERROR(__xludf.DUMMYFUNCTION("""COMPUTED_VALUE"""),"Italy")</f>
        <v>Italy</v>
      </c>
      <c r="C250" s="9" t="str">
        <f>IFERROR(__xludf.DUMMYFUNCTION("""COMPUTED_VALUE"""),"tuscany")</f>
        <v>tuscany</v>
      </c>
      <c r="D250" s="9" t="str">
        <f>IFERROR(__xludf.DUMMYFUNCTION("""COMPUTED_VALUE"""),"Castello di Ama, Apparita, Toscana")</f>
        <v>Castello di Ama, Apparita, Toscana</v>
      </c>
      <c r="E250" s="9">
        <f>IFERROR(__xludf.DUMMYFUNCTION("""COMPUTED_VALUE"""),2020.0)</f>
        <v>2020</v>
      </c>
      <c r="F250" s="9">
        <f>IFERROR(__xludf.DUMMYFUNCTION("""COMPUTED_VALUE"""),750.0)</f>
        <v>750</v>
      </c>
      <c r="G250" s="9">
        <f>IFERROR(__xludf.DUMMYFUNCTION("""COMPUTED_VALUE"""),6.0)</f>
        <v>6</v>
      </c>
      <c r="H250" s="10">
        <f>IFERROR(__xludf.DUMMYFUNCTION("""COMPUTED_VALUE"""),1.0)</f>
        <v>1</v>
      </c>
      <c r="I250" s="11">
        <f>IFERROR(__xludf.DUMMYFUNCTION("""COMPUTED_VALUE"""),1054.0)</f>
        <v>1054</v>
      </c>
      <c r="J250" s="9" t="str">
        <f>IFERROR(__xludf.DUMMYFUNCTION("""COMPUTED_VALUE"""),"France")</f>
        <v>France</v>
      </c>
      <c r="K250" s="8"/>
      <c r="L250" s="12"/>
      <c r="M250" s="13"/>
      <c r="N250" s="13" t="str">
        <f>IFERROR(__xludf.DUMMYFUNCTION("IF(ISBLANK(M250),"""",M250*GOOGLEFINANCE(""USDGBP""))"),"")</f>
        <v/>
      </c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</row>
    <row r="251">
      <c r="A251" s="8" t="str">
        <f>IFERROR(__xludf.DUMMYFUNCTION("""COMPUTED_VALUE"""),"177363320180600750")</f>
        <v>177363320180600750</v>
      </c>
      <c r="B251" s="9" t="str">
        <f>IFERROR(__xludf.DUMMYFUNCTION("""COMPUTED_VALUE"""),"Italy")</f>
        <v>Italy</v>
      </c>
      <c r="C251" s="9" t="str">
        <f>IFERROR(__xludf.DUMMYFUNCTION("""COMPUTED_VALUE"""),"tuscany")</f>
        <v>tuscany</v>
      </c>
      <c r="D251" s="9" t="str">
        <f>IFERROR(__xludf.DUMMYFUNCTION("""COMPUTED_VALUE"""),"Castello di Ama, Chianti Classico, Bellavista Gran Selezione")</f>
        <v>Castello di Ama, Chianti Classico, Bellavista Gran Selezione</v>
      </c>
      <c r="E251" s="9">
        <f>IFERROR(__xludf.DUMMYFUNCTION("""COMPUTED_VALUE"""),2018.0)</f>
        <v>2018</v>
      </c>
      <c r="F251" s="9">
        <f>IFERROR(__xludf.DUMMYFUNCTION("""COMPUTED_VALUE"""),750.0)</f>
        <v>750</v>
      </c>
      <c r="G251" s="9">
        <f>IFERROR(__xludf.DUMMYFUNCTION("""COMPUTED_VALUE"""),6.0)</f>
        <v>6</v>
      </c>
      <c r="H251" s="10">
        <f>IFERROR(__xludf.DUMMYFUNCTION("""COMPUTED_VALUE"""),1.0)</f>
        <v>1</v>
      </c>
      <c r="I251" s="11">
        <f>IFERROR(__xludf.DUMMYFUNCTION("""COMPUTED_VALUE"""),946.0)</f>
        <v>946</v>
      </c>
      <c r="J251" s="9" t="str">
        <f>IFERROR(__xludf.DUMMYFUNCTION("""COMPUTED_VALUE"""),"France")</f>
        <v>France</v>
      </c>
      <c r="K251" s="8"/>
      <c r="L251" s="12"/>
      <c r="M251" s="13"/>
      <c r="N251" s="13" t="str">
        <f>IFERROR(__xludf.DUMMYFUNCTION("IF(ISBLANK(M251),"""",M251*GOOGLEFINANCE(""USDGBP""))"),"")</f>
        <v/>
      </c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</row>
    <row r="252">
      <c r="A252" s="8" t="str">
        <f>IFERROR(__xludf.DUMMYFUNCTION("""COMPUTED_VALUE"""),"163548720180600750")</f>
        <v>163548720180600750</v>
      </c>
      <c r="B252" s="9" t="str">
        <f>IFERROR(__xludf.DUMMYFUNCTION("""COMPUTED_VALUE"""),"Italy")</f>
        <v>Italy</v>
      </c>
      <c r="C252" s="9" t="str">
        <f>IFERROR(__xludf.DUMMYFUNCTION("""COMPUTED_VALUE"""),"tuscany")</f>
        <v>tuscany</v>
      </c>
      <c r="D252" s="9" t="str">
        <f>IFERROR(__xludf.DUMMYFUNCTION("""COMPUTED_VALUE"""),"Castello di Ama, Chianti Classico, Casuccia Gran Selezione")</f>
        <v>Castello di Ama, Chianti Classico, Casuccia Gran Selezione</v>
      </c>
      <c r="E252" s="9">
        <f>IFERROR(__xludf.DUMMYFUNCTION("""COMPUTED_VALUE"""),2018.0)</f>
        <v>2018</v>
      </c>
      <c r="F252" s="9">
        <f>IFERROR(__xludf.DUMMYFUNCTION("""COMPUTED_VALUE"""),750.0)</f>
        <v>750</v>
      </c>
      <c r="G252" s="9">
        <f>IFERROR(__xludf.DUMMYFUNCTION("""COMPUTED_VALUE"""),6.0)</f>
        <v>6</v>
      </c>
      <c r="H252" s="10">
        <f>IFERROR(__xludf.DUMMYFUNCTION("""COMPUTED_VALUE"""),7.0)</f>
        <v>7</v>
      </c>
      <c r="I252" s="11">
        <f>IFERROR(__xludf.DUMMYFUNCTION("""COMPUTED_VALUE"""),884.0)</f>
        <v>884</v>
      </c>
      <c r="J252" s="9" t="str">
        <f>IFERROR(__xludf.DUMMYFUNCTION("""COMPUTED_VALUE"""),"France")</f>
        <v>France</v>
      </c>
      <c r="K252" s="8"/>
      <c r="L252" s="12"/>
      <c r="M252" s="13"/>
      <c r="N252" s="13" t="str">
        <f>IFERROR(__xludf.DUMMYFUNCTION("IF(ISBLANK(M252),"""",M252*GOOGLEFINANCE(""USDGBP""))"),"")</f>
        <v/>
      </c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</row>
    <row r="253">
      <c r="A253" s="8" t="str">
        <f>IFERROR(__xludf.DUMMYFUNCTION("""COMPUTED_VALUE"""),"128398120190600750")</f>
        <v>128398120190600750</v>
      </c>
      <c r="B253" s="9" t="str">
        <f>IFERROR(__xludf.DUMMYFUNCTION("""COMPUTED_VALUE"""),"Italy")</f>
        <v>Italy</v>
      </c>
      <c r="C253" s="9" t="str">
        <f>IFERROR(__xludf.DUMMYFUNCTION("""COMPUTED_VALUE"""),"tuscany")</f>
        <v>tuscany</v>
      </c>
      <c r="D253" s="9" t="str">
        <f>IFERROR(__xludf.DUMMYFUNCTION("""COMPUTED_VALUE"""),"Castello di Ama, Chianti Classico, Gran Selezione San Lorenzo")</f>
        <v>Castello di Ama, Chianti Classico, Gran Selezione San Lorenzo</v>
      </c>
      <c r="E253" s="9">
        <f>IFERROR(__xludf.DUMMYFUNCTION("""COMPUTED_VALUE"""),2019.0)</f>
        <v>2019</v>
      </c>
      <c r="F253" s="9">
        <f>IFERROR(__xludf.DUMMYFUNCTION("""COMPUTED_VALUE"""),750.0)</f>
        <v>750</v>
      </c>
      <c r="G253" s="9">
        <f>IFERROR(__xludf.DUMMYFUNCTION("""COMPUTED_VALUE"""),6.0)</f>
        <v>6</v>
      </c>
      <c r="H253" s="10">
        <f>IFERROR(__xludf.DUMMYFUNCTION("""COMPUTED_VALUE"""),5.0)</f>
        <v>5</v>
      </c>
      <c r="I253" s="11">
        <f>IFERROR(__xludf.DUMMYFUNCTION("""COMPUTED_VALUE"""),224.0)</f>
        <v>224</v>
      </c>
      <c r="J253" s="9" t="str">
        <f>IFERROR(__xludf.DUMMYFUNCTION("""COMPUTED_VALUE"""),"France")</f>
        <v>France</v>
      </c>
      <c r="K253" s="8"/>
      <c r="L253" s="12"/>
      <c r="M253" s="13"/>
      <c r="N253" s="13" t="str">
        <f>IFERROR(__xludf.DUMMYFUNCTION("IF(ISBLANK(M253),"""",M253*GOOGLEFINANCE(""USDGBP""))"),"")</f>
        <v/>
      </c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</row>
    <row r="254">
      <c r="A254" s="8" t="str">
        <f>IFERROR(__xludf.DUMMYFUNCTION("""COMPUTED_VALUE"""),"128398120200600750")</f>
        <v>128398120200600750</v>
      </c>
      <c r="B254" s="9" t="str">
        <f>IFERROR(__xludf.DUMMYFUNCTION("""COMPUTED_VALUE"""),"Italy")</f>
        <v>Italy</v>
      </c>
      <c r="C254" s="9" t="str">
        <f>IFERROR(__xludf.DUMMYFUNCTION("""COMPUTED_VALUE"""),"tuscany")</f>
        <v>tuscany</v>
      </c>
      <c r="D254" s="9" t="str">
        <f>IFERROR(__xludf.DUMMYFUNCTION("""COMPUTED_VALUE"""),"Castello di Ama, Chianti Classico, Gran Selezione San Lorenzo")</f>
        <v>Castello di Ama, Chianti Classico, Gran Selezione San Lorenzo</v>
      </c>
      <c r="E254" s="9">
        <f>IFERROR(__xludf.DUMMYFUNCTION("""COMPUTED_VALUE"""),2020.0)</f>
        <v>2020</v>
      </c>
      <c r="F254" s="9">
        <f>IFERROR(__xludf.DUMMYFUNCTION("""COMPUTED_VALUE"""),750.0)</f>
        <v>750</v>
      </c>
      <c r="G254" s="9">
        <f>IFERROR(__xludf.DUMMYFUNCTION("""COMPUTED_VALUE"""),6.0)</f>
        <v>6</v>
      </c>
      <c r="H254" s="10">
        <f>IFERROR(__xludf.DUMMYFUNCTION("""COMPUTED_VALUE"""),8.0)</f>
        <v>8</v>
      </c>
      <c r="I254" s="11">
        <f>IFERROR(__xludf.DUMMYFUNCTION("""COMPUTED_VALUE"""),229.0)</f>
        <v>229</v>
      </c>
      <c r="J254" s="9" t="str">
        <f>IFERROR(__xludf.DUMMYFUNCTION("""COMPUTED_VALUE"""),"France")</f>
        <v>France</v>
      </c>
      <c r="K254" s="8"/>
      <c r="L254" s="12"/>
      <c r="M254" s="13"/>
      <c r="N254" s="13" t="str">
        <f>IFERROR(__xludf.DUMMYFUNCTION("IF(ISBLANK(M254),"""",M254*GOOGLEFINANCE(""USDGBP""))"),"")</f>
        <v/>
      </c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</row>
    <row r="255">
      <c r="A255" s="8" t="str">
        <f>IFERROR(__xludf.DUMMYFUNCTION("""COMPUTED_VALUE"""),"109739520180600750")</f>
        <v>109739520180600750</v>
      </c>
      <c r="B255" s="9" t="str">
        <f>IFERROR(__xludf.DUMMYFUNCTION("""COMPUTED_VALUE"""),"Italy")</f>
        <v>Italy</v>
      </c>
      <c r="C255" s="9" t="str">
        <f>IFERROR(__xludf.DUMMYFUNCTION("""COMPUTED_VALUE"""),"tuscany")</f>
        <v>tuscany</v>
      </c>
      <c r="D255" s="9" t="str">
        <f>IFERROR(__xludf.DUMMYFUNCTION("""COMPUTED_VALUE"""),"Castello di Ama, Chianti Classico, Vigneto Bellavista Gran Selezione")</f>
        <v>Castello di Ama, Chianti Classico, Vigneto Bellavista Gran Selezione</v>
      </c>
      <c r="E255" s="9">
        <f>IFERROR(__xludf.DUMMYFUNCTION("""COMPUTED_VALUE"""),2018.0)</f>
        <v>2018</v>
      </c>
      <c r="F255" s="9">
        <f>IFERROR(__xludf.DUMMYFUNCTION("""COMPUTED_VALUE"""),750.0)</f>
        <v>750</v>
      </c>
      <c r="G255" s="9">
        <f>IFERROR(__xludf.DUMMYFUNCTION("""COMPUTED_VALUE"""),6.0)</f>
        <v>6</v>
      </c>
      <c r="H255" s="10">
        <f>IFERROR(__xludf.DUMMYFUNCTION("""COMPUTED_VALUE"""),6.0)</f>
        <v>6</v>
      </c>
      <c r="I255" s="11">
        <f>IFERROR(__xludf.DUMMYFUNCTION("""COMPUTED_VALUE"""),621.0)</f>
        <v>621</v>
      </c>
      <c r="J255" s="9" t="str">
        <f>IFERROR(__xludf.DUMMYFUNCTION("""COMPUTED_VALUE"""),"France")</f>
        <v>France</v>
      </c>
      <c r="K255" s="8"/>
      <c r="L255" s="12"/>
      <c r="M255" s="13"/>
      <c r="N255" s="13" t="str">
        <f>IFERROR(__xludf.DUMMYFUNCTION("IF(ISBLANK(M255),"""",M255*GOOGLEFINANCE(""USDGBP""))"),"")</f>
        <v/>
      </c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</row>
    <row r="256">
      <c r="A256" s="8" t="str">
        <f>IFERROR(__xludf.DUMMYFUNCTION("""COMPUTED_VALUE"""),"109741220190600750")</f>
        <v>109741220190600750</v>
      </c>
      <c r="B256" s="9" t="str">
        <f>IFERROR(__xludf.DUMMYFUNCTION("""COMPUTED_VALUE"""),"Italy")</f>
        <v>Italy</v>
      </c>
      <c r="C256" s="9" t="str">
        <f>IFERROR(__xludf.DUMMYFUNCTION("""COMPUTED_VALUE"""),"tuscany")</f>
        <v>tuscany</v>
      </c>
      <c r="D256" s="9" t="str">
        <f>IFERROR(__xludf.DUMMYFUNCTION("""COMPUTED_VALUE"""),"Castello di Ama, Chianti Classico, Vigneto Casuccia Gran Selezione")</f>
        <v>Castello di Ama, Chianti Classico, Vigneto Casuccia Gran Selezione</v>
      </c>
      <c r="E256" s="9">
        <f>IFERROR(__xludf.DUMMYFUNCTION("""COMPUTED_VALUE"""),2019.0)</f>
        <v>2019</v>
      </c>
      <c r="F256" s="9">
        <f>IFERROR(__xludf.DUMMYFUNCTION("""COMPUTED_VALUE"""),750.0)</f>
        <v>750</v>
      </c>
      <c r="G256" s="9">
        <f>IFERROR(__xludf.DUMMYFUNCTION("""COMPUTED_VALUE"""),6.0)</f>
        <v>6</v>
      </c>
      <c r="H256" s="10">
        <f>IFERROR(__xludf.DUMMYFUNCTION("""COMPUTED_VALUE"""),2.0)</f>
        <v>2</v>
      </c>
      <c r="I256" s="11">
        <f>IFERROR(__xludf.DUMMYFUNCTION("""COMPUTED_VALUE"""),1120.0)</f>
        <v>1120</v>
      </c>
      <c r="J256" s="9" t="str">
        <f>IFERROR(__xludf.DUMMYFUNCTION("""COMPUTED_VALUE"""),"France")</f>
        <v>France</v>
      </c>
      <c r="K256" s="8"/>
      <c r="L256" s="12"/>
      <c r="M256" s="13"/>
      <c r="N256" s="13" t="str">
        <f>IFERROR(__xludf.DUMMYFUNCTION("IF(ISBLANK(M256),"""",M256*GOOGLEFINANCE(""USDGBP""))"),"")</f>
        <v/>
      </c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</row>
    <row r="257">
      <c r="A257" s="8" t="str">
        <f>IFERROR(__xludf.DUMMYFUNCTION("""COMPUTED_VALUE"""),"109903820180600750")</f>
        <v>109903820180600750</v>
      </c>
      <c r="B257" s="9" t="str">
        <f>IFERROR(__xludf.DUMMYFUNCTION("""COMPUTED_VALUE"""),"Italy")</f>
        <v>Italy</v>
      </c>
      <c r="C257" s="9" t="str">
        <f>IFERROR(__xludf.DUMMYFUNCTION("""COMPUTED_VALUE"""),"tuscany")</f>
        <v>tuscany</v>
      </c>
      <c r="D257" s="9" t="str">
        <f>IFERROR(__xludf.DUMMYFUNCTION("""COMPUTED_VALUE"""),"Felsina, Fontalloro, Toscana")</f>
        <v>Felsina, Fontalloro, Toscana</v>
      </c>
      <c r="E257" s="9">
        <f>IFERROR(__xludf.DUMMYFUNCTION("""COMPUTED_VALUE"""),2018.0)</f>
        <v>2018</v>
      </c>
      <c r="F257" s="9">
        <f>IFERROR(__xludf.DUMMYFUNCTION("""COMPUTED_VALUE"""),750.0)</f>
        <v>750</v>
      </c>
      <c r="G257" s="9">
        <f>IFERROR(__xludf.DUMMYFUNCTION("""COMPUTED_VALUE"""),6.0)</f>
        <v>6</v>
      </c>
      <c r="H257" s="10">
        <f>IFERROR(__xludf.DUMMYFUNCTION("""COMPUTED_VALUE"""),8.0)</f>
        <v>8</v>
      </c>
      <c r="I257" s="11">
        <f>IFERROR(__xludf.DUMMYFUNCTION("""COMPUTED_VALUE"""),219.0)</f>
        <v>219</v>
      </c>
      <c r="J257" s="9" t="str">
        <f>IFERROR(__xludf.DUMMYFUNCTION("""COMPUTED_VALUE"""),"France")</f>
        <v>France</v>
      </c>
      <c r="K257" s="8"/>
      <c r="L257" s="12"/>
      <c r="M257" s="13"/>
      <c r="N257" s="13" t="str">
        <f>IFERROR(__xludf.DUMMYFUNCTION("IF(ISBLANK(M257),"""",M257*GOOGLEFINANCE(""USDGBP""))"),"")</f>
        <v/>
      </c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</row>
    <row r="258">
      <c r="A258" s="8" t="str">
        <f>IFERROR(__xludf.DUMMYFUNCTION("""COMPUTED_VALUE"""),"109953320180600750")</f>
        <v>109953320180600750</v>
      </c>
      <c r="B258" s="9" t="str">
        <f>IFERROR(__xludf.DUMMYFUNCTION("""COMPUTED_VALUE"""),"Italy")</f>
        <v>Italy</v>
      </c>
      <c r="C258" s="9" t="str">
        <f>IFERROR(__xludf.DUMMYFUNCTION("""COMPUTED_VALUE"""),"tuscany")</f>
        <v>tuscany</v>
      </c>
      <c r="D258" s="9" t="str">
        <f>IFERROR(__xludf.DUMMYFUNCTION("""COMPUTED_VALUE"""),"Fuligni, Brunello di Montalcino")</f>
        <v>Fuligni, Brunello di Montalcino</v>
      </c>
      <c r="E258" s="9">
        <f>IFERROR(__xludf.DUMMYFUNCTION("""COMPUTED_VALUE"""),2018.0)</f>
        <v>2018</v>
      </c>
      <c r="F258" s="9">
        <f>IFERROR(__xludf.DUMMYFUNCTION("""COMPUTED_VALUE"""),750.0)</f>
        <v>750</v>
      </c>
      <c r="G258" s="9">
        <f>IFERROR(__xludf.DUMMYFUNCTION("""COMPUTED_VALUE"""),6.0)</f>
        <v>6</v>
      </c>
      <c r="H258" s="10">
        <f>IFERROR(__xludf.DUMMYFUNCTION("""COMPUTED_VALUE"""),8.0)</f>
        <v>8</v>
      </c>
      <c r="I258" s="11">
        <f>IFERROR(__xludf.DUMMYFUNCTION("""COMPUTED_VALUE"""),308.0)</f>
        <v>308</v>
      </c>
      <c r="J258" s="9" t="str">
        <f>IFERROR(__xludf.DUMMYFUNCTION("""COMPUTED_VALUE"""),"France")</f>
        <v>France</v>
      </c>
      <c r="K258" s="8"/>
      <c r="L258" s="12"/>
      <c r="M258" s="13"/>
      <c r="N258" s="13" t="str">
        <f>IFERROR(__xludf.DUMMYFUNCTION("IF(ISBLANK(M258),"""",M258*GOOGLEFINANCE(""USDGBP""))"),"")</f>
        <v/>
      </c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</row>
    <row r="259">
      <c r="A259" s="8" t="str">
        <f>IFERROR(__xludf.DUMMYFUNCTION("""COMPUTED_VALUE"""),"122553620200600750")</f>
        <v>122553620200600750</v>
      </c>
      <c r="B259" s="9" t="str">
        <f>IFERROR(__xludf.DUMMYFUNCTION("""COMPUTED_VALUE"""),"Italy")</f>
        <v>Italy</v>
      </c>
      <c r="C259" s="9" t="str">
        <f>IFERROR(__xludf.DUMMYFUNCTION("""COMPUTED_VALUE"""),"tuscany")</f>
        <v>tuscany</v>
      </c>
      <c r="D259" s="9" t="str">
        <f>IFERROR(__xludf.DUMMYFUNCTION("""COMPUTED_VALUE"""),"Grattamacco, Bolgheri, Superiore")</f>
        <v>Grattamacco, Bolgheri, Superiore</v>
      </c>
      <c r="E259" s="9">
        <f>IFERROR(__xludf.DUMMYFUNCTION("""COMPUTED_VALUE"""),2020.0)</f>
        <v>2020</v>
      </c>
      <c r="F259" s="9">
        <f>IFERROR(__xludf.DUMMYFUNCTION("""COMPUTED_VALUE"""),750.0)</f>
        <v>750</v>
      </c>
      <c r="G259" s="9">
        <f>IFERROR(__xludf.DUMMYFUNCTION("""COMPUTED_VALUE"""),6.0)</f>
        <v>6</v>
      </c>
      <c r="H259" s="10">
        <f>IFERROR(__xludf.DUMMYFUNCTION("""COMPUTED_VALUE"""),9.0)</f>
        <v>9</v>
      </c>
      <c r="I259" s="11">
        <f>IFERROR(__xludf.DUMMYFUNCTION("""COMPUTED_VALUE"""),381.0)</f>
        <v>381</v>
      </c>
      <c r="J259" s="9" t="str">
        <f>IFERROR(__xludf.DUMMYFUNCTION("""COMPUTED_VALUE"""),"France")</f>
        <v>France</v>
      </c>
      <c r="K259" s="8"/>
      <c r="L259" s="12"/>
      <c r="M259" s="13"/>
      <c r="N259" s="13" t="str">
        <f>IFERROR(__xludf.DUMMYFUNCTION("IF(ISBLANK(M259),"""",M259*GOOGLEFINANCE(""USDGBP""))"),"")</f>
        <v/>
      </c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</row>
    <row r="260">
      <c r="A260" s="8" t="str">
        <f>IFERROR(__xludf.DUMMYFUNCTION("""COMPUTED_VALUE"""),"109536220190600750")</f>
        <v>109536220190600750</v>
      </c>
      <c r="B260" s="9" t="str">
        <f>IFERROR(__xludf.DUMMYFUNCTION("""COMPUTED_VALUE"""),"Italy")</f>
        <v>Italy</v>
      </c>
      <c r="C260" s="9" t="str">
        <f>IFERROR(__xludf.DUMMYFUNCTION("""COMPUTED_VALUE"""),"tuscany")</f>
        <v>tuscany</v>
      </c>
      <c r="D260" s="9" t="str">
        <f>IFERROR(__xludf.DUMMYFUNCTION("""COMPUTED_VALUE"""),"Guado Al Tasso, Bolgheri")</f>
        <v>Guado Al Tasso, Bolgheri</v>
      </c>
      <c r="E260" s="9">
        <f>IFERROR(__xludf.DUMMYFUNCTION("""COMPUTED_VALUE"""),2019.0)</f>
        <v>2019</v>
      </c>
      <c r="F260" s="9">
        <f>IFERROR(__xludf.DUMMYFUNCTION("""COMPUTED_VALUE"""),750.0)</f>
        <v>750</v>
      </c>
      <c r="G260" s="9">
        <f>IFERROR(__xludf.DUMMYFUNCTION("""COMPUTED_VALUE"""),6.0)</f>
        <v>6</v>
      </c>
      <c r="H260" s="10">
        <f>IFERROR(__xludf.DUMMYFUNCTION("""COMPUTED_VALUE"""),5.0)</f>
        <v>5</v>
      </c>
      <c r="I260" s="11">
        <f>IFERROR(__xludf.DUMMYFUNCTION("""COMPUTED_VALUE"""),621.0)</f>
        <v>621</v>
      </c>
      <c r="J260" s="9" t="str">
        <f>IFERROR(__xludf.DUMMYFUNCTION("""COMPUTED_VALUE"""),"France")</f>
        <v>France</v>
      </c>
      <c r="K260" s="8"/>
      <c r="L260" s="12"/>
      <c r="M260" s="13"/>
      <c r="N260" s="13" t="str">
        <f>IFERROR(__xludf.DUMMYFUNCTION("IF(ISBLANK(M260),"""",M260*GOOGLEFINANCE(""USDGBP""))"),"")</f>
        <v/>
      </c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</row>
    <row r="261">
      <c r="A261" s="8" t="str">
        <f>IFERROR(__xludf.DUMMYFUNCTION("""COMPUTED_VALUE"""),"117490620150600750")</f>
        <v>117490620150600750</v>
      </c>
      <c r="B261" s="9" t="str">
        <f>IFERROR(__xludf.DUMMYFUNCTION("""COMPUTED_VALUE"""),"Italy")</f>
        <v>Italy</v>
      </c>
      <c r="C261" s="9" t="str">
        <f>IFERROR(__xludf.DUMMYFUNCTION("""COMPUTED_VALUE"""),"tuscany")</f>
        <v>tuscany</v>
      </c>
      <c r="D261" s="9" t="str">
        <f>IFERROR(__xludf.DUMMYFUNCTION("""COMPUTED_VALUE"""),"Il Poggione, Brunello di Montalcino, Vigna Paganelli Riserva")</f>
        <v>Il Poggione, Brunello di Montalcino, Vigna Paganelli Riserva</v>
      </c>
      <c r="E261" s="9">
        <f>IFERROR(__xludf.DUMMYFUNCTION("""COMPUTED_VALUE"""),2015.0)</f>
        <v>2015</v>
      </c>
      <c r="F261" s="9">
        <f>IFERROR(__xludf.DUMMYFUNCTION("""COMPUTED_VALUE"""),750.0)</f>
        <v>750</v>
      </c>
      <c r="G261" s="9">
        <f>IFERROR(__xludf.DUMMYFUNCTION("""COMPUTED_VALUE"""),6.0)</f>
        <v>6</v>
      </c>
      <c r="H261" s="10">
        <f>IFERROR(__xludf.DUMMYFUNCTION("""COMPUTED_VALUE"""),5.0)</f>
        <v>5</v>
      </c>
      <c r="I261" s="11">
        <f>IFERROR(__xludf.DUMMYFUNCTION("""COMPUTED_VALUE"""),291.0)</f>
        <v>291</v>
      </c>
      <c r="J261" s="9" t="str">
        <f>IFERROR(__xludf.DUMMYFUNCTION("""COMPUTED_VALUE"""),"France")</f>
        <v>France</v>
      </c>
      <c r="K261" s="8"/>
      <c r="L261" s="12"/>
      <c r="M261" s="13"/>
      <c r="N261" s="13" t="str">
        <f>IFERROR(__xludf.DUMMYFUNCTION("IF(ISBLANK(M261),"""",M261*GOOGLEFINANCE(""USDGBP""))"),"")</f>
        <v/>
      </c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</row>
    <row r="262">
      <c r="A262" s="8" t="str">
        <f>IFERROR(__xludf.DUMMYFUNCTION("""COMPUTED_VALUE"""),"127998820160600750")</f>
        <v>127998820160600750</v>
      </c>
      <c r="B262" s="9" t="str">
        <f>IFERROR(__xludf.DUMMYFUNCTION("""COMPUTED_VALUE"""),"Italy")</f>
        <v>Italy</v>
      </c>
      <c r="C262" s="9" t="str">
        <f>IFERROR(__xludf.DUMMYFUNCTION("""COMPUTED_VALUE"""),"tuscany")</f>
        <v>tuscany</v>
      </c>
      <c r="D262" s="9" t="str">
        <f>IFERROR(__xludf.DUMMYFUNCTION("""COMPUTED_VALUE"""),"Le Ragnaie, Brunello di Montalcino, Fornace")</f>
        <v>Le Ragnaie, Brunello di Montalcino, Fornace</v>
      </c>
      <c r="E262" s="9">
        <f>IFERROR(__xludf.DUMMYFUNCTION("""COMPUTED_VALUE"""),2016.0)</f>
        <v>2016</v>
      </c>
      <c r="F262" s="9">
        <f>IFERROR(__xludf.DUMMYFUNCTION("""COMPUTED_VALUE"""),750.0)</f>
        <v>750</v>
      </c>
      <c r="G262" s="9">
        <f>IFERROR(__xludf.DUMMYFUNCTION("""COMPUTED_VALUE"""),6.0)</f>
        <v>6</v>
      </c>
      <c r="H262" s="10">
        <f>IFERROR(__xludf.DUMMYFUNCTION("""COMPUTED_VALUE"""),1.0)</f>
        <v>1</v>
      </c>
      <c r="I262" s="11">
        <f>IFERROR(__xludf.DUMMYFUNCTION("""COMPUTED_VALUE"""),614.0)</f>
        <v>614</v>
      </c>
      <c r="J262" s="9" t="str">
        <f>IFERROR(__xludf.DUMMYFUNCTION("""COMPUTED_VALUE"""),"France")</f>
        <v>France</v>
      </c>
      <c r="K262" s="8"/>
      <c r="L262" s="12"/>
      <c r="M262" s="13"/>
      <c r="N262" s="13" t="str">
        <f>IFERROR(__xludf.DUMMYFUNCTION("IF(ISBLANK(M262),"""",M262*GOOGLEFINANCE(""USDGBP""))"),"")</f>
        <v/>
      </c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</row>
    <row r="263">
      <c r="A263" s="8" t="str">
        <f>IFERROR(__xludf.DUMMYFUNCTION("""COMPUTED_VALUE"""),"110202420180101500")</f>
        <v>110202420180101500</v>
      </c>
      <c r="B263" s="9" t="str">
        <f>IFERROR(__xludf.DUMMYFUNCTION("""COMPUTED_VALUE"""),"Italy")</f>
        <v>Italy</v>
      </c>
      <c r="C263" s="9" t="str">
        <f>IFERROR(__xludf.DUMMYFUNCTION("""COMPUTED_VALUE"""),"tuscany")</f>
        <v>tuscany</v>
      </c>
      <c r="D263" s="9" t="str">
        <f>IFERROR(__xludf.DUMMYFUNCTION("""COMPUTED_VALUE"""),"Ornellaia, Bolgheri")</f>
        <v>Ornellaia, Bolgheri</v>
      </c>
      <c r="E263" s="9">
        <f>IFERROR(__xludf.DUMMYFUNCTION("""COMPUTED_VALUE"""),2018.0)</f>
        <v>2018</v>
      </c>
      <c r="F263" s="9">
        <f>IFERROR(__xludf.DUMMYFUNCTION("""COMPUTED_VALUE"""),1500.0)</f>
        <v>1500</v>
      </c>
      <c r="G263" s="9">
        <f>IFERROR(__xludf.DUMMYFUNCTION("""COMPUTED_VALUE"""),1.0)</f>
        <v>1</v>
      </c>
      <c r="H263" s="10">
        <f>IFERROR(__xludf.DUMMYFUNCTION("""COMPUTED_VALUE"""),1.0)</f>
        <v>1</v>
      </c>
      <c r="I263" s="11">
        <f>IFERROR(__xludf.DUMMYFUNCTION("""COMPUTED_VALUE"""),303.0)</f>
        <v>303</v>
      </c>
      <c r="J263" s="9" t="str">
        <f>IFERROR(__xludf.DUMMYFUNCTION("""COMPUTED_VALUE"""),"France")</f>
        <v>France</v>
      </c>
      <c r="K263" s="8"/>
      <c r="L263" s="12"/>
      <c r="M263" s="13"/>
      <c r="N263" s="13" t="str">
        <f>IFERROR(__xludf.DUMMYFUNCTION("IF(ISBLANK(M263),"""",M263*GOOGLEFINANCE(""USDGBP""))"),"")</f>
        <v/>
      </c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</row>
    <row r="264">
      <c r="A264" s="8" t="str">
        <f>IFERROR(__xludf.DUMMYFUNCTION("""COMPUTED_VALUE"""),"110202420190101500")</f>
        <v>110202420190101500</v>
      </c>
      <c r="B264" s="9" t="str">
        <f>IFERROR(__xludf.DUMMYFUNCTION("""COMPUTED_VALUE"""),"Italy")</f>
        <v>Italy</v>
      </c>
      <c r="C264" s="9" t="str">
        <f>IFERROR(__xludf.DUMMYFUNCTION("""COMPUTED_VALUE"""),"tuscany")</f>
        <v>tuscany</v>
      </c>
      <c r="D264" s="9" t="str">
        <f>IFERROR(__xludf.DUMMYFUNCTION("""COMPUTED_VALUE"""),"Ornellaia, Bolgheri")</f>
        <v>Ornellaia, Bolgheri</v>
      </c>
      <c r="E264" s="9">
        <f>IFERROR(__xludf.DUMMYFUNCTION("""COMPUTED_VALUE"""),2019.0)</f>
        <v>2019</v>
      </c>
      <c r="F264" s="9">
        <f>IFERROR(__xludf.DUMMYFUNCTION("""COMPUTED_VALUE"""),1500.0)</f>
        <v>1500</v>
      </c>
      <c r="G264" s="9">
        <f>IFERROR(__xludf.DUMMYFUNCTION("""COMPUTED_VALUE"""),1.0)</f>
        <v>1</v>
      </c>
      <c r="H264" s="10">
        <f>IFERROR(__xludf.DUMMYFUNCTION("""COMPUTED_VALUE"""),1.0)</f>
        <v>1</v>
      </c>
      <c r="I264" s="11">
        <f>IFERROR(__xludf.DUMMYFUNCTION("""COMPUTED_VALUE"""),314.0)</f>
        <v>314</v>
      </c>
      <c r="J264" s="9" t="str">
        <f>IFERROR(__xludf.DUMMYFUNCTION("""COMPUTED_VALUE"""),"France")</f>
        <v>France</v>
      </c>
      <c r="K264" s="8"/>
      <c r="L264" s="12"/>
      <c r="M264" s="13"/>
      <c r="N264" s="13" t="str">
        <f>IFERROR(__xludf.DUMMYFUNCTION("IF(ISBLANK(M264),"""",M264*GOOGLEFINANCE(""USDGBP""))"),"")</f>
        <v/>
      </c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</row>
    <row r="265">
      <c r="A265" s="8" t="str">
        <f>IFERROR(__xludf.DUMMYFUNCTION("""COMPUTED_VALUE"""),"110297820150600750")</f>
        <v>110297820150600750</v>
      </c>
      <c r="B265" s="9" t="str">
        <f>IFERROR(__xludf.DUMMYFUNCTION("""COMPUTED_VALUE"""),"Italy")</f>
        <v>Italy</v>
      </c>
      <c r="C265" s="9" t="str">
        <f>IFERROR(__xludf.DUMMYFUNCTION("""COMPUTED_VALUE"""),"tuscany")</f>
        <v>tuscany</v>
      </c>
      <c r="D265" s="9" t="str">
        <f>IFERROR(__xludf.DUMMYFUNCTION("""COMPUTED_VALUE"""),"Poggio Antico, Brunello di Montalcino, Riserva")</f>
        <v>Poggio Antico, Brunello di Montalcino, Riserva</v>
      </c>
      <c r="E265" s="9">
        <f>IFERROR(__xludf.DUMMYFUNCTION("""COMPUTED_VALUE"""),2015.0)</f>
        <v>2015</v>
      </c>
      <c r="F265" s="9">
        <f>IFERROR(__xludf.DUMMYFUNCTION("""COMPUTED_VALUE"""),750.0)</f>
        <v>750</v>
      </c>
      <c r="G265" s="9">
        <f>IFERROR(__xludf.DUMMYFUNCTION("""COMPUTED_VALUE"""),6.0)</f>
        <v>6</v>
      </c>
      <c r="H265" s="10">
        <f>IFERROR(__xludf.DUMMYFUNCTION("""COMPUTED_VALUE"""),11.0)</f>
        <v>11</v>
      </c>
      <c r="I265" s="11">
        <f>IFERROR(__xludf.DUMMYFUNCTION("""COMPUTED_VALUE"""),466.0)</f>
        <v>466</v>
      </c>
      <c r="J265" s="9" t="str">
        <f>IFERROR(__xludf.DUMMYFUNCTION("""COMPUTED_VALUE"""),"France")</f>
        <v>France</v>
      </c>
      <c r="K265" s="8"/>
      <c r="L265" s="12"/>
      <c r="M265" s="13"/>
      <c r="N265" s="13" t="str">
        <f>IFERROR(__xludf.DUMMYFUNCTION("IF(ISBLANK(M265),"""",M265*GOOGLEFINANCE(""USDGBP""))"),"")</f>
        <v/>
      </c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</row>
    <row r="266">
      <c r="A266" s="8" t="str">
        <f>IFERROR(__xludf.DUMMYFUNCTION("""COMPUTED_VALUE"""),"110297820160600750")</f>
        <v>110297820160600750</v>
      </c>
      <c r="B266" s="9" t="str">
        <f>IFERROR(__xludf.DUMMYFUNCTION("""COMPUTED_VALUE"""),"Italy")</f>
        <v>Italy</v>
      </c>
      <c r="C266" s="9" t="str">
        <f>IFERROR(__xludf.DUMMYFUNCTION("""COMPUTED_VALUE"""),"tuscany")</f>
        <v>tuscany</v>
      </c>
      <c r="D266" s="9" t="str">
        <f>IFERROR(__xludf.DUMMYFUNCTION("""COMPUTED_VALUE"""),"Poggio Antico, Brunello di Montalcino, Riserva")</f>
        <v>Poggio Antico, Brunello di Montalcino, Riserva</v>
      </c>
      <c r="E266" s="9">
        <f>IFERROR(__xludf.DUMMYFUNCTION("""COMPUTED_VALUE"""),2016.0)</f>
        <v>2016</v>
      </c>
      <c r="F266" s="9">
        <f>IFERROR(__xludf.DUMMYFUNCTION("""COMPUTED_VALUE"""),750.0)</f>
        <v>750</v>
      </c>
      <c r="G266" s="9">
        <f>IFERROR(__xludf.DUMMYFUNCTION("""COMPUTED_VALUE"""),6.0)</f>
        <v>6</v>
      </c>
      <c r="H266" s="10">
        <f>IFERROR(__xludf.DUMMYFUNCTION("""COMPUTED_VALUE"""),1.0)</f>
        <v>1</v>
      </c>
      <c r="I266" s="11">
        <f>IFERROR(__xludf.DUMMYFUNCTION("""COMPUTED_VALUE"""),437.0)</f>
        <v>437</v>
      </c>
      <c r="J266" s="9" t="str">
        <f>IFERROR(__xludf.DUMMYFUNCTION("""COMPUTED_VALUE"""),"France")</f>
        <v>France</v>
      </c>
      <c r="K266" s="8"/>
      <c r="L266" s="12"/>
      <c r="M266" s="13"/>
      <c r="N266" s="13" t="str">
        <f>IFERROR(__xludf.DUMMYFUNCTION("IF(ISBLANK(M266),"""",M266*GOOGLEFINANCE(""USDGBP""))"),"")</f>
        <v/>
      </c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</row>
    <row r="267">
      <c r="A267" s="8" t="str">
        <f>IFERROR(__xludf.DUMMYFUNCTION("""COMPUTED_VALUE"""),"110307620180300750")</f>
        <v>110307620180300750</v>
      </c>
      <c r="B267" s="9" t="str">
        <f>IFERROR(__xludf.DUMMYFUNCTION("""COMPUTED_VALUE"""),"Italy")</f>
        <v>Italy</v>
      </c>
      <c r="C267" s="9" t="str">
        <f>IFERROR(__xludf.DUMMYFUNCTION("""COMPUTED_VALUE"""),"tuscany")</f>
        <v>tuscany</v>
      </c>
      <c r="D267" s="9" t="str">
        <f>IFERROR(__xludf.DUMMYFUNCTION("""COMPUTED_VALUE"""),"Poggio di Sotto, Brunello di Montalcino")</f>
        <v>Poggio di Sotto, Brunello di Montalcino</v>
      </c>
      <c r="E267" s="9">
        <f>IFERROR(__xludf.DUMMYFUNCTION("""COMPUTED_VALUE"""),2018.0)</f>
        <v>2018</v>
      </c>
      <c r="F267" s="9">
        <f>IFERROR(__xludf.DUMMYFUNCTION("""COMPUTED_VALUE"""),750.0)</f>
        <v>750</v>
      </c>
      <c r="G267" s="9">
        <f>IFERROR(__xludf.DUMMYFUNCTION("""COMPUTED_VALUE"""),3.0)</f>
        <v>3</v>
      </c>
      <c r="H267" s="10">
        <f>IFERROR(__xludf.DUMMYFUNCTION("""COMPUTED_VALUE"""),5.0)</f>
        <v>5</v>
      </c>
      <c r="I267" s="11">
        <f>IFERROR(__xludf.DUMMYFUNCTION("""COMPUTED_VALUE"""),367.0)</f>
        <v>367</v>
      </c>
      <c r="J267" s="9" t="str">
        <f>IFERROR(__xludf.DUMMYFUNCTION("""COMPUTED_VALUE"""),"France")</f>
        <v>France</v>
      </c>
      <c r="K267" s="8"/>
      <c r="L267" s="12"/>
      <c r="M267" s="13"/>
      <c r="N267" s="13" t="str">
        <f>IFERROR(__xludf.DUMMYFUNCTION("IF(ISBLANK(M267),"""",M267*GOOGLEFINANCE(""USDGBP""))"),"")</f>
        <v/>
      </c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</row>
    <row r="268">
      <c r="A268" s="8" t="str">
        <f>IFERROR(__xludf.DUMMYFUNCTION("""COMPUTED_VALUE"""),"110388720130600750")</f>
        <v>110388720130600750</v>
      </c>
      <c r="B268" s="9" t="str">
        <f>IFERROR(__xludf.DUMMYFUNCTION("""COMPUTED_VALUE"""),"Italy")</f>
        <v>Italy</v>
      </c>
      <c r="C268" s="9" t="str">
        <f>IFERROR(__xludf.DUMMYFUNCTION("""COMPUTED_VALUE"""),"tuscany")</f>
        <v>tuscany</v>
      </c>
      <c r="D268" s="9" t="str">
        <f>IFERROR(__xludf.DUMMYFUNCTION("""COMPUTED_VALUE"""),"Rampolla, Sammarco, IGT")</f>
        <v>Rampolla, Sammarco, IGT</v>
      </c>
      <c r="E268" s="9">
        <f>IFERROR(__xludf.DUMMYFUNCTION("""COMPUTED_VALUE"""),2013.0)</f>
        <v>2013</v>
      </c>
      <c r="F268" s="9">
        <f>IFERROR(__xludf.DUMMYFUNCTION("""COMPUTED_VALUE"""),750.0)</f>
        <v>750</v>
      </c>
      <c r="G268" s="9">
        <f>IFERROR(__xludf.DUMMYFUNCTION("""COMPUTED_VALUE"""),6.0)</f>
        <v>6</v>
      </c>
      <c r="H268" s="10">
        <f>IFERROR(__xludf.DUMMYFUNCTION("""COMPUTED_VALUE"""),1.0)</f>
        <v>1</v>
      </c>
      <c r="I268" s="11">
        <f>IFERROR(__xludf.DUMMYFUNCTION("""COMPUTED_VALUE"""),325.0)</f>
        <v>325</v>
      </c>
      <c r="J268" s="9" t="str">
        <f>IFERROR(__xludf.DUMMYFUNCTION("""COMPUTED_VALUE"""),"France")</f>
        <v>France</v>
      </c>
      <c r="K268" s="8"/>
      <c r="L268" s="12"/>
      <c r="M268" s="13"/>
      <c r="N268" s="13" t="str">
        <f>IFERROR(__xludf.DUMMYFUNCTION("IF(ISBLANK(M268),"""",M268*GOOGLEFINANCE(""USDGBP""))"),"")</f>
        <v/>
      </c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</row>
    <row r="269">
      <c r="A269" s="8" t="str">
        <f>IFERROR(__xludf.DUMMYFUNCTION("""COMPUTED_VALUE"""),"110582320210300750")</f>
        <v>110582320210300750</v>
      </c>
      <c r="B269" s="9" t="str">
        <f>IFERROR(__xludf.DUMMYFUNCTION("""COMPUTED_VALUE"""),"Italy")</f>
        <v>Italy</v>
      </c>
      <c r="C269" s="9" t="str">
        <f>IFERROR(__xludf.DUMMYFUNCTION("""COMPUTED_VALUE"""),"tuscany")</f>
        <v>tuscany</v>
      </c>
      <c r="D269" s="9" t="str">
        <f>IFERROR(__xludf.DUMMYFUNCTION("""COMPUTED_VALUE"""),"Tua Rita, Redigaffi, Toscana")</f>
        <v>Tua Rita, Redigaffi, Toscana</v>
      </c>
      <c r="E269" s="9">
        <f>IFERROR(__xludf.DUMMYFUNCTION("""COMPUTED_VALUE"""),2021.0)</f>
        <v>2021</v>
      </c>
      <c r="F269" s="9">
        <f>IFERROR(__xludf.DUMMYFUNCTION("""COMPUTED_VALUE"""),750.0)</f>
        <v>750</v>
      </c>
      <c r="G269" s="9">
        <f>IFERROR(__xludf.DUMMYFUNCTION("""COMPUTED_VALUE"""),3.0)</f>
        <v>3</v>
      </c>
      <c r="H269" s="10">
        <f>IFERROR(__xludf.DUMMYFUNCTION("""COMPUTED_VALUE"""),7.0)</f>
        <v>7</v>
      </c>
      <c r="I269" s="11">
        <f>IFERROR(__xludf.DUMMYFUNCTION("""COMPUTED_VALUE"""),531.0)</f>
        <v>531</v>
      </c>
      <c r="J269" s="9" t="str">
        <f>IFERROR(__xludf.DUMMYFUNCTION("""COMPUTED_VALUE"""),"France")</f>
        <v>France</v>
      </c>
      <c r="K269" s="8"/>
      <c r="L269" s="12"/>
      <c r="M269" s="13"/>
      <c r="N269" s="13" t="str">
        <f>IFERROR(__xludf.DUMMYFUNCTION("IF(ISBLANK(M269),"""",M269*GOOGLEFINANCE(""USDGBP""))"),"")</f>
        <v/>
      </c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</row>
    <row r="270">
      <c r="A270" s="8" t="str">
        <f>IFERROR(__xludf.DUMMYFUNCTION("""COMPUTED_VALUE"""),"110594020160600750")</f>
        <v>110594020160600750</v>
      </c>
      <c r="B270" s="9" t="str">
        <f>IFERROR(__xludf.DUMMYFUNCTION("""COMPUTED_VALUE"""),"Italy")</f>
        <v>Italy</v>
      </c>
      <c r="C270" s="9" t="str">
        <f>IFERROR(__xludf.DUMMYFUNCTION("""COMPUTED_VALUE"""),"tuscany")</f>
        <v>tuscany</v>
      </c>
      <c r="D270" s="9" t="str">
        <f>IFERROR(__xludf.DUMMYFUNCTION("""COMPUTED_VALUE"""),"Valdicava, Brunello di Montalcino")</f>
        <v>Valdicava, Brunello di Montalcino</v>
      </c>
      <c r="E270" s="9">
        <f>IFERROR(__xludf.DUMMYFUNCTION("""COMPUTED_VALUE"""),2016.0)</f>
        <v>2016</v>
      </c>
      <c r="F270" s="9">
        <f>IFERROR(__xludf.DUMMYFUNCTION("""COMPUTED_VALUE"""),750.0)</f>
        <v>750</v>
      </c>
      <c r="G270" s="9">
        <f>IFERROR(__xludf.DUMMYFUNCTION("""COMPUTED_VALUE"""),6.0)</f>
        <v>6</v>
      </c>
      <c r="H270" s="10">
        <f>IFERROR(__xludf.DUMMYFUNCTION("""COMPUTED_VALUE"""),3.0)</f>
        <v>3</v>
      </c>
      <c r="I270" s="11">
        <f>IFERROR(__xludf.DUMMYFUNCTION("""COMPUTED_VALUE"""),493.0)</f>
        <v>493</v>
      </c>
      <c r="J270" s="9" t="str">
        <f>IFERROR(__xludf.DUMMYFUNCTION("""COMPUTED_VALUE"""),"France")</f>
        <v>France</v>
      </c>
      <c r="K270" s="8"/>
      <c r="L270" s="12"/>
      <c r="M270" s="13"/>
      <c r="N270" s="13" t="str">
        <f>IFERROR(__xludf.DUMMYFUNCTION("IF(ISBLANK(M270),"""",M270*GOOGLEFINANCE(""USDGBP""))"),"")</f>
        <v/>
      </c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</row>
    <row r="271">
      <c r="A271" s="8" t="str">
        <f>IFERROR(__xludf.DUMMYFUNCTION("""COMPUTED_VALUE"""),"110594020170600750")</f>
        <v>110594020170600750</v>
      </c>
      <c r="B271" s="9" t="str">
        <f>IFERROR(__xludf.DUMMYFUNCTION("""COMPUTED_VALUE"""),"Italy")</f>
        <v>Italy</v>
      </c>
      <c r="C271" s="9" t="str">
        <f>IFERROR(__xludf.DUMMYFUNCTION("""COMPUTED_VALUE"""),"tuscany")</f>
        <v>tuscany</v>
      </c>
      <c r="D271" s="9" t="str">
        <f>IFERROR(__xludf.DUMMYFUNCTION("""COMPUTED_VALUE"""),"Valdicava, Brunello di Montalcino")</f>
        <v>Valdicava, Brunello di Montalcino</v>
      </c>
      <c r="E271" s="9">
        <f>IFERROR(__xludf.DUMMYFUNCTION("""COMPUTED_VALUE"""),2017.0)</f>
        <v>2017</v>
      </c>
      <c r="F271" s="9">
        <f>IFERROR(__xludf.DUMMYFUNCTION("""COMPUTED_VALUE"""),750.0)</f>
        <v>750</v>
      </c>
      <c r="G271" s="9">
        <f>IFERROR(__xludf.DUMMYFUNCTION("""COMPUTED_VALUE"""),6.0)</f>
        <v>6</v>
      </c>
      <c r="H271" s="10">
        <f>IFERROR(__xludf.DUMMYFUNCTION("""COMPUTED_VALUE"""),2.0)</f>
        <v>2</v>
      </c>
      <c r="I271" s="11">
        <f>IFERROR(__xludf.DUMMYFUNCTION("""COMPUTED_VALUE"""),381.0)</f>
        <v>381</v>
      </c>
      <c r="J271" s="9" t="str">
        <f>IFERROR(__xludf.DUMMYFUNCTION("""COMPUTED_VALUE"""),"France")</f>
        <v>France</v>
      </c>
      <c r="K271" s="8"/>
      <c r="L271" s="12"/>
      <c r="M271" s="13"/>
      <c r="N271" s="13" t="str">
        <f>IFERROR(__xludf.DUMMYFUNCTION("IF(ISBLANK(M271),"""",M271*GOOGLEFINANCE(""USDGBP""))"),"")</f>
        <v/>
      </c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</row>
    <row r="272">
      <c r="A272" s="8" t="str">
        <f>IFERROR(__xludf.DUMMYFUNCTION("""COMPUTED_VALUE"""),"110596620160600750")</f>
        <v>110596620160600750</v>
      </c>
      <c r="B272" s="9" t="str">
        <f>IFERROR(__xludf.DUMMYFUNCTION("""COMPUTED_VALUE"""),"Italy")</f>
        <v>Italy</v>
      </c>
      <c r="C272" s="9" t="str">
        <f>IFERROR(__xludf.DUMMYFUNCTION("""COMPUTED_VALUE"""),"tuscany")</f>
        <v>tuscany</v>
      </c>
      <c r="D272" s="9" t="str">
        <f>IFERROR(__xludf.DUMMYFUNCTION("""COMPUTED_VALUE"""),"Valdicava, Brunello di Montalcino, Riserva Madonna Piano")</f>
        <v>Valdicava, Brunello di Montalcino, Riserva Madonna Piano</v>
      </c>
      <c r="E272" s="9">
        <f>IFERROR(__xludf.DUMMYFUNCTION("""COMPUTED_VALUE"""),2016.0)</f>
        <v>2016</v>
      </c>
      <c r="F272" s="9">
        <f>IFERROR(__xludf.DUMMYFUNCTION("""COMPUTED_VALUE"""),750.0)</f>
        <v>750</v>
      </c>
      <c r="G272" s="9">
        <f>IFERROR(__xludf.DUMMYFUNCTION("""COMPUTED_VALUE"""),6.0)</f>
        <v>6</v>
      </c>
      <c r="H272" s="10">
        <f>IFERROR(__xludf.DUMMYFUNCTION("""COMPUTED_VALUE"""),2.0)</f>
        <v>2</v>
      </c>
      <c r="I272" s="11">
        <f>IFERROR(__xludf.DUMMYFUNCTION("""COMPUTED_VALUE"""),1034.0)</f>
        <v>1034</v>
      </c>
      <c r="J272" s="9" t="str">
        <f>IFERROR(__xludf.DUMMYFUNCTION("""COMPUTED_VALUE"""),"France")</f>
        <v>France</v>
      </c>
      <c r="K272" s="8"/>
      <c r="L272" s="12"/>
      <c r="M272" s="13"/>
      <c r="N272" s="13" t="str">
        <f>IFERROR(__xludf.DUMMYFUNCTION("IF(ISBLANK(M272),"""",M272*GOOGLEFINANCE(""USDGBP""))"),"")</f>
        <v/>
      </c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</row>
    <row r="273">
      <c r="A273" s="8" t="str">
        <f>IFERROR(__xludf.DUMMYFUNCTION("""COMPUTED_VALUE"""),"109875420120600750")</f>
        <v>109875420120600750</v>
      </c>
      <c r="B273" s="9" t="str">
        <f>IFERROR(__xludf.DUMMYFUNCTION("""COMPUTED_VALUE"""),"Italy")</f>
        <v>Italy</v>
      </c>
      <c r="C273" s="9" t="str">
        <f>IFERROR(__xludf.DUMMYFUNCTION("""COMPUTED_VALUE"""),"veneto")</f>
        <v>veneto</v>
      </c>
      <c r="D273" s="9" t="str">
        <f>IFERROR(__xludf.DUMMYFUNCTION("""COMPUTED_VALUE"""),"Dal Forno Romano, Amarone della Valpolicella, Monte Lodoletta")</f>
        <v>Dal Forno Romano, Amarone della Valpolicella, Monte Lodoletta</v>
      </c>
      <c r="E273" s="9">
        <f>IFERROR(__xludf.DUMMYFUNCTION("""COMPUTED_VALUE"""),2012.0)</f>
        <v>2012</v>
      </c>
      <c r="F273" s="9">
        <f>IFERROR(__xludf.DUMMYFUNCTION("""COMPUTED_VALUE"""),750.0)</f>
        <v>750</v>
      </c>
      <c r="G273" s="9">
        <f>IFERROR(__xludf.DUMMYFUNCTION("""COMPUTED_VALUE"""),6.0)</f>
        <v>6</v>
      </c>
      <c r="H273" s="10">
        <f>IFERROR(__xludf.DUMMYFUNCTION("""COMPUTED_VALUE"""),2.0)</f>
        <v>2</v>
      </c>
      <c r="I273" s="11">
        <f>IFERROR(__xludf.DUMMYFUNCTION("""COMPUTED_VALUE"""),1409.0)</f>
        <v>1409</v>
      </c>
      <c r="J273" s="9" t="str">
        <f>IFERROR(__xludf.DUMMYFUNCTION("""COMPUTED_VALUE"""),"France")</f>
        <v>France</v>
      </c>
      <c r="K273" s="8"/>
      <c r="L273" s="12"/>
      <c r="M273" s="13"/>
      <c r="N273" s="13" t="str">
        <f>IFERROR(__xludf.DUMMYFUNCTION("IF(ISBLANK(M273),"""",M273*GOOGLEFINANCE(""USDGBP""))"),"")</f>
        <v/>
      </c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</row>
    <row r="274">
      <c r="A274" s="8" t="str">
        <f>IFERROR(__xludf.DUMMYFUNCTION("""COMPUTED_VALUE"""),"108321720160600750")</f>
        <v>108321720160600750</v>
      </c>
      <c r="B274" s="9" t="str">
        <f>IFERROR(__xludf.DUMMYFUNCTION("""COMPUTED_VALUE"""),"Chile")</f>
        <v>Chile</v>
      </c>
      <c r="C274" s="9" t="str">
        <f>IFERROR(__xludf.DUMMYFUNCTION("""COMPUTED_VALUE"""),"aconcagua")</f>
        <v>aconcagua</v>
      </c>
      <c r="D274" s="9" t="str">
        <f>IFERROR(__xludf.DUMMYFUNCTION("""COMPUTED_VALUE"""),"Sena, Aconcagua Valley")</f>
        <v>Sena, Aconcagua Valley</v>
      </c>
      <c r="E274" s="9">
        <f>IFERROR(__xludf.DUMMYFUNCTION("""COMPUTED_VALUE"""),2016.0)</f>
        <v>2016</v>
      </c>
      <c r="F274" s="9">
        <f>IFERROR(__xludf.DUMMYFUNCTION("""COMPUTED_VALUE"""),750.0)</f>
        <v>750</v>
      </c>
      <c r="G274" s="9">
        <f>IFERROR(__xludf.DUMMYFUNCTION("""COMPUTED_VALUE"""),6.0)</f>
        <v>6</v>
      </c>
      <c r="H274" s="10">
        <f>IFERROR(__xludf.DUMMYFUNCTION("""COMPUTED_VALUE"""),7.0)</f>
        <v>7</v>
      </c>
      <c r="I274" s="11">
        <f>IFERROR(__xludf.DUMMYFUNCTION("""COMPUTED_VALUE"""),470.0)</f>
        <v>470</v>
      </c>
      <c r="J274" s="9" t="str">
        <f>IFERROR(__xludf.DUMMYFUNCTION("""COMPUTED_VALUE"""),"Multiple Stock Locations")</f>
        <v>Multiple Stock Locations</v>
      </c>
      <c r="K274" s="8"/>
      <c r="L274" s="12"/>
      <c r="M274" s="13"/>
      <c r="N274" s="13" t="str">
        <f>IFERROR(__xludf.DUMMYFUNCTION("IF(ISBLANK(M274),"""",M274*GOOGLEFINANCE(""USDGBP""))"),"")</f>
        <v/>
      </c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</row>
    <row r="275">
      <c r="A275" s="8" t="str">
        <f>IFERROR(__xludf.DUMMYFUNCTION("""COMPUTED_VALUE"""),"108321720170600750")</f>
        <v>108321720170600750</v>
      </c>
      <c r="B275" s="9" t="str">
        <f>IFERROR(__xludf.DUMMYFUNCTION("""COMPUTED_VALUE"""),"Chile")</f>
        <v>Chile</v>
      </c>
      <c r="C275" s="9" t="str">
        <f>IFERROR(__xludf.DUMMYFUNCTION("""COMPUTED_VALUE"""),"aconcagua")</f>
        <v>aconcagua</v>
      </c>
      <c r="D275" s="9" t="str">
        <f>IFERROR(__xludf.DUMMYFUNCTION("""COMPUTED_VALUE"""),"Sena, Aconcagua Valley")</f>
        <v>Sena, Aconcagua Valley</v>
      </c>
      <c r="E275" s="9">
        <f>IFERROR(__xludf.DUMMYFUNCTION("""COMPUTED_VALUE"""),2017.0)</f>
        <v>2017</v>
      </c>
      <c r="F275" s="9">
        <f>IFERROR(__xludf.DUMMYFUNCTION("""COMPUTED_VALUE"""),750.0)</f>
        <v>750</v>
      </c>
      <c r="G275" s="9">
        <f>IFERROR(__xludf.DUMMYFUNCTION("""COMPUTED_VALUE"""),6.0)</f>
        <v>6</v>
      </c>
      <c r="H275" s="10">
        <f>IFERROR(__xludf.DUMMYFUNCTION("""COMPUTED_VALUE"""),42.0)</f>
        <v>42</v>
      </c>
      <c r="I275" s="11">
        <f>IFERROR(__xludf.DUMMYFUNCTION("""COMPUTED_VALUE"""),453.0)</f>
        <v>453</v>
      </c>
      <c r="J275" s="9" t="str">
        <f>IFERROR(__xludf.DUMMYFUNCTION("""COMPUTED_VALUE"""),"Multiple Stock Locations")</f>
        <v>Multiple Stock Locations</v>
      </c>
      <c r="K275" s="8"/>
      <c r="L275" s="12"/>
      <c r="M275" s="13"/>
      <c r="N275" s="13" t="str">
        <f>IFERROR(__xludf.DUMMYFUNCTION("IF(ISBLANK(M275),"""",M275*GOOGLEFINANCE(""USDGBP""))"),"")</f>
        <v/>
      </c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</row>
    <row r="276">
      <c r="A276" s="8" t="str">
        <f>IFERROR(__xludf.DUMMYFUNCTION("""COMPUTED_VALUE"""),"108321720190600750")</f>
        <v>108321720190600750</v>
      </c>
      <c r="B276" s="9" t="str">
        <f>IFERROR(__xludf.DUMMYFUNCTION("""COMPUTED_VALUE"""),"Chile")</f>
        <v>Chile</v>
      </c>
      <c r="C276" s="9" t="str">
        <f>IFERROR(__xludf.DUMMYFUNCTION("""COMPUTED_VALUE"""),"aconcagua")</f>
        <v>aconcagua</v>
      </c>
      <c r="D276" s="9" t="str">
        <f>IFERROR(__xludf.DUMMYFUNCTION("""COMPUTED_VALUE"""),"Sena, Aconcagua Valley")</f>
        <v>Sena, Aconcagua Valley</v>
      </c>
      <c r="E276" s="9">
        <f>IFERROR(__xludf.DUMMYFUNCTION("""COMPUTED_VALUE"""),2019.0)</f>
        <v>2019</v>
      </c>
      <c r="F276" s="9">
        <f>IFERROR(__xludf.DUMMYFUNCTION("""COMPUTED_VALUE"""),750.0)</f>
        <v>750</v>
      </c>
      <c r="G276" s="9">
        <f>IFERROR(__xludf.DUMMYFUNCTION("""COMPUTED_VALUE"""),6.0)</f>
        <v>6</v>
      </c>
      <c r="H276" s="10">
        <f>IFERROR(__xludf.DUMMYFUNCTION("""COMPUTED_VALUE"""),29.0)</f>
        <v>29</v>
      </c>
      <c r="I276" s="11">
        <f>IFERROR(__xludf.DUMMYFUNCTION("""COMPUTED_VALUE"""),461.0)</f>
        <v>461</v>
      </c>
      <c r="J276" s="9" t="str">
        <f>IFERROR(__xludf.DUMMYFUNCTION("""COMPUTED_VALUE"""),"Multiple Stock Locations")</f>
        <v>Multiple Stock Locations</v>
      </c>
      <c r="K276" s="8"/>
      <c r="L276" s="12"/>
      <c r="M276" s="13"/>
      <c r="N276" s="13" t="str">
        <f>IFERROR(__xludf.DUMMYFUNCTION("IF(ISBLANK(M276),"""",M276*GOOGLEFINANCE(""USDGBP""))"),"")</f>
        <v/>
      </c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</row>
    <row r="277">
      <c r="A277" s="8" t="str">
        <f>IFERROR(__xludf.DUMMYFUNCTION("""COMPUTED_VALUE"""),"100598920200600750")</f>
        <v>100598920200600750</v>
      </c>
      <c r="B277" s="9" t="str">
        <f>IFERROR(__xludf.DUMMYFUNCTION("""COMPUTED_VALUE"""),"France")</f>
        <v>France</v>
      </c>
      <c r="C277" s="9" t="str">
        <f>IFERROR(__xludf.DUMMYFUNCTION("""COMPUTED_VALUE"""),"bordeaux")</f>
        <v>bordeaux</v>
      </c>
      <c r="D277" s="9" t="str">
        <f>IFERROR(__xludf.DUMMYFUNCTION("""COMPUTED_VALUE"""),"Alter Ego, Margaux")</f>
        <v>Alter Ego, Margaux</v>
      </c>
      <c r="E277" s="9">
        <f>IFERROR(__xludf.DUMMYFUNCTION("""COMPUTED_VALUE"""),2020.0)</f>
        <v>2020</v>
      </c>
      <c r="F277" s="9">
        <f>IFERROR(__xludf.DUMMYFUNCTION("""COMPUTED_VALUE"""),750.0)</f>
        <v>750</v>
      </c>
      <c r="G277" s="9">
        <f>IFERROR(__xludf.DUMMYFUNCTION("""COMPUTED_VALUE"""),6.0)</f>
        <v>6</v>
      </c>
      <c r="H277" s="10">
        <f>IFERROR(__xludf.DUMMYFUNCTION("""COMPUTED_VALUE"""),4.0)</f>
        <v>4</v>
      </c>
      <c r="I277" s="11">
        <f>IFERROR(__xludf.DUMMYFUNCTION("""COMPUTED_VALUE"""),331.0)</f>
        <v>331</v>
      </c>
      <c r="J277" s="9" t="str">
        <f>IFERROR(__xludf.DUMMYFUNCTION("""COMPUTED_VALUE"""),"Multiple Stock Locations")</f>
        <v>Multiple Stock Locations</v>
      </c>
      <c r="K277" s="8"/>
      <c r="L277" s="12"/>
      <c r="M277" s="13"/>
      <c r="N277" s="13" t="str">
        <f>IFERROR(__xludf.DUMMYFUNCTION("IF(ISBLANK(M277),"""",M277*GOOGLEFINANCE(""USDGBP""))"),"")</f>
        <v/>
      </c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</row>
    <row r="278">
      <c r="A278" s="8" t="str">
        <f>IFERROR(__xludf.DUMMYFUNCTION("""COMPUTED_VALUE"""),"100784020150600750")</f>
        <v>100784020150600750</v>
      </c>
      <c r="B278" s="9" t="str">
        <f>IFERROR(__xludf.DUMMYFUNCTION("""COMPUTED_VALUE"""),"France")</f>
        <v>France</v>
      </c>
      <c r="C278" s="9" t="str">
        <f>IFERROR(__xludf.DUMMYFUNCTION("""COMPUTED_VALUE"""),"bordeaux")</f>
        <v>bordeaux</v>
      </c>
      <c r="D278" s="9" t="str">
        <f>IFERROR(__xludf.DUMMYFUNCTION("""COMPUTED_VALUE"""),"Carruades de Lafite, Pauillac")</f>
        <v>Carruades de Lafite, Pauillac</v>
      </c>
      <c r="E278" s="9">
        <f>IFERROR(__xludf.DUMMYFUNCTION("""COMPUTED_VALUE"""),2015.0)</f>
        <v>2015</v>
      </c>
      <c r="F278" s="9">
        <f>IFERROR(__xludf.DUMMYFUNCTION("""COMPUTED_VALUE"""),750.0)</f>
        <v>750</v>
      </c>
      <c r="G278" s="9">
        <f>IFERROR(__xludf.DUMMYFUNCTION("""COMPUTED_VALUE"""),6.0)</f>
        <v>6</v>
      </c>
      <c r="H278" s="10">
        <f>IFERROR(__xludf.DUMMYFUNCTION("""COMPUTED_VALUE"""),4.0)</f>
        <v>4</v>
      </c>
      <c r="I278" s="11">
        <f>IFERROR(__xludf.DUMMYFUNCTION("""COMPUTED_VALUE"""),1535.0)</f>
        <v>1535</v>
      </c>
      <c r="J278" s="9" t="str">
        <f>IFERROR(__xludf.DUMMYFUNCTION("""COMPUTED_VALUE"""),"Multiple Stock Locations")</f>
        <v>Multiple Stock Locations</v>
      </c>
      <c r="K278" s="8"/>
      <c r="L278" s="12"/>
      <c r="M278" s="13"/>
      <c r="N278" s="13" t="str">
        <f>IFERROR(__xludf.DUMMYFUNCTION("IF(ISBLANK(M278),"""",M278*GOOGLEFINANCE(""USDGBP""))"),"")</f>
        <v/>
      </c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</row>
    <row r="279">
      <c r="A279" s="8" t="str">
        <f>IFERROR(__xludf.DUMMYFUNCTION("""COMPUTED_VALUE"""),"100784020190600750")</f>
        <v>100784020190600750</v>
      </c>
      <c r="B279" s="9" t="str">
        <f>IFERROR(__xludf.DUMMYFUNCTION("""COMPUTED_VALUE"""),"France")</f>
        <v>France</v>
      </c>
      <c r="C279" s="9" t="str">
        <f>IFERROR(__xludf.DUMMYFUNCTION("""COMPUTED_VALUE"""),"bordeaux")</f>
        <v>bordeaux</v>
      </c>
      <c r="D279" s="9" t="str">
        <f>IFERROR(__xludf.DUMMYFUNCTION("""COMPUTED_VALUE"""),"Carruades de Lafite, Pauillac")</f>
        <v>Carruades de Lafite, Pauillac</v>
      </c>
      <c r="E279" s="9">
        <f>IFERROR(__xludf.DUMMYFUNCTION("""COMPUTED_VALUE"""),2019.0)</f>
        <v>2019</v>
      </c>
      <c r="F279" s="9">
        <f>IFERROR(__xludf.DUMMYFUNCTION("""COMPUTED_VALUE"""),750.0)</f>
        <v>750</v>
      </c>
      <c r="G279" s="9">
        <f>IFERROR(__xludf.DUMMYFUNCTION("""COMPUTED_VALUE"""),6.0)</f>
        <v>6</v>
      </c>
      <c r="H279" s="10">
        <f>IFERROR(__xludf.DUMMYFUNCTION("""COMPUTED_VALUE"""),1.0)</f>
        <v>1</v>
      </c>
      <c r="I279" s="11">
        <f>IFERROR(__xludf.DUMMYFUNCTION("""COMPUTED_VALUE"""),1321.0)</f>
        <v>1321</v>
      </c>
      <c r="J279" s="9" t="str">
        <f>IFERROR(__xludf.DUMMYFUNCTION("""COMPUTED_VALUE"""),"Multiple Stock Locations")</f>
        <v>Multiple Stock Locations</v>
      </c>
      <c r="K279" s="8"/>
      <c r="L279" s="12"/>
      <c r="M279" s="13"/>
      <c r="N279" s="13" t="str">
        <f>IFERROR(__xludf.DUMMYFUNCTION("IF(ISBLANK(M279),"""",M279*GOOGLEFINANCE(""USDGBP""))"),"")</f>
        <v/>
      </c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</row>
    <row r="280">
      <c r="A280" s="8" t="str">
        <f>IFERROR(__xludf.DUMMYFUNCTION("""COMPUTED_VALUE"""),"100784020200600750")</f>
        <v>100784020200600750</v>
      </c>
      <c r="B280" s="9" t="str">
        <f>IFERROR(__xludf.DUMMYFUNCTION("""COMPUTED_VALUE"""),"France")</f>
        <v>France</v>
      </c>
      <c r="C280" s="9" t="str">
        <f>IFERROR(__xludf.DUMMYFUNCTION("""COMPUTED_VALUE"""),"bordeaux")</f>
        <v>bordeaux</v>
      </c>
      <c r="D280" s="9" t="str">
        <f>IFERROR(__xludf.DUMMYFUNCTION("""COMPUTED_VALUE"""),"Carruades de Lafite, Pauillac")</f>
        <v>Carruades de Lafite, Pauillac</v>
      </c>
      <c r="E280" s="9">
        <f>IFERROR(__xludf.DUMMYFUNCTION("""COMPUTED_VALUE"""),2020.0)</f>
        <v>2020</v>
      </c>
      <c r="F280" s="9">
        <f>IFERROR(__xludf.DUMMYFUNCTION("""COMPUTED_VALUE"""),750.0)</f>
        <v>750</v>
      </c>
      <c r="G280" s="9">
        <f>IFERROR(__xludf.DUMMYFUNCTION("""COMPUTED_VALUE"""),6.0)</f>
        <v>6</v>
      </c>
      <c r="H280" s="10">
        <f>IFERROR(__xludf.DUMMYFUNCTION("""COMPUTED_VALUE"""),1.0)</f>
        <v>1</v>
      </c>
      <c r="I280" s="11">
        <f>IFERROR(__xludf.DUMMYFUNCTION("""COMPUTED_VALUE"""),1307.0)</f>
        <v>1307</v>
      </c>
      <c r="J280" s="9" t="str">
        <f>IFERROR(__xludf.DUMMYFUNCTION("""COMPUTED_VALUE"""),"Multiple Stock Locations")</f>
        <v>Multiple Stock Locations</v>
      </c>
      <c r="K280" s="8"/>
      <c r="L280" s="12"/>
      <c r="M280" s="13"/>
      <c r="N280" s="13" t="str">
        <f>IFERROR(__xludf.DUMMYFUNCTION("IF(ISBLANK(M280),"""",M280*GOOGLEFINANCE(""USDGBP""))"),"")</f>
        <v/>
      </c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</row>
    <row r="281">
      <c r="A281" s="8" t="str">
        <f>IFERROR(__xludf.DUMMYFUNCTION("""COMPUTED_VALUE"""),"100784020210600750")</f>
        <v>100784020210600750</v>
      </c>
      <c r="B281" s="9" t="str">
        <f>IFERROR(__xludf.DUMMYFUNCTION("""COMPUTED_VALUE"""),"France")</f>
        <v>France</v>
      </c>
      <c r="C281" s="9" t="str">
        <f>IFERROR(__xludf.DUMMYFUNCTION("""COMPUTED_VALUE"""),"bordeaux")</f>
        <v>bordeaux</v>
      </c>
      <c r="D281" s="9" t="str">
        <f>IFERROR(__xludf.DUMMYFUNCTION("""COMPUTED_VALUE"""),"Carruades de Lafite, Pauillac")</f>
        <v>Carruades de Lafite, Pauillac</v>
      </c>
      <c r="E281" s="9">
        <f>IFERROR(__xludf.DUMMYFUNCTION("""COMPUTED_VALUE"""),2021.0)</f>
        <v>2021</v>
      </c>
      <c r="F281" s="9">
        <f>IFERROR(__xludf.DUMMYFUNCTION("""COMPUTED_VALUE"""),750.0)</f>
        <v>750</v>
      </c>
      <c r="G281" s="9">
        <f>IFERROR(__xludf.DUMMYFUNCTION("""COMPUTED_VALUE"""),6.0)</f>
        <v>6</v>
      </c>
      <c r="H281" s="10">
        <f>IFERROR(__xludf.DUMMYFUNCTION("""COMPUTED_VALUE"""),4.0)</f>
        <v>4</v>
      </c>
      <c r="I281" s="11">
        <f>IFERROR(__xludf.DUMMYFUNCTION("""COMPUTED_VALUE"""),1257.0)</f>
        <v>1257</v>
      </c>
      <c r="J281" s="9" t="str">
        <f>IFERROR(__xludf.DUMMYFUNCTION("""COMPUTED_VALUE"""),"Multiple Stock Locations")</f>
        <v>Multiple Stock Locations</v>
      </c>
      <c r="K281" s="8"/>
      <c r="L281" s="12"/>
      <c r="M281" s="13"/>
      <c r="N281" s="13" t="str">
        <f>IFERROR(__xludf.DUMMYFUNCTION("IF(ISBLANK(M281),"""",M281*GOOGLEFINANCE(""USDGBP""))"),"")</f>
        <v/>
      </c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</row>
    <row r="282">
      <c r="A282" s="8" t="str">
        <f>IFERROR(__xludf.DUMMYFUNCTION("""COMPUTED_VALUE"""),"100604520200600750")</f>
        <v>100604520200600750</v>
      </c>
      <c r="B282" s="9" t="str">
        <f>IFERROR(__xludf.DUMMYFUNCTION("""COMPUTED_VALUE"""),"France")</f>
        <v>France</v>
      </c>
      <c r="C282" s="9" t="str">
        <f>IFERROR(__xludf.DUMMYFUNCTION("""COMPUTED_VALUE"""),"bordeaux")</f>
        <v>bordeaux</v>
      </c>
      <c r="D282" s="9" t="str">
        <f>IFERROR(__xludf.DUMMYFUNCTION("""COMPUTED_VALUE"""),"Chateau Angelus, Saint-Emilion Grand Cru")</f>
        <v>Chateau Angelus, Saint-Emilion Grand Cru</v>
      </c>
      <c r="E282" s="9">
        <f>IFERROR(__xludf.DUMMYFUNCTION("""COMPUTED_VALUE"""),2020.0)</f>
        <v>2020</v>
      </c>
      <c r="F282" s="9">
        <f>IFERROR(__xludf.DUMMYFUNCTION("""COMPUTED_VALUE"""),750.0)</f>
        <v>750</v>
      </c>
      <c r="G282" s="9">
        <f>IFERROR(__xludf.DUMMYFUNCTION("""COMPUTED_VALUE"""),6.0)</f>
        <v>6</v>
      </c>
      <c r="H282" s="10">
        <f>IFERROR(__xludf.DUMMYFUNCTION("""COMPUTED_VALUE"""),12.0)</f>
        <v>12</v>
      </c>
      <c r="I282" s="11">
        <f>IFERROR(__xludf.DUMMYFUNCTION("""COMPUTED_VALUE"""),1590.0)</f>
        <v>1590</v>
      </c>
      <c r="J282" s="9" t="str">
        <f>IFERROR(__xludf.DUMMYFUNCTION("""COMPUTED_VALUE"""),"Multiple Stock Locations")</f>
        <v>Multiple Stock Locations</v>
      </c>
      <c r="K282" s="8"/>
      <c r="L282" s="12"/>
      <c r="M282" s="13"/>
      <c r="N282" s="13" t="str">
        <f>IFERROR(__xludf.DUMMYFUNCTION("IF(ISBLANK(M282),"""",M282*GOOGLEFINANCE(""USDGBP""))"),"")</f>
        <v/>
      </c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</row>
    <row r="283">
      <c r="A283" s="8" t="str">
        <f>IFERROR(__xludf.DUMMYFUNCTION("""COMPUTED_VALUE"""),"100604520210600750")</f>
        <v>100604520210600750</v>
      </c>
      <c r="B283" s="9" t="str">
        <f>IFERROR(__xludf.DUMMYFUNCTION("""COMPUTED_VALUE"""),"France")</f>
        <v>France</v>
      </c>
      <c r="C283" s="9" t="str">
        <f>IFERROR(__xludf.DUMMYFUNCTION("""COMPUTED_VALUE"""),"bordeaux")</f>
        <v>bordeaux</v>
      </c>
      <c r="D283" s="9" t="str">
        <f>IFERROR(__xludf.DUMMYFUNCTION("""COMPUTED_VALUE"""),"Chateau Angelus, Saint-Emilion Grand Cru")</f>
        <v>Chateau Angelus, Saint-Emilion Grand Cru</v>
      </c>
      <c r="E283" s="9">
        <f>IFERROR(__xludf.DUMMYFUNCTION("""COMPUTED_VALUE"""),2021.0)</f>
        <v>2021</v>
      </c>
      <c r="F283" s="9">
        <f>IFERROR(__xludf.DUMMYFUNCTION("""COMPUTED_VALUE"""),750.0)</f>
        <v>750</v>
      </c>
      <c r="G283" s="9">
        <f>IFERROR(__xludf.DUMMYFUNCTION("""COMPUTED_VALUE"""),6.0)</f>
        <v>6</v>
      </c>
      <c r="H283" s="10">
        <f>IFERROR(__xludf.DUMMYFUNCTION("""COMPUTED_VALUE"""),4.0)</f>
        <v>4</v>
      </c>
      <c r="I283" s="11">
        <f>IFERROR(__xludf.DUMMYFUNCTION("""COMPUTED_VALUE"""),1522.0)</f>
        <v>1522</v>
      </c>
      <c r="J283" s="9" t="str">
        <f>IFERROR(__xludf.DUMMYFUNCTION("""COMPUTED_VALUE"""),"Multiple Stock Locations")</f>
        <v>Multiple Stock Locations</v>
      </c>
      <c r="K283" s="8"/>
      <c r="L283" s="12"/>
      <c r="M283" s="13"/>
      <c r="N283" s="13" t="str">
        <f>IFERROR(__xludf.DUMMYFUNCTION("IF(ISBLANK(M283),"""",M283*GOOGLEFINANCE(""USDGBP""))"),"")</f>
        <v/>
      </c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</row>
    <row r="284">
      <c r="A284" s="8" t="str">
        <f>IFERROR(__xludf.DUMMYFUNCTION("""COMPUTED_VALUE"""),"100620520160300750")</f>
        <v>100620520160300750</v>
      </c>
      <c r="B284" s="9" t="str">
        <f>IFERROR(__xludf.DUMMYFUNCTION("""COMPUTED_VALUE"""),"France")</f>
        <v>France</v>
      </c>
      <c r="C284" s="9" t="str">
        <f>IFERROR(__xludf.DUMMYFUNCTION("""COMPUTED_VALUE"""),"bordeaux")</f>
        <v>bordeaux</v>
      </c>
      <c r="D284" s="9" t="str">
        <f>IFERROR(__xludf.DUMMYFUNCTION("""COMPUTED_VALUE"""),"Chateau Ausone, Saint-Emilion Grand Cru")</f>
        <v>Chateau Ausone, Saint-Emilion Grand Cru</v>
      </c>
      <c r="E284" s="9">
        <f>IFERROR(__xludf.DUMMYFUNCTION("""COMPUTED_VALUE"""),2016.0)</f>
        <v>2016</v>
      </c>
      <c r="F284" s="9">
        <f>IFERROR(__xludf.DUMMYFUNCTION("""COMPUTED_VALUE"""),750.0)</f>
        <v>750</v>
      </c>
      <c r="G284" s="9">
        <f>IFERROR(__xludf.DUMMYFUNCTION("""COMPUTED_VALUE"""),3.0)</f>
        <v>3</v>
      </c>
      <c r="H284" s="10">
        <f>IFERROR(__xludf.DUMMYFUNCTION("""COMPUTED_VALUE"""),8.0)</f>
        <v>8</v>
      </c>
      <c r="I284" s="11">
        <f>IFERROR(__xludf.DUMMYFUNCTION("""COMPUTED_VALUE"""),1721.0)</f>
        <v>1721</v>
      </c>
      <c r="J284" s="9" t="str">
        <f>IFERROR(__xludf.DUMMYFUNCTION("""COMPUTED_VALUE"""),"Multiple Stock Locations")</f>
        <v>Multiple Stock Locations</v>
      </c>
      <c r="K284" s="8"/>
      <c r="L284" s="12"/>
      <c r="M284" s="13"/>
      <c r="N284" s="13" t="str">
        <f>IFERROR(__xludf.DUMMYFUNCTION("IF(ISBLANK(M284),"""",M284*GOOGLEFINANCE(""USDGBP""))"),"")</f>
        <v/>
      </c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</row>
    <row r="285">
      <c r="A285" s="8" t="str">
        <f>IFERROR(__xludf.DUMMYFUNCTION("""COMPUTED_VALUE"""),"100620520190600750")</f>
        <v>100620520190600750</v>
      </c>
      <c r="B285" s="9" t="str">
        <f>IFERROR(__xludf.DUMMYFUNCTION("""COMPUTED_VALUE"""),"France")</f>
        <v>France</v>
      </c>
      <c r="C285" s="9" t="str">
        <f>IFERROR(__xludf.DUMMYFUNCTION("""COMPUTED_VALUE"""),"bordeaux")</f>
        <v>bordeaux</v>
      </c>
      <c r="D285" s="9" t="str">
        <f>IFERROR(__xludf.DUMMYFUNCTION("""COMPUTED_VALUE"""),"Chateau Ausone, Saint-Emilion Grand Cru")</f>
        <v>Chateau Ausone, Saint-Emilion Grand Cru</v>
      </c>
      <c r="E285" s="9">
        <f>IFERROR(__xludf.DUMMYFUNCTION("""COMPUTED_VALUE"""),2019.0)</f>
        <v>2019</v>
      </c>
      <c r="F285" s="9">
        <f>IFERROR(__xludf.DUMMYFUNCTION("""COMPUTED_VALUE"""),750.0)</f>
        <v>750</v>
      </c>
      <c r="G285" s="9">
        <f>IFERROR(__xludf.DUMMYFUNCTION("""COMPUTED_VALUE"""),6.0)</f>
        <v>6</v>
      </c>
      <c r="H285" s="10">
        <f>IFERROR(__xludf.DUMMYFUNCTION("""COMPUTED_VALUE"""),1.0)</f>
        <v>1</v>
      </c>
      <c r="I285" s="11">
        <f>IFERROR(__xludf.DUMMYFUNCTION("""COMPUTED_VALUE"""),3063.0)</f>
        <v>3063</v>
      </c>
      <c r="J285" s="9" t="str">
        <f>IFERROR(__xludf.DUMMYFUNCTION("""COMPUTED_VALUE"""),"Multiple Stock Locations")</f>
        <v>Multiple Stock Locations</v>
      </c>
      <c r="K285" s="8"/>
      <c r="L285" s="12"/>
      <c r="M285" s="13"/>
      <c r="N285" s="13" t="str">
        <f>IFERROR(__xludf.DUMMYFUNCTION("IF(ISBLANK(M285),"""",M285*GOOGLEFINANCE(""USDGBP""))"),"")</f>
        <v/>
      </c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</row>
    <row r="286">
      <c r="A286" s="8" t="str">
        <f>IFERROR(__xludf.DUMMYFUNCTION("""COMPUTED_VALUE"""),"100620520200300750")</f>
        <v>100620520200300750</v>
      </c>
      <c r="B286" s="9" t="str">
        <f>IFERROR(__xludf.DUMMYFUNCTION("""COMPUTED_VALUE"""),"France")</f>
        <v>France</v>
      </c>
      <c r="C286" s="9" t="str">
        <f>IFERROR(__xludf.DUMMYFUNCTION("""COMPUTED_VALUE"""),"bordeaux")</f>
        <v>bordeaux</v>
      </c>
      <c r="D286" s="9" t="str">
        <f>IFERROR(__xludf.DUMMYFUNCTION("""COMPUTED_VALUE"""),"Chateau Ausone, Saint-Emilion Grand Cru")</f>
        <v>Chateau Ausone, Saint-Emilion Grand Cru</v>
      </c>
      <c r="E286" s="9">
        <f>IFERROR(__xludf.DUMMYFUNCTION("""COMPUTED_VALUE"""),2020.0)</f>
        <v>2020</v>
      </c>
      <c r="F286" s="9">
        <f>IFERROR(__xludf.DUMMYFUNCTION("""COMPUTED_VALUE"""),750.0)</f>
        <v>750</v>
      </c>
      <c r="G286" s="9">
        <f>IFERROR(__xludf.DUMMYFUNCTION("""COMPUTED_VALUE"""),3.0)</f>
        <v>3</v>
      </c>
      <c r="H286" s="10">
        <f>IFERROR(__xludf.DUMMYFUNCTION("""COMPUTED_VALUE"""),4.0)</f>
        <v>4</v>
      </c>
      <c r="I286" s="11">
        <f>IFERROR(__xludf.DUMMYFUNCTION("""COMPUTED_VALUE"""),1641.0)</f>
        <v>1641</v>
      </c>
      <c r="J286" s="9" t="str">
        <f>IFERROR(__xludf.DUMMYFUNCTION("""COMPUTED_VALUE"""),"Multiple Stock Locations")</f>
        <v>Multiple Stock Locations</v>
      </c>
      <c r="K286" s="8"/>
      <c r="L286" s="12"/>
      <c r="M286" s="13"/>
      <c r="N286" s="13" t="str">
        <f>IFERROR(__xludf.DUMMYFUNCTION("IF(ISBLANK(M286),"""",M286*GOOGLEFINANCE(""USDGBP""))"),"")</f>
        <v/>
      </c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</row>
    <row r="287">
      <c r="A287" s="8" t="str">
        <f>IFERROR(__xludf.DUMMYFUNCTION("""COMPUTED_VALUE"""),"131615320190600750")</f>
        <v>131615320190600750</v>
      </c>
      <c r="B287" s="9" t="str">
        <f>IFERROR(__xludf.DUMMYFUNCTION("""COMPUTED_VALUE"""),"France")</f>
        <v>France</v>
      </c>
      <c r="C287" s="9" t="str">
        <f>IFERROR(__xludf.DUMMYFUNCTION("""COMPUTED_VALUE"""),"bordeaux")</f>
        <v>bordeaux</v>
      </c>
      <c r="D287" s="9" t="str">
        <f>IFERROR(__xludf.DUMMYFUNCTION("""COMPUTED_VALUE"""),"Chateau Beau-Sejour Becot Premier Grand Cru Classe B, Saint-Emilion Grand Cru")</f>
        <v>Chateau Beau-Sejour Becot Premier Grand Cru Classe B, Saint-Emilion Grand Cru</v>
      </c>
      <c r="E287" s="9">
        <f>IFERROR(__xludf.DUMMYFUNCTION("""COMPUTED_VALUE"""),2019.0)</f>
        <v>2019</v>
      </c>
      <c r="F287" s="9">
        <f>IFERROR(__xludf.DUMMYFUNCTION("""COMPUTED_VALUE"""),750.0)</f>
        <v>750</v>
      </c>
      <c r="G287" s="9">
        <f>IFERROR(__xludf.DUMMYFUNCTION("""COMPUTED_VALUE"""),6.0)</f>
        <v>6</v>
      </c>
      <c r="H287" s="10">
        <f>IFERROR(__xludf.DUMMYFUNCTION("""COMPUTED_VALUE"""),22.0)</f>
        <v>22</v>
      </c>
      <c r="I287" s="11">
        <f>IFERROR(__xludf.DUMMYFUNCTION("""COMPUTED_VALUE"""),274.0)</f>
        <v>274</v>
      </c>
      <c r="J287" s="9" t="str">
        <f>IFERROR(__xludf.DUMMYFUNCTION("""COMPUTED_VALUE"""),"Multiple Stock Locations")</f>
        <v>Multiple Stock Locations</v>
      </c>
      <c r="K287" s="8"/>
      <c r="L287" s="12"/>
      <c r="M287" s="13"/>
      <c r="N287" s="13" t="str">
        <f>IFERROR(__xludf.DUMMYFUNCTION("IF(ISBLANK(M287),"""",M287*GOOGLEFINANCE(""USDGBP""))"),"")</f>
        <v/>
      </c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</row>
    <row r="288">
      <c r="A288" s="8" t="str">
        <f>IFERROR(__xludf.DUMMYFUNCTION("""COMPUTED_VALUE"""),"100710120190600750")</f>
        <v>100710120190600750</v>
      </c>
      <c r="B288" s="9" t="str">
        <f>IFERROR(__xludf.DUMMYFUNCTION("""COMPUTED_VALUE"""),"France")</f>
        <v>France</v>
      </c>
      <c r="C288" s="9" t="str">
        <f>IFERROR(__xludf.DUMMYFUNCTION("""COMPUTED_VALUE"""),"bordeaux")</f>
        <v>bordeaux</v>
      </c>
      <c r="D288" s="9" t="str">
        <f>IFERROR(__xludf.DUMMYFUNCTION("""COMPUTED_VALUE"""),"Chateau Beychevelle 4eme Cru Classe, Saint-Julien")</f>
        <v>Chateau Beychevelle 4eme Cru Classe, Saint-Julien</v>
      </c>
      <c r="E288" s="9">
        <f>IFERROR(__xludf.DUMMYFUNCTION("""COMPUTED_VALUE"""),2019.0)</f>
        <v>2019</v>
      </c>
      <c r="F288" s="9">
        <f>IFERROR(__xludf.DUMMYFUNCTION("""COMPUTED_VALUE"""),750.0)</f>
        <v>750</v>
      </c>
      <c r="G288" s="9">
        <f>IFERROR(__xludf.DUMMYFUNCTION("""COMPUTED_VALUE"""),6.0)</f>
        <v>6</v>
      </c>
      <c r="H288" s="10">
        <f>IFERROR(__xludf.DUMMYFUNCTION("""COMPUTED_VALUE"""),3.0)</f>
        <v>3</v>
      </c>
      <c r="I288" s="11">
        <f>IFERROR(__xludf.DUMMYFUNCTION("""COMPUTED_VALUE"""),475.0)</f>
        <v>475</v>
      </c>
      <c r="J288" s="9" t="str">
        <f>IFERROR(__xludf.DUMMYFUNCTION("""COMPUTED_VALUE"""),"Multiple Stock Locations")</f>
        <v>Multiple Stock Locations</v>
      </c>
      <c r="K288" s="8"/>
      <c r="L288" s="12"/>
      <c r="M288" s="13"/>
      <c r="N288" s="13" t="str">
        <f>IFERROR(__xludf.DUMMYFUNCTION("IF(ISBLANK(M288),"""",M288*GOOGLEFINANCE(""USDGBP""))"),"")</f>
        <v/>
      </c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</row>
    <row r="289">
      <c r="A289" s="8" t="str">
        <f>IFERROR(__xludf.DUMMYFUNCTION("""COMPUTED_VALUE"""),"100747520190600750")</f>
        <v>100747520190600750</v>
      </c>
      <c r="B289" s="9" t="str">
        <f>IFERROR(__xludf.DUMMYFUNCTION("""COMPUTED_VALUE"""),"France")</f>
        <v>France</v>
      </c>
      <c r="C289" s="9" t="str">
        <f>IFERROR(__xludf.DUMMYFUNCTION("""COMPUTED_VALUE"""),"bordeaux")</f>
        <v>bordeaux</v>
      </c>
      <c r="D289" s="9" t="str">
        <f>IFERROR(__xludf.DUMMYFUNCTION("""COMPUTED_VALUE"""),"Chateau Calon Segur 3eme Cru Classe, Saint-Estephe")</f>
        <v>Chateau Calon Segur 3eme Cru Classe, Saint-Estephe</v>
      </c>
      <c r="E289" s="9">
        <f>IFERROR(__xludf.DUMMYFUNCTION("""COMPUTED_VALUE"""),2019.0)</f>
        <v>2019</v>
      </c>
      <c r="F289" s="9">
        <f>IFERROR(__xludf.DUMMYFUNCTION("""COMPUTED_VALUE"""),750.0)</f>
        <v>750</v>
      </c>
      <c r="G289" s="9">
        <f>IFERROR(__xludf.DUMMYFUNCTION("""COMPUTED_VALUE"""),6.0)</f>
        <v>6</v>
      </c>
      <c r="H289" s="10">
        <f>IFERROR(__xludf.DUMMYFUNCTION("""COMPUTED_VALUE"""),2.0)</f>
        <v>2</v>
      </c>
      <c r="I289" s="11">
        <f>IFERROR(__xludf.DUMMYFUNCTION("""COMPUTED_VALUE"""),520.0)</f>
        <v>520</v>
      </c>
      <c r="J289" s="9" t="str">
        <f>IFERROR(__xludf.DUMMYFUNCTION("""COMPUTED_VALUE"""),"Multiple Stock Locations")</f>
        <v>Multiple Stock Locations</v>
      </c>
      <c r="K289" s="8"/>
      <c r="L289" s="12"/>
      <c r="M289" s="13"/>
      <c r="N289" s="13" t="str">
        <f>IFERROR(__xludf.DUMMYFUNCTION("IF(ISBLANK(M289),"""",M289*GOOGLEFINANCE(""USDGBP""))"),"")</f>
        <v/>
      </c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</row>
    <row r="290">
      <c r="A290" s="8" t="str">
        <f>IFERROR(__xludf.DUMMYFUNCTION("""COMPUTED_VALUE"""),"100752120170600750")</f>
        <v>100752120170600750</v>
      </c>
      <c r="B290" s="9" t="str">
        <f>IFERROR(__xludf.DUMMYFUNCTION("""COMPUTED_VALUE"""),"France")</f>
        <v>France</v>
      </c>
      <c r="C290" s="9" t="str">
        <f>IFERROR(__xludf.DUMMYFUNCTION("""COMPUTED_VALUE"""),"bordeaux")</f>
        <v>bordeaux</v>
      </c>
      <c r="D290" s="9" t="str">
        <f>IFERROR(__xludf.DUMMYFUNCTION("""COMPUTED_VALUE"""),"Chateau Canon Premier Grand Cru Classe B, Saint-Emilion Grand Cru")</f>
        <v>Chateau Canon Premier Grand Cru Classe B, Saint-Emilion Grand Cru</v>
      </c>
      <c r="E290" s="9">
        <f>IFERROR(__xludf.DUMMYFUNCTION("""COMPUTED_VALUE"""),2017.0)</f>
        <v>2017</v>
      </c>
      <c r="F290" s="9">
        <f>IFERROR(__xludf.DUMMYFUNCTION("""COMPUTED_VALUE"""),750.0)</f>
        <v>750</v>
      </c>
      <c r="G290" s="9">
        <f>IFERROR(__xludf.DUMMYFUNCTION("""COMPUTED_VALUE"""),6.0)</f>
        <v>6</v>
      </c>
      <c r="H290" s="10">
        <f>IFERROR(__xludf.DUMMYFUNCTION("""COMPUTED_VALUE"""),15.0)</f>
        <v>15</v>
      </c>
      <c r="I290" s="11">
        <f>IFERROR(__xludf.DUMMYFUNCTION("""COMPUTED_VALUE"""),353.0)</f>
        <v>353</v>
      </c>
      <c r="J290" s="9" t="str">
        <f>IFERROR(__xludf.DUMMYFUNCTION("""COMPUTED_VALUE"""),"Multiple Stock Locations")</f>
        <v>Multiple Stock Locations</v>
      </c>
      <c r="K290" s="8"/>
      <c r="L290" s="12"/>
      <c r="M290" s="13"/>
      <c r="N290" s="13" t="str">
        <f>IFERROR(__xludf.DUMMYFUNCTION("IF(ISBLANK(M290),"""",M290*GOOGLEFINANCE(""USDGBP""))"),"")</f>
        <v/>
      </c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</row>
    <row r="291">
      <c r="A291" s="8" t="str">
        <f>IFERROR(__xludf.DUMMYFUNCTION("""COMPUTED_VALUE"""),"100752120180600750")</f>
        <v>100752120180600750</v>
      </c>
      <c r="B291" s="9" t="str">
        <f>IFERROR(__xludf.DUMMYFUNCTION("""COMPUTED_VALUE"""),"France")</f>
        <v>France</v>
      </c>
      <c r="C291" s="9" t="str">
        <f>IFERROR(__xludf.DUMMYFUNCTION("""COMPUTED_VALUE"""),"bordeaux")</f>
        <v>bordeaux</v>
      </c>
      <c r="D291" s="9" t="str">
        <f>IFERROR(__xludf.DUMMYFUNCTION("""COMPUTED_VALUE"""),"Chateau Canon Premier Grand Cru Classe B, Saint-Emilion Grand Cru")</f>
        <v>Chateau Canon Premier Grand Cru Classe B, Saint-Emilion Grand Cru</v>
      </c>
      <c r="E291" s="9">
        <f>IFERROR(__xludf.DUMMYFUNCTION("""COMPUTED_VALUE"""),2018.0)</f>
        <v>2018</v>
      </c>
      <c r="F291" s="9">
        <f>IFERROR(__xludf.DUMMYFUNCTION("""COMPUTED_VALUE"""),750.0)</f>
        <v>750</v>
      </c>
      <c r="G291" s="9">
        <f>IFERROR(__xludf.DUMMYFUNCTION("""COMPUTED_VALUE"""),6.0)</f>
        <v>6</v>
      </c>
      <c r="H291" s="10">
        <f>IFERROR(__xludf.DUMMYFUNCTION("""COMPUTED_VALUE"""),5.0)</f>
        <v>5</v>
      </c>
      <c r="I291" s="11">
        <f>IFERROR(__xludf.DUMMYFUNCTION("""COMPUTED_VALUE"""),509.0)</f>
        <v>509</v>
      </c>
      <c r="J291" s="9" t="str">
        <f>IFERROR(__xludf.DUMMYFUNCTION("""COMPUTED_VALUE"""),"Multiple Stock Locations")</f>
        <v>Multiple Stock Locations</v>
      </c>
      <c r="K291" s="8"/>
      <c r="L291" s="12"/>
      <c r="M291" s="13"/>
      <c r="N291" s="13" t="str">
        <f>IFERROR(__xludf.DUMMYFUNCTION("IF(ISBLANK(M291),"""",M291*GOOGLEFINANCE(""USDGBP""))"),"")</f>
        <v/>
      </c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</row>
    <row r="292">
      <c r="A292" s="8" t="str">
        <f>IFERROR(__xludf.DUMMYFUNCTION("""COMPUTED_VALUE"""),"100752120200600750")</f>
        <v>100752120200600750</v>
      </c>
      <c r="B292" s="9" t="str">
        <f>IFERROR(__xludf.DUMMYFUNCTION("""COMPUTED_VALUE"""),"France")</f>
        <v>France</v>
      </c>
      <c r="C292" s="9" t="str">
        <f>IFERROR(__xludf.DUMMYFUNCTION("""COMPUTED_VALUE"""),"bordeaux")</f>
        <v>bordeaux</v>
      </c>
      <c r="D292" s="9" t="str">
        <f>IFERROR(__xludf.DUMMYFUNCTION("""COMPUTED_VALUE"""),"Chateau Canon Premier Grand Cru Classe B, Saint-Emilion Grand Cru")</f>
        <v>Chateau Canon Premier Grand Cru Classe B, Saint-Emilion Grand Cru</v>
      </c>
      <c r="E292" s="9">
        <f>IFERROR(__xludf.DUMMYFUNCTION("""COMPUTED_VALUE"""),2020.0)</f>
        <v>2020</v>
      </c>
      <c r="F292" s="9">
        <f>IFERROR(__xludf.DUMMYFUNCTION("""COMPUTED_VALUE"""),750.0)</f>
        <v>750</v>
      </c>
      <c r="G292" s="9">
        <f>IFERROR(__xludf.DUMMYFUNCTION("""COMPUTED_VALUE"""),6.0)</f>
        <v>6</v>
      </c>
      <c r="H292" s="10">
        <f>IFERROR(__xludf.DUMMYFUNCTION("""COMPUTED_VALUE"""),1.0)</f>
        <v>1</v>
      </c>
      <c r="I292" s="11">
        <f>IFERROR(__xludf.DUMMYFUNCTION("""COMPUTED_VALUE"""),794.0)</f>
        <v>794</v>
      </c>
      <c r="J292" s="9" t="str">
        <f>IFERROR(__xludf.DUMMYFUNCTION("""COMPUTED_VALUE"""),"Multiple Stock Locations")</f>
        <v>Multiple Stock Locations</v>
      </c>
      <c r="K292" s="8"/>
      <c r="L292" s="12"/>
      <c r="M292" s="13"/>
      <c r="N292" s="13" t="str">
        <f>IFERROR(__xludf.DUMMYFUNCTION("IF(ISBLANK(M292),"""",M292*GOOGLEFINANCE(""USDGBP""))"),"")</f>
        <v/>
      </c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</row>
    <row r="293">
      <c r="A293" s="8" t="str">
        <f>IFERROR(__xludf.DUMMYFUNCTION("""COMPUTED_VALUE"""),"100752120210600750")</f>
        <v>100752120210600750</v>
      </c>
      <c r="B293" s="9" t="str">
        <f>IFERROR(__xludf.DUMMYFUNCTION("""COMPUTED_VALUE"""),"France")</f>
        <v>France</v>
      </c>
      <c r="C293" s="9" t="str">
        <f>IFERROR(__xludf.DUMMYFUNCTION("""COMPUTED_VALUE"""),"bordeaux")</f>
        <v>bordeaux</v>
      </c>
      <c r="D293" s="9" t="str">
        <f>IFERROR(__xludf.DUMMYFUNCTION("""COMPUTED_VALUE"""),"Chateau Canon Premier Grand Cru Classe B, Saint-Emilion Grand Cru")</f>
        <v>Chateau Canon Premier Grand Cru Classe B, Saint-Emilion Grand Cru</v>
      </c>
      <c r="E293" s="9">
        <f>IFERROR(__xludf.DUMMYFUNCTION("""COMPUTED_VALUE"""),2021.0)</f>
        <v>2021</v>
      </c>
      <c r="F293" s="9">
        <f>IFERROR(__xludf.DUMMYFUNCTION("""COMPUTED_VALUE"""),750.0)</f>
        <v>750</v>
      </c>
      <c r="G293" s="9">
        <f>IFERROR(__xludf.DUMMYFUNCTION("""COMPUTED_VALUE"""),6.0)</f>
        <v>6</v>
      </c>
      <c r="H293" s="10">
        <f>IFERROR(__xludf.DUMMYFUNCTION("""COMPUTED_VALUE"""),5.0)</f>
        <v>5</v>
      </c>
      <c r="I293" s="11">
        <f>IFERROR(__xludf.DUMMYFUNCTION("""COMPUTED_VALUE"""),514.0)</f>
        <v>514</v>
      </c>
      <c r="J293" s="9" t="str">
        <f>IFERROR(__xludf.DUMMYFUNCTION("""COMPUTED_VALUE"""),"Multiple Stock Locations")</f>
        <v>Multiple Stock Locations</v>
      </c>
      <c r="K293" s="8"/>
      <c r="L293" s="12"/>
      <c r="M293" s="13"/>
      <c r="N293" s="13" t="str">
        <f>IFERROR(__xludf.DUMMYFUNCTION("IF(ISBLANK(M293),"""",M293*GOOGLEFINANCE(""USDGBP""))"),"")</f>
        <v/>
      </c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</row>
    <row r="294">
      <c r="A294" s="8" t="str">
        <f>IFERROR(__xludf.DUMMYFUNCTION("""COMPUTED_VALUE"""),"100810820160600750")</f>
        <v>100810820160600750</v>
      </c>
      <c r="B294" s="9" t="str">
        <f>IFERROR(__xludf.DUMMYFUNCTION("""COMPUTED_VALUE"""),"France")</f>
        <v>France</v>
      </c>
      <c r="C294" s="9" t="str">
        <f>IFERROR(__xludf.DUMMYFUNCTION("""COMPUTED_VALUE"""),"bordeaux")</f>
        <v>bordeaux</v>
      </c>
      <c r="D294" s="9" t="str">
        <f>IFERROR(__xludf.DUMMYFUNCTION("""COMPUTED_VALUE"""),"Chateau Cheval Blanc, Saint-Emilion Grand Cru")</f>
        <v>Chateau Cheval Blanc, Saint-Emilion Grand Cru</v>
      </c>
      <c r="E294" s="9">
        <f>IFERROR(__xludf.DUMMYFUNCTION("""COMPUTED_VALUE"""),2016.0)</f>
        <v>2016</v>
      </c>
      <c r="F294" s="9">
        <f>IFERROR(__xludf.DUMMYFUNCTION("""COMPUTED_VALUE"""),750.0)</f>
        <v>750</v>
      </c>
      <c r="G294" s="9">
        <f>IFERROR(__xludf.DUMMYFUNCTION("""COMPUTED_VALUE"""),6.0)</f>
        <v>6</v>
      </c>
      <c r="H294" s="10">
        <f>IFERROR(__xludf.DUMMYFUNCTION("""COMPUTED_VALUE"""),4.0)</f>
        <v>4</v>
      </c>
      <c r="I294" s="11">
        <f>IFERROR(__xludf.DUMMYFUNCTION("""COMPUTED_VALUE"""),3410.0)</f>
        <v>3410</v>
      </c>
      <c r="J294" s="9" t="str">
        <f>IFERROR(__xludf.DUMMYFUNCTION("""COMPUTED_VALUE"""),"Multiple Stock Locations")</f>
        <v>Multiple Stock Locations</v>
      </c>
      <c r="K294" s="8"/>
      <c r="L294" s="12"/>
      <c r="M294" s="13"/>
      <c r="N294" s="13" t="str">
        <f>IFERROR(__xludf.DUMMYFUNCTION("IF(ISBLANK(M294),"""",M294*GOOGLEFINANCE(""USDGBP""))"),"")</f>
        <v/>
      </c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</row>
    <row r="295">
      <c r="A295" s="8" t="str">
        <f>IFERROR(__xludf.DUMMYFUNCTION("""COMPUTED_VALUE"""),"100810820180100750")</f>
        <v>100810820180100750</v>
      </c>
      <c r="B295" s="9" t="str">
        <f>IFERROR(__xludf.DUMMYFUNCTION("""COMPUTED_VALUE"""),"France")</f>
        <v>France</v>
      </c>
      <c r="C295" s="9" t="str">
        <f>IFERROR(__xludf.DUMMYFUNCTION("""COMPUTED_VALUE"""),"bordeaux")</f>
        <v>bordeaux</v>
      </c>
      <c r="D295" s="9" t="str">
        <f>IFERROR(__xludf.DUMMYFUNCTION("""COMPUTED_VALUE"""),"Chateau Cheval Blanc, Saint-Emilion Grand Cru")</f>
        <v>Chateau Cheval Blanc, Saint-Emilion Grand Cru</v>
      </c>
      <c r="E295" s="9">
        <f>IFERROR(__xludf.DUMMYFUNCTION("""COMPUTED_VALUE"""),2018.0)</f>
        <v>2018</v>
      </c>
      <c r="F295" s="9">
        <f>IFERROR(__xludf.DUMMYFUNCTION("""COMPUTED_VALUE"""),750.0)</f>
        <v>750</v>
      </c>
      <c r="G295" s="9">
        <f>IFERROR(__xludf.DUMMYFUNCTION("""COMPUTED_VALUE"""),1.0)</f>
        <v>1</v>
      </c>
      <c r="H295" s="10">
        <f>IFERROR(__xludf.DUMMYFUNCTION("""COMPUTED_VALUE"""),3.0)</f>
        <v>3</v>
      </c>
      <c r="I295" s="11">
        <f>IFERROR(__xludf.DUMMYFUNCTION("""COMPUTED_VALUE"""),494.0)</f>
        <v>494</v>
      </c>
      <c r="J295" s="9" t="str">
        <f>IFERROR(__xludf.DUMMYFUNCTION("""COMPUTED_VALUE"""),"Multiple Stock Locations")</f>
        <v>Multiple Stock Locations</v>
      </c>
      <c r="K295" s="8"/>
      <c r="L295" s="12"/>
      <c r="M295" s="13"/>
      <c r="N295" s="13" t="str">
        <f>IFERROR(__xludf.DUMMYFUNCTION("IF(ISBLANK(M295),"""",M295*GOOGLEFINANCE(""USDGBP""))"),"")</f>
        <v/>
      </c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</row>
    <row r="296">
      <c r="A296" s="8" t="str">
        <f>IFERROR(__xludf.DUMMYFUNCTION("""COMPUTED_VALUE"""),"100810820200600750")</f>
        <v>100810820200600750</v>
      </c>
      <c r="B296" s="9" t="str">
        <f>IFERROR(__xludf.DUMMYFUNCTION("""COMPUTED_VALUE"""),"France")</f>
        <v>France</v>
      </c>
      <c r="C296" s="9" t="str">
        <f>IFERROR(__xludf.DUMMYFUNCTION("""COMPUTED_VALUE"""),"bordeaux")</f>
        <v>bordeaux</v>
      </c>
      <c r="D296" s="9" t="str">
        <f>IFERROR(__xludf.DUMMYFUNCTION("""COMPUTED_VALUE"""),"Chateau Cheval Blanc, Saint-Emilion Grand Cru")</f>
        <v>Chateau Cheval Blanc, Saint-Emilion Grand Cru</v>
      </c>
      <c r="E296" s="9">
        <f>IFERROR(__xludf.DUMMYFUNCTION("""COMPUTED_VALUE"""),2020.0)</f>
        <v>2020</v>
      </c>
      <c r="F296" s="9">
        <f>IFERROR(__xludf.DUMMYFUNCTION("""COMPUTED_VALUE"""),750.0)</f>
        <v>750</v>
      </c>
      <c r="G296" s="9">
        <f>IFERROR(__xludf.DUMMYFUNCTION("""COMPUTED_VALUE"""),6.0)</f>
        <v>6</v>
      </c>
      <c r="H296" s="10">
        <f>IFERROR(__xludf.DUMMYFUNCTION("""COMPUTED_VALUE"""),2.0)</f>
        <v>2</v>
      </c>
      <c r="I296" s="11">
        <f>IFERROR(__xludf.DUMMYFUNCTION("""COMPUTED_VALUE"""),2485.0)</f>
        <v>2485</v>
      </c>
      <c r="J296" s="9" t="str">
        <f>IFERROR(__xludf.DUMMYFUNCTION("""COMPUTED_VALUE"""),"Multiple Stock Locations")</f>
        <v>Multiple Stock Locations</v>
      </c>
      <c r="K296" s="8"/>
      <c r="L296" s="12"/>
      <c r="M296" s="13"/>
      <c r="N296" s="13" t="str">
        <f>IFERROR(__xludf.DUMMYFUNCTION("IF(ISBLANK(M296),"""",M296*GOOGLEFINANCE(""USDGBP""))"),"")</f>
        <v/>
      </c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</row>
    <row r="297">
      <c r="A297" s="8" t="str">
        <f>IFERROR(__xludf.DUMMYFUNCTION("""COMPUTED_VALUE"""),"100810820210600750")</f>
        <v>100810820210600750</v>
      </c>
      <c r="B297" s="9" t="str">
        <f>IFERROR(__xludf.DUMMYFUNCTION("""COMPUTED_VALUE"""),"France")</f>
        <v>France</v>
      </c>
      <c r="C297" s="9" t="str">
        <f>IFERROR(__xludf.DUMMYFUNCTION("""COMPUTED_VALUE"""),"bordeaux")</f>
        <v>bordeaux</v>
      </c>
      <c r="D297" s="9" t="str">
        <f>IFERROR(__xludf.DUMMYFUNCTION("""COMPUTED_VALUE"""),"Chateau Cheval Blanc, Saint-Emilion Grand Cru")</f>
        <v>Chateau Cheval Blanc, Saint-Emilion Grand Cru</v>
      </c>
      <c r="E297" s="9">
        <f>IFERROR(__xludf.DUMMYFUNCTION("""COMPUTED_VALUE"""),2021.0)</f>
        <v>2021</v>
      </c>
      <c r="F297" s="9">
        <f>IFERROR(__xludf.DUMMYFUNCTION("""COMPUTED_VALUE"""),750.0)</f>
        <v>750</v>
      </c>
      <c r="G297" s="9">
        <f>IFERROR(__xludf.DUMMYFUNCTION("""COMPUTED_VALUE"""),6.0)</f>
        <v>6</v>
      </c>
      <c r="H297" s="10">
        <f>IFERROR(__xludf.DUMMYFUNCTION("""COMPUTED_VALUE"""),3.0)</f>
        <v>3</v>
      </c>
      <c r="I297" s="11">
        <f>IFERROR(__xludf.DUMMYFUNCTION("""COMPUTED_VALUE"""),2305.0)</f>
        <v>2305</v>
      </c>
      <c r="J297" s="9" t="str">
        <f>IFERROR(__xludf.DUMMYFUNCTION("""COMPUTED_VALUE"""),"Multiple Stock Locations")</f>
        <v>Multiple Stock Locations</v>
      </c>
      <c r="K297" s="8"/>
      <c r="L297" s="12"/>
      <c r="M297" s="13"/>
      <c r="N297" s="13" t="str">
        <f>IFERROR(__xludf.DUMMYFUNCTION("IF(ISBLANK(M297),"""",M297*GOOGLEFINANCE(""USDGBP""))"),"")</f>
        <v/>
      </c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</row>
    <row r="298">
      <c r="A298" s="8" t="str">
        <f>IFERROR(__xludf.DUMMYFUNCTION("""COMPUTED_VALUE"""),"100822520190600750")</f>
        <v>100822520190600750</v>
      </c>
      <c r="B298" s="9" t="str">
        <f>IFERROR(__xludf.DUMMYFUNCTION("""COMPUTED_VALUE"""),"France")</f>
        <v>France</v>
      </c>
      <c r="C298" s="9" t="str">
        <f>IFERROR(__xludf.DUMMYFUNCTION("""COMPUTED_VALUE"""),"bordeaux")</f>
        <v>bordeaux</v>
      </c>
      <c r="D298" s="9" t="str">
        <f>IFERROR(__xludf.DUMMYFUNCTION("""COMPUTED_VALUE"""),"Chateau Clinet, Pomerol")</f>
        <v>Chateau Clinet, Pomerol</v>
      </c>
      <c r="E298" s="9">
        <f>IFERROR(__xludf.DUMMYFUNCTION("""COMPUTED_VALUE"""),2019.0)</f>
        <v>2019</v>
      </c>
      <c r="F298" s="9">
        <f>IFERROR(__xludf.DUMMYFUNCTION("""COMPUTED_VALUE"""),750.0)</f>
        <v>750</v>
      </c>
      <c r="G298" s="9">
        <f>IFERROR(__xludf.DUMMYFUNCTION("""COMPUTED_VALUE"""),6.0)</f>
        <v>6</v>
      </c>
      <c r="H298" s="10">
        <f>IFERROR(__xludf.DUMMYFUNCTION("""COMPUTED_VALUE"""),1.0)</f>
        <v>1</v>
      </c>
      <c r="I298" s="11">
        <f>IFERROR(__xludf.DUMMYFUNCTION("""COMPUTED_VALUE"""),483.0)</f>
        <v>483</v>
      </c>
      <c r="J298" s="9" t="str">
        <f>IFERROR(__xludf.DUMMYFUNCTION("""COMPUTED_VALUE"""),"Multiple Stock Locations")</f>
        <v>Multiple Stock Locations</v>
      </c>
      <c r="K298" s="8"/>
      <c r="L298" s="12"/>
      <c r="M298" s="13"/>
      <c r="N298" s="13" t="str">
        <f>IFERROR(__xludf.DUMMYFUNCTION("IF(ISBLANK(M298),"""",M298*GOOGLEFINANCE(""USDGBP""))"),"")</f>
        <v/>
      </c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</row>
    <row r="299">
      <c r="A299" s="8" t="str">
        <f>IFERROR(__xludf.DUMMYFUNCTION("""COMPUTED_VALUE"""),"100948220200600750")</f>
        <v>100948220200600750</v>
      </c>
      <c r="B299" s="9" t="str">
        <f>IFERROR(__xludf.DUMMYFUNCTION("""COMPUTED_VALUE"""),"France")</f>
        <v>France</v>
      </c>
      <c r="C299" s="9" t="str">
        <f>IFERROR(__xludf.DUMMYFUNCTION("""COMPUTED_VALUE"""),"bordeaux")</f>
        <v>bordeaux</v>
      </c>
      <c r="D299" s="9" t="str">
        <f>IFERROR(__xludf.DUMMYFUNCTION("""COMPUTED_VALUE"""),"Chateau Duhart-Milon 4eme Cru Classe, Pauillac")</f>
        <v>Chateau Duhart-Milon 4eme Cru Classe, Pauillac</v>
      </c>
      <c r="E299" s="9">
        <f>IFERROR(__xludf.DUMMYFUNCTION("""COMPUTED_VALUE"""),2020.0)</f>
        <v>2020</v>
      </c>
      <c r="F299" s="9">
        <f>IFERROR(__xludf.DUMMYFUNCTION("""COMPUTED_VALUE"""),750.0)</f>
        <v>750</v>
      </c>
      <c r="G299" s="9">
        <f>IFERROR(__xludf.DUMMYFUNCTION("""COMPUTED_VALUE"""),6.0)</f>
        <v>6</v>
      </c>
      <c r="H299" s="10">
        <f>IFERROR(__xludf.DUMMYFUNCTION("""COMPUTED_VALUE"""),5.0)</f>
        <v>5</v>
      </c>
      <c r="I299" s="11">
        <f>IFERROR(__xludf.DUMMYFUNCTION("""COMPUTED_VALUE"""),347.0)</f>
        <v>347</v>
      </c>
      <c r="J299" s="9" t="str">
        <f>IFERROR(__xludf.DUMMYFUNCTION("""COMPUTED_VALUE"""),"Multiple Stock Locations")</f>
        <v>Multiple Stock Locations</v>
      </c>
      <c r="K299" s="8"/>
      <c r="L299" s="12"/>
      <c r="M299" s="13"/>
      <c r="N299" s="13" t="str">
        <f>IFERROR(__xludf.DUMMYFUNCTION("IF(ISBLANK(M299),"""",M299*GOOGLEFINANCE(""USDGBP""))"),"")</f>
        <v/>
      </c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</row>
    <row r="300">
      <c r="A300" s="8" t="str">
        <f>IFERROR(__xludf.DUMMYFUNCTION("""COMPUTED_VALUE"""),"100948220210600750")</f>
        <v>100948220210600750</v>
      </c>
      <c r="B300" s="9" t="str">
        <f>IFERROR(__xludf.DUMMYFUNCTION("""COMPUTED_VALUE"""),"France")</f>
        <v>France</v>
      </c>
      <c r="C300" s="9" t="str">
        <f>IFERROR(__xludf.DUMMYFUNCTION("""COMPUTED_VALUE"""),"bordeaux")</f>
        <v>bordeaux</v>
      </c>
      <c r="D300" s="9" t="str">
        <f>IFERROR(__xludf.DUMMYFUNCTION("""COMPUTED_VALUE"""),"Chateau Duhart-Milon 4eme Cru Classe, Pauillac")</f>
        <v>Chateau Duhart-Milon 4eme Cru Classe, Pauillac</v>
      </c>
      <c r="E300" s="9">
        <f>IFERROR(__xludf.DUMMYFUNCTION("""COMPUTED_VALUE"""),2021.0)</f>
        <v>2021</v>
      </c>
      <c r="F300" s="9">
        <f>IFERROR(__xludf.DUMMYFUNCTION("""COMPUTED_VALUE"""),750.0)</f>
        <v>750</v>
      </c>
      <c r="G300" s="9">
        <f>IFERROR(__xludf.DUMMYFUNCTION("""COMPUTED_VALUE"""),6.0)</f>
        <v>6</v>
      </c>
      <c r="H300" s="10">
        <f>IFERROR(__xludf.DUMMYFUNCTION("""COMPUTED_VALUE"""),5.0)</f>
        <v>5</v>
      </c>
      <c r="I300" s="11">
        <f>IFERROR(__xludf.DUMMYFUNCTION("""COMPUTED_VALUE"""),336.0)</f>
        <v>336</v>
      </c>
      <c r="J300" s="9" t="str">
        <f>IFERROR(__xludf.DUMMYFUNCTION("""COMPUTED_VALUE"""),"Multiple Stock Locations")</f>
        <v>Multiple Stock Locations</v>
      </c>
      <c r="K300" s="8"/>
      <c r="L300" s="12"/>
      <c r="M300" s="13"/>
      <c r="N300" s="13" t="str">
        <f>IFERROR(__xludf.DUMMYFUNCTION("IF(ISBLANK(M300),"""",M300*GOOGLEFINANCE(""USDGBP""))"),"")</f>
        <v/>
      </c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</row>
    <row r="301">
      <c r="A301" s="8" t="str">
        <f>IFERROR(__xludf.DUMMYFUNCTION("""COMPUTED_VALUE"""),"100976920180600750")</f>
        <v>100976920180600750</v>
      </c>
      <c r="B301" s="9" t="str">
        <f>IFERROR(__xludf.DUMMYFUNCTION("""COMPUTED_VALUE"""),"France")</f>
        <v>France</v>
      </c>
      <c r="C301" s="9" t="str">
        <f>IFERROR(__xludf.DUMMYFUNCTION("""COMPUTED_VALUE"""),"bordeaux")</f>
        <v>bordeaux</v>
      </c>
      <c r="D301" s="9" t="str">
        <f>IFERROR(__xludf.DUMMYFUNCTION("""COMPUTED_VALUE"""),"Chateau Figeac Premier Grand Cru Classe A, Saint-Emilion Grand Cru")</f>
        <v>Chateau Figeac Premier Grand Cru Classe A, Saint-Emilion Grand Cru</v>
      </c>
      <c r="E301" s="9">
        <f>IFERROR(__xludf.DUMMYFUNCTION("""COMPUTED_VALUE"""),2018.0)</f>
        <v>2018</v>
      </c>
      <c r="F301" s="9">
        <f>IFERROR(__xludf.DUMMYFUNCTION("""COMPUTED_VALUE"""),750.0)</f>
        <v>750</v>
      </c>
      <c r="G301" s="9">
        <f>IFERROR(__xludf.DUMMYFUNCTION("""COMPUTED_VALUE"""),6.0)</f>
        <v>6</v>
      </c>
      <c r="H301" s="10">
        <f>IFERROR(__xludf.DUMMYFUNCTION("""COMPUTED_VALUE"""),12.0)</f>
        <v>12</v>
      </c>
      <c r="I301" s="11">
        <f>IFERROR(__xludf.DUMMYFUNCTION("""COMPUTED_VALUE"""),1012.0)</f>
        <v>1012</v>
      </c>
      <c r="J301" s="9" t="str">
        <f>IFERROR(__xludf.DUMMYFUNCTION("""COMPUTED_VALUE"""),"Multiple Stock Locations")</f>
        <v>Multiple Stock Locations</v>
      </c>
      <c r="K301" s="8"/>
      <c r="L301" s="12"/>
      <c r="M301" s="13"/>
      <c r="N301" s="13" t="str">
        <f>IFERROR(__xludf.DUMMYFUNCTION("IF(ISBLANK(M301),"""",M301*GOOGLEFINANCE(""USDGBP""))"),"")</f>
        <v/>
      </c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</row>
    <row r="302">
      <c r="A302" s="8" t="str">
        <f>IFERROR(__xludf.DUMMYFUNCTION("""COMPUTED_VALUE"""),"100976920200600750")</f>
        <v>100976920200600750</v>
      </c>
      <c r="B302" s="9" t="str">
        <f>IFERROR(__xludf.DUMMYFUNCTION("""COMPUTED_VALUE"""),"France")</f>
        <v>France</v>
      </c>
      <c r="C302" s="9" t="str">
        <f>IFERROR(__xludf.DUMMYFUNCTION("""COMPUTED_VALUE"""),"bordeaux")</f>
        <v>bordeaux</v>
      </c>
      <c r="D302" s="9" t="str">
        <f>IFERROR(__xludf.DUMMYFUNCTION("""COMPUTED_VALUE"""),"Chateau Figeac Premier Grand Cru Classe A, Saint-Emilion Grand Cru")</f>
        <v>Chateau Figeac Premier Grand Cru Classe A, Saint-Emilion Grand Cru</v>
      </c>
      <c r="E302" s="9">
        <f>IFERROR(__xludf.DUMMYFUNCTION("""COMPUTED_VALUE"""),2020.0)</f>
        <v>2020</v>
      </c>
      <c r="F302" s="9">
        <f>IFERROR(__xludf.DUMMYFUNCTION("""COMPUTED_VALUE"""),750.0)</f>
        <v>750</v>
      </c>
      <c r="G302" s="9">
        <f>IFERROR(__xludf.DUMMYFUNCTION("""COMPUTED_VALUE"""),6.0)</f>
        <v>6</v>
      </c>
      <c r="H302" s="10">
        <f>IFERROR(__xludf.DUMMYFUNCTION("""COMPUTED_VALUE"""),6.0)</f>
        <v>6</v>
      </c>
      <c r="I302" s="11">
        <f>IFERROR(__xludf.DUMMYFUNCTION("""COMPUTED_VALUE"""),1077.0)</f>
        <v>1077</v>
      </c>
      <c r="J302" s="9" t="str">
        <f>IFERROR(__xludf.DUMMYFUNCTION("""COMPUTED_VALUE"""),"Multiple Stock Locations")</f>
        <v>Multiple Stock Locations</v>
      </c>
      <c r="K302" s="8"/>
      <c r="L302" s="12"/>
      <c r="M302" s="13"/>
      <c r="N302" s="13" t="str">
        <f>IFERROR(__xludf.DUMMYFUNCTION("IF(ISBLANK(M302),"""",M302*GOOGLEFINANCE(""USDGBP""))"),"")</f>
        <v/>
      </c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</row>
    <row r="303">
      <c r="A303" s="8" t="str">
        <f>IFERROR(__xludf.DUMMYFUNCTION("""COMPUTED_VALUE"""),"101107420160600750")</f>
        <v>101107420160600750</v>
      </c>
      <c r="B303" s="9" t="str">
        <f>IFERROR(__xludf.DUMMYFUNCTION("""COMPUTED_VALUE"""),"France")</f>
        <v>France</v>
      </c>
      <c r="C303" s="9" t="str">
        <f>IFERROR(__xludf.DUMMYFUNCTION("""COMPUTED_VALUE"""),"bordeaux")</f>
        <v>bordeaux</v>
      </c>
      <c r="D303" s="9" t="str">
        <f>IFERROR(__xludf.DUMMYFUNCTION("""COMPUTED_VALUE"""),"Chateau Gruaud Larose 2eme Cru Classe, Saint-Julien")</f>
        <v>Chateau Gruaud Larose 2eme Cru Classe, Saint-Julien</v>
      </c>
      <c r="E303" s="9">
        <f>IFERROR(__xludf.DUMMYFUNCTION("""COMPUTED_VALUE"""),2016.0)</f>
        <v>2016</v>
      </c>
      <c r="F303" s="9">
        <f>IFERROR(__xludf.DUMMYFUNCTION("""COMPUTED_VALUE"""),750.0)</f>
        <v>750</v>
      </c>
      <c r="G303" s="9">
        <f>IFERROR(__xludf.DUMMYFUNCTION("""COMPUTED_VALUE"""),6.0)</f>
        <v>6</v>
      </c>
      <c r="H303" s="10">
        <f>IFERROR(__xludf.DUMMYFUNCTION("""COMPUTED_VALUE"""),4.0)</f>
        <v>4</v>
      </c>
      <c r="I303" s="11">
        <f>IFERROR(__xludf.DUMMYFUNCTION("""COMPUTED_VALUE"""),392.0)</f>
        <v>392</v>
      </c>
      <c r="J303" s="9" t="str">
        <f>IFERROR(__xludf.DUMMYFUNCTION("""COMPUTED_VALUE"""),"Multiple Stock Locations")</f>
        <v>Multiple Stock Locations</v>
      </c>
      <c r="K303" s="8"/>
      <c r="L303" s="12"/>
      <c r="M303" s="13"/>
      <c r="N303" s="13" t="str">
        <f>IFERROR(__xludf.DUMMYFUNCTION("IF(ISBLANK(M303),"""",M303*GOOGLEFINANCE(""USDGBP""))"),"")</f>
        <v/>
      </c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</row>
    <row r="304">
      <c r="A304" s="8" t="str">
        <f>IFERROR(__xludf.DUMMYFUNCTION("""COMPUTED_VALUE"""),"101119120190600750")</f>
        <v>101119120190600750</v>
      </c>
      <c r="B304" s="9" t="str">
        <f>IFERROR(__xludf.DUMMYFUNCTION("""COMPUTED_VALUE"""),"France")</f>
        <v>France</v>
      </c>
      <c r="C304" s="9" t="str">
        <f>IFERROR(__xludf.DUMMYFUNCTION("""COMPUTED_VALUE"""),"bordeaux")</f>
        <v>bordeaux</v>
      </c>
      <c r="D304" s="9" t="str">
        <f>IFERROR(__xludf.DUMMYFUNCTION("""COMPUTED_VALUE"""),"Chateau Haut-Bailly Cru Classe, Pessac-Leognan")</f>
        <v>Chateau Haut-Bailly Cru Classe, Pessac-Leognan</v>
      </c>
      <c r="E304" s="9">
        <f>IFERROR(__xludf.DUMMYFUNCTION("""COMPUTED_VALUE"""),2019.0)</f>
        <v>2019</v>
      </c>
      <c r="F304" s="9">
        <f>IFERROR(__xludf.DUMMYFUNCTION("""COMPUTED_VALUE"""),750.0)</f>
        <v>750</v>
      </c>
      <c r="G304" s="9">
        <f>IFERROR(__xludf.DUMMYFUNCTION("""COMPUTED_VALUE"""),6.0)</f>
        <v>6</v>
      </c>
      <c r="H304" s="10">
        <f>IFERROR(__xludf.DUMMYFUNCTION("""COMPUTED_VALUE"""),4.0)</f>
        <v>4</v>
      </c>
      <c r="I304" s="11">
        <f>IFERROR(__xludf.DUMMYFUNCTION("""COMPUTED_VALUE"""),453.0)</f>
        <v>453</v>
      </c>
      <c r="J304" s="9" t="str">
        <f>IFERROR(__xludf.DUMMYFUNCTION("""COMPUTED_VALUE"""),"Multiple Stock Locations")</f>
        <v>Multiple Stock Locations</v>
      </c>
      <c r="K304" s="8"/>
      <c r="L304" s="12"/>
      <c r="M304" s="13"/>
      <c r="N304" s="13" t="str">
        <f>IFERROR(__xludf.DUMMYFUNCTION("IF(ISBLANK(M304),"""",M304*GOOGLEFINANCE(""USDGBP""))"),"")</f>
        <v/>
      </c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</row>
    <row r="305">
      <c r="A305" s="8" t="str">
        <f>IFERROR(__xludf.DUMMYFUNCTION("""COMPUTED_VALUE"""),"101119120200600750")</f>
        <v>101119120200600750</v>
      </c>
      <c r="B305" s="9" t="str">
        <f>IFERROR(__xludf.DUMMYFUNCTION("""COMPUTED_VALUE"""),"France")</f>
        <v>France</v>
      </c>
      <c r="C305" s="9" t="str">
        <f>IFERROR(__xludf.DUMMYFUNCTION("""COMPUTED_VALUE"""),"bordeaux")</f>
        <v>bordeaux</v>
      </c>
      <c r="D305" s="9" t="str">
        <f>IFERROR(__xludf.DUMMYFUNCTION("""COMPUTED_VALUE"""),"Chateau Haut-Bailly Cru Classe, Pessac-Leognan")</f>
        <v>Chateau Haut-Bailly Cru Classe, Pessac-Leognan</v>
      </c>
      <c r="E305" s="9">
        <f>IFERROR(__xludf.DUMMYFUNCTION("""COMPUTED_VALUE"""),2020.0)</f>
        <v>2020</v>
      </c>
      <c r="F305" s="9">
        <f>IFERROR(__xludf.DUMMYFUNCTION("""COMPUTED_VALUE"""),750.0)</f>
        <v>750</v>
      </c>
      <c r="G305" s="9">
        <f>IFERROR(__xludf.DUMMYFUNCTION("""COMPUTED_VALUE"""),6.0)</f>
        <v>6</v>
      </c>
      <c r="H305" s="10">
        <f>IFERROR(__xludf.DUMMYFUNCTION("""COMPUTED_VALUE"""),2.0)</f>
        <v>2</v>
      </c>
      <c r="I305" s="11">
        <f>IFERROR(__xludf.DUMMYFUNCTION("""COMPUTED_VALUE"""),544.0)</f>
        <v>544</v>
      </c>
      <c r="J305" s="9" t="str">
        <f>IFERROR(__xludf.DUMMYFUNCTION("""COMPUTED_VALUE"""),"Multiple Stock Locations")</f>
        <v>Multiple Stock Locations</v>
      </c>
      <c r="K305" s="8"/>
      <c r="L305" s="12"/>
      <c r="M305" s="13"/>
      <c r="N305" s="13" t="str">
        <f>IFERROR(__xludf.DUMMYFUNCTION("IF(ISBLANK(M305),"""",M305*GOOGLEFINANCE(""USDGBP""))"),"")</f>
        <v/>
      </c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</row>
    <row r="306">
      <c r="A306" s="8" t="str">
        <f>IFERROR(__xludf.DUMMYFUNCTION("""COMPUTED_VALUE"""),"101124720150100750")</f>
        <v>101124720150100750</v>
      </c>
      <c r="B306" s="9" t="str">
        <f>IFERROR(__xludf.DUMMYFUNCTION("""COMPUTED_VALUE"""),"France")</f>
        <v>France</v>
      </c>
      <c r="C306" s="9" t="str">
        <f>IFERROR(__xludf.DUMMYFUNCTION("""COMPUTED_VALUE"""),"bordeaux")</f>
        <v>bordeaux</v>
      </c>
      <c r="D306" s="9" t="str">
        <f>IFERROR(__xludf.DUMMYFUNCTION("""COMPUTED_VALUE"""),"Chateau Haut-Brion Premier Cru Classe, Pessac-Leognan")</f>
        <v>Chateau Haut-Brion Premier Cru Classe, Pessac-Leognan</v>
      </c>
      <c r="E306" s="9">
        <f>IFERROR(__xludf.DUMMYFUNCTION("""COMPUTED_VALUE"""),2015.0)</f>
        <v>2015</v>
      </c>
      <c r="F306" s="9">
        <f>IFERROR(__xludf.DUMMYFUNCTION("""COMPUTED_VALUE"""),750.0)</f>
        <v>750</v>
      </c>
      <c r="G306" s="9">
        <f>IFERROR(__xludf.DUMMYFUNCTION("""COMPUTED_VALUE"""),1.0)</f>
        <v>1</v>
      </c>
      <c r="H306" s="10">
        <f>IFERROR(__xludf.DUMMYFUNCTION("""COMPUTED_VALUE"""),2.0)</f>
        <v>2</v>
      </c>
      <c r="I306" s="11">
        <f>IFERROR(__xludf.DUMMYFUNCTION("""COMPUTED_VALUE"""),412.0)</f>
        <v>412</v>
      </c>
      <c r="J306" s="9" t="str">
        <f>IFERROR(__xludf.DUMMYFUNCTION("""COMPUTED_VALUE"""),"Multiple Stock Locations")</f>
        <v>Multiple Stock Locations</v>
      </c>
      <c r="K306" s="8"/>
      <c r="L306" s="12"/>
      <c r="M306" s="13"/>
      <c r="N306" s="13" t="str">
        <f>IFERROR(__xludf.DUMMYFUNCTION("IF(ISBLANK(M306),"""",M306*GOOGLEFINANCE(""USDGBP""))"),"")</f>
        <v/>
      </c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</row>
    <row r="307">
      <c r="A307" s="8" t="str">
        <f>IFERROR(__xludf.DUMMYFUNCTION("""COMPUTED_VALUE"""),"101124720160100750")</f>
        <v>101124720160100750</v>
      </c>
      <c r="B307" s="9" t="str">
        <f>IFERROR(__xludf.DUMMYFUNCTION("""COMPUTED_VALUE"""),"France")</f>
        <v>France</v>
      </c>
      <c r="C307" s="9" t="str">
        <f>IFERROR(__xludf.DUMMYFUNCTION("""COMPUTED_VALUE"""),"bordeaux")</f>
        <v>bordeaux</v>
      </c>
      <c r="D307" s="9" t="str">
        <f>IFERROR(__xludf.DUMMYFUNCTION("""COMPUTED_VALUE"""),"Chateau Haut-Brion Premier Cru Classe, Pessac-Leognan")</f>
        <v>Chateau Haut-Brion Premier Cru Classe, Pessac-Leognan</v>
      </c>
      <c r="E307" s="9">
        <f>IFERROR(__xludf.DUMMYFUNCTION("""COMPUTED_VALUE"""),2016.0)</f>
        <v>2016</v>
      </c>
      <c r="F307" s="9">
        <f>IFERROR(__xludf.DUMMYFUNCTION("""COMPUTED_VALUE"""),750.0)</f>
        <v>750</v>
      </c>
      <c r="G307" s="9">
        <f>IFERROR(__xludf.DUMMYFUNCTION("""COMPUTED_VALUE"""),1.0)</f>
        <v>1</v>
      </c>
      <c r="H307" s="10">
        <f>IFERROR(__xludf.DUMMYFUNCTION("""COMPUTED_VALUE"""),9.0)</f>
        <v>9</v>
      </c>
      <c r="I307" s="11">
        <f>IFERROR(__xludf.DUMMYFUNCTION("""COMPUTED_VALUE"""),458.0)</f>
        <v>458</v>
      </c>
      <c r="J307" s="9" t="str">
        <f>IFERROR(__xludf.DUMMYFUNCTION("""COMPUTED_VALUE"""),"Multiple Stock Locations")</f>
        <v>Multiple Stock Locations</v>
      </c>
      <c r="K307" s="8"/>
      <c r="L307" s="12"/>
      <c r="M307" s="13"/>
      <c r="N307" s="13" t="str">
        <f>IFERROR(__xludf.DUMMYFUNCTION("IF(ISBLANK(M307),"""",M307*GOOGLEFINANCE(""USDGBP""))"),"")</f>
        <v/>
      </c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</row>
    <row r="308">
      <c r="A308" s="8" t="str">
        <f>IFERROR(__xludf.DUMMYFUNCTION("""COMPUTED_VALUE"""),"101124720200600750")</f>
        <v>101124720200600750</v>
      </c>
      <c r="B308" s="9" t="str">
        <f>IFERROR(__xludf.DUMMYFUNCTION("""COMPUTED_VALUE"""),"France")</f>
        <v>France</v>
      </c>
      <c r="C308" s="9" t="str">
        <f>IFERROR(__xludf.DUMMYFUNCTION("""COMPUTED_VALUE"""),"bordeaux")</f>
        <v>bordeaux</v>
      </c>
      <c r="D308" s="9" t="str">
        <f>IFERROR(__xludf.DUMMYFUNCTION("""COMPUTED_VALUE"""),"Chateau Haut-Brion Premier Cru Classe, Pessac-Leognan")</f>
        <v>Chateau Haut-Brion Premier Cru Classe, Pessac-Leognan</v>
      </c>
      <c r="E308" s="9">
        <f>IFERROR(__xludf.DUMMYFUNCTION("""COMPUTED_VALUE"""),2020.0)</f>
        <v>2020</v>
      </c>
      <c r="F308" s="9">
        <f>IFERROR(__xludf.DUMMYFUNCTION("""COMPUTED_VALUE"""),750.0)</f>
        <v>750</v>
      </c>
      <c r="G308" s="9">
        <f>IFERROR(__xludf.DUMMYFUNCTION("""COMPUTED_VALUE"""),6.0)</f>
        <v>6</v>
      </c>
      <c r="H308" s="10">
        <f>IFERROR(__xludf.DUMMYFUNCTION("""COMPUTED_VALUE"""),1.0)</f>
        <v>1</v>
      </c>
      <c r="I308" s="11">
        <f>IFERROR(__xludf.DUMMYFUNCTION("""COMPUTED_VALUE"""),2388.0)</f>
        <v>2388</v>
      </c>
      <c r="J308" s="9" t="str">
        <f>IFERROR(__xludf.DUMMYFUNCTION("""COMPUTED_VALUE"""),"Multiple Stock Locations")</f>
        <v>Multiple Stock Locations</v>
      </c>
      <c r="K308" s="8"/>
      <c r="L308" s="12"/>
      <c r="M308" s="13"/>
      <c r="N308" s="13" t="str">
        <f>IFERROR(__xludf.DUMMYFUNCTION("IF(ISBLANK(M308),"""",M308*GOOGLEFINANCE(""USDGBP""))"),"")</f>
        <v/>
      </c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</row>
    <row r="309">
      <c r="A309" s="8" t="str">
        <f>IFERROR(__xludf.DUMMYFUNCTION("""COMPUTED_VALUE"""),"100964220160600750")</f>
        <v>100964220160600750</v>
      </c>
      <c r="B309" s="9" t="str">
        <f>IFERROR(__xludf.DUMMYFUNCTION("""COMPUTED_VALUE"""),"France")</f>
        <v>France</v>
      </c>
      <c r="C309" s="9" t="str">
        <f>IFERROR(__xludf.DUMMYFUNCTION("""COMPUTED_VALUE"""),"bordeaux")</f>
        <v>bordeaux</v>
      </c>
      <c r="D309" s="9" t="str">
        <f>IFERROR(__xludf.DUMMYFUNCTION("""COMPUTED_VALUE"""),"Chateau L'Evangile, Pomerol")</f>
        <v>Chateau L'Evangile, Pomerol</v>
      </c>
      <c r="E309" s="9">
        <f>IFERROR(__xludf.DUMMYFUNCTION("""COMPUTED_VALUE"""),2016.0)</f>
        <v>2016</v>
      </c>
      <c r="F309" s="9">
        <f>IFERROR(__xludf.DUMMYFUNCTION("""COMPUTED_VALUE"""),750.0)</f>
        <v>750</v>
      </c>
      <c r="G309" s="9">
        <f>IFERROR(__xludf.DUMMYFUNCTION("""COMPUTED_VALUE"""),6.0)</f>
        <v>6</v>
      </c>
      <c r="H309" s="10">
        <f>IFERROR(__xludf.DUMMYFUNCTION("""COMPUTED_VALUE"""),6.0)</f>
        <v>6</v>
      </c>
      <c r="I309" s="11">
        <f>IFERROR(__xludf.DUMMYFUNCTION("""COMPUTED_VALUE"""),1086.0)</f>
        <v>1086</v>
      </c>
      <c r="J309" s="9" t="str">
        <f>IFERROR(__xludf.DUMMYFUNCTION("""COMPUTED_VALUE"""),"Multiple Stock Locations")</f>
        <v>Multiple Stock Locations</v>
      </c>
      <c r="K309" s="8"/>
      <c r="L309" s="12"/>
      <c r="M309" s="13"/>
      <c r="N309" s="13" t="str">
        <f>IFERROR(__xludf.DUMMYFUNCTION("IF(ISBLANK(M309),"""",M309*GOOGLEFINANCE(""USDGBP""))"),"")</f>
        <v/>
      </c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</row>
    <row r="310">
      <c r="A310" s="8" t="str">
        <f>IFERROR(__xludf.DUMMYFUNCTION("""COMPUTED_VALUE"""),"100964220200600750")</f>
        <v>100964220200600750</v>
      </c>
      <c r="B310" s="9" t="str">
        <f>IFERROR(__xludf.DUMMYFUNCTION("""COMPUTED_VALUE"""),"France")</f>
        <v>France</v>
      </c>
      <c r="C310" s="9" t="str">
        <f>IFERROR(__xludf.DUMMYFUNCTION("""COMPUTED_VALUE"""),"bordeaux")</f>
        <v>bordeaux</v>
      </c>
      <c r="D310" s="9" t="str">
        <f>IFERROR(__xludf.DUMMYFUNCTION("""COMPUTED_VALUE"""),"Chateau L'Evangile, Pomerol")</f>
        <v>Chateau L'Evangile, Pomerol</v>
      </c>
      <c r="E310" s="9">
        <f>IFERROR(__xludf.DUMMYFUNCTION("""COMPUTED_VALUE"""),2020.0)</f>
        <v>2020</v>
      </c>
      <c r="F310" s="9">
        <f>IFERROR(__xludf.DUMMYFUNCTION("""COMPUTED_VALUE"""),750.0)</f>
        <v>750</v>
      </c>
      <c r="G310" s="9">
        <f>IFERROR(__xludf.DUMMYFUNCTION("""COMPUTED_VALUE"""),6.0)</f>
        <v>6</v>
      </c>
      <c r="H310" s="10">
        <f>IFERROR(__xludf.DUMMYFUNCTION("""COMPUTED_VALUE"""),2.0)</f>
        <v>2</v>
      </c>
      <c r="I310" s="11">
        <f>IFERROR(__xludf.DUMMYFUNCTION("""COMPUTED_VALUE"""),955.0)</f>
        <v>955</v>
      </c>
      <c r="J310" s="9" t="str">
        <f>IFERROR(__xludf.DUMMYFUNCTION("""COMPUTED_VALUE"""),"Multiple Stock Locations")</f>
        <v>Multiple Stock Locations</v>
      </c>
      <c r="K310" s="8"/>
      <c r="L310" s="12"/>
      <c r="M310" s="13"/>
      <c r="N310" s="13" t="str">
        <f>IFERROR(__xludf.DUMMYFUNCTION("IF(ISBLANK(M310),"""",M310*GOOGLEFINANCE(""USDGBP""))"),"")</f>
        <v/>
      </c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</row>
    <row r="311">
      <c r="A311" s="8" t="str">
        <f>IFERROR(__xludf.DUMMYFUNCTION("""COMPUTED_VALUE"""),"100964220210600750")</f>
        <v>100964220210600750</v>
      </c>
      <c r="B311" s="9" t="str">
        <f>IFERROR(__xludf.DUMMYFUNCTION("""COMPUTED_VALUE"""),"France")</f>
        <v>France</v>
      </c>
      <c r="C311" s="9" t="str">
        <f>IFERROR(__xludf.DUMMYFUNCTION("""COMPUTED_VALUE"""),"bordeaux")</f>
        <v>bordeaux</v>
      </c>
      <c r="D311" s="9" t="str">
        <f>IFERROR(__xludf.DUMMYFUNCTION("""COMPUTED_VALUE"""),"Chateau L'Evangile, Pomerol")</f>
        <v>Chateau L'Evangile, Pomerol</v>
      </c>
      <c r="E311" s="9">
        <f>IFERROR(__xludf.DUMMYFUNCTION("""COMPUTED_VALUE"""),2021.0)</f>
        <v>2021</v>
      </c>
      <c r="F311" s="9">
        <f>IFERROR(__xludf.DUMMYFUNCTION("""COMPUTED_VALUE"""),750.0)</f>
        <v>750</v>
      </c>
      <c r="G311" s="9">
        <f>IFERROR(__xludf.DUMMYFUNCTION("""COMPUTED_VALUE"""),6.0)</f>
        <v>6</v>
      </c>
      <c r="H311" s="10">
        <f>IFERROR(__xludf.DUMMYFUNCTION("""COMPUTED_VALUE"""),1.0)</f>
        <v>1</v>
      </c>
      <c r="I311" s="11">
        <f>IFERROR(__xludf.DUMMYFUNCTION("""COMPUTED_VALUE"""),1007.0)</f>
        <v>1007</v>
      </c>
      <c r="J311" s="9" t="str">
        <f>IFERROR(__xludf.DUMMYFUNCTION("""COMPUTED_VALUE"""),"Multiple Stock Locations")</f>
        <v>Multiple Stock Locations</v>
      </c>
      <c r="K311" s="8"/>
      <c r="L311" s="12"/>
      <c r="M311" s="13"/>
      <c r="N311" s="13" t="str">
        <f>IFERROR(__xludf.DUMMYFUNCTION("IF(ISBLANK(M311),"""",M311*GOOGLEFINANCE(""USDGBP""))"),"")</f>
        <v/>
      </c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</row>
    <row r="312">
      <c r="A312" s="8" t="str">
        <f>IFERROR(__xludf.DUMMYFUNCTION("""COMPUTED_VALUE"""),"100874620180600750")</f>
        <v>100874620180600750</v>
      </c>
      <c r="B312" s="9" t="str">
        <f>IFERROR(__xludf.DUMMYFUNCTION("""COMPUTED_VALUE"""),"France")</f>
        <v>France</v>
      </c>
      <c r="C312" s="9" t="str">
        <f>IFERROR(__xludf.DUMMYFUNCTION("""COMPUTED_VALUE"""),"bordeaux")</f>
        <v>bordeaux</v>
      </c>
      <c r="D312" s="9" t="str">
        <f>IFERROR(__xludf.DUMMYFUNCTION("""COMPUTED_VALUE"""),"Chateau La Conseillante, Pomerol")</f>
        <v>Chateau La Conseillante, Pomerol</v>
      </c>
      <c r="E312" s="9">
        <f>IFERROR(__xludf.DUMMYFUNCTION("""COMPUTED_VALUE"""),2018.0)</f>
        <v>2018</v>
      </c>
      <c r="F312" s="9">
        <f>IFERROR(__xludf.DUMMYFUNCTION("""COMPUTED_VALUE"""),750.0)</f>
        <v>750</v>
      </c>
      <c r="G312" s="9">
        <f>IFERROR(__xludf.DUMMYFUNCTION("""COMPUTED_VALUE"""),6.0)</f>
        <v>6</v>
      </c>
      <c r="H312" s="10">
        <f>IFERROR(__xludf.DUMMYFUNCTION("""COMPUTED_VALUE"""),3.0)</f>
        <v>3</v>
      </c>
      <c r="I312" s="11">
        <f>IFERROR(__xludf.DUMMYFUNCTION("""COMPUTED_VALUE"""),1030.0)</f>
        <v>1030</v>
      </c>
      <c r="J312" s="9" t="str">
        <f>IFERROR(__xludf.DUMMYFUNCTION("""COMPUTED_VALUE"""),"Multiple Stock Locations")</f>
        <v>Multiple Stock Locations</v>
      </c>
      <c r="K312" s="8"/>
      <c r="L312" s="12"/>
      <c r="M312" s="13"/>
      <c r="N312" s="13" t="str">
        <f>IFERROR(__xludf.DUMMYFUNCTION("IF(ISBLANK(M312),"""",M312*GOOGLEFINANCE(""USDGBP""))"),"")</f>
        <v/>
      </c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</row>
    <row r="313">
      <c r="A313" s="8" t="str">
        <f>IFERROR(__xludf.DUMMYFUNCTION("""COMPUTED_VALUE"""),"100874620190600750")</f>
        <v>100874620190600750</v>
      </c>
      <c r="B313" s="9" t="str">
        <f>IFERROR(__xludf.DUMMYFUNCTION("""COMPUTED_VALUE"""),"France")</f>
        <v>France</v>
      </c>
      <c r="C313" s="9" t="str">
        <f>IFERROR(__xludf.DUMMYFUNCTION("""COMPUTED_VALUE"""),"bordeaux")</f>
        <v>bordeaux</v>
      </c>
      <c r="D313" s="9" t="str">
        <f>IFERROR(__xludf.DUMMYFUNCTION("""COMPUTED_VALUE"""),"Chateau La Conseillante, Pomerol")</f>
        <v>Chateau La Conseillante, Pomerol</v>
      </c>
      <c r="E313" s="9">
        <f>IFERROR(__xludf.DUMMYFUNCTION("""COMPUTED_VALUE"""),2019.0)</f>
        <v>2019</v>
      </c>
      <c r="F313" s="9">
        <f>IFERROR(__xludf.DUMMYFUNCTION("""COMPUTED_VALUE"""),750.0)</f>
        <v>750</v>
      </c>
      <c r="G313" s="9">
        <f>IFERROR(__xludf.DUMMYFUNCTION("""COMPUTED_VALUE"""),6.0)</f>
        <v>6</v>
      </c>
      <c r="H313" s="10">
        <f>IFERROR(__xludf.DUMMYFUNCTION("""COMPUTED_VALUE"""),1.0)</f>
        <v>1</v>
      </c>
      <c r="I313" s="11">
        <f>IFERROR(__xludf.DUMMYFUNCTION("""COMPUTED_VALUE"""),975.0)</f>
        <v>975</v>
      </c>
      <c r="J313" s="9" t="str">
        <f>IFERROR(__xludf.DUMMYFUNCTION("""COMPUTED_VALUE"""),"Multiple Stock Locations")</f>
        <v>Multiple Stock Locations</v>
      </c>
      <c r="K313" s="8"/>
      <c r="L313" s="12"/>
      <c r="M313" s="13"/>
      <c r="N313" s="13" t="str">
        <f>IFERROR(__xludf.DUMMYFUNCTION("IF(ISBLANK(M313),"""",M313*GOOGLEFINANCE(""USDGBP""))"),"")</f>
        <v/>
      </c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</row>
    <row r="314">
      <c r="A314" s="8" t="str">
        <f>IFERROR(__xludf.DUMMYFUNCTION("""COMPUTED_VALUE"""),"101317920200600750")</f>
        <v>101317920200600750</v>
      </c>
      <c r="B314" s="9" t="str">
        <f>IFERROR(__xludf.DUMMYFUNCTION("""COMPUTED_VALUE"""),"France")</f>
        <v>France</v>
      </c>
      <c r="C314" s="9" t="str">
        <f>IFERROR(__xludf.DUMMYFUNCTION("""COMPUTED_VALUE"""),"bordeaux")</f>
        <v>bordeaux</v>
      </c>
      <c r="D314" s="9" t="str">
        <f>IFERROR(__xludf.DUMMYFUNCTION("""COMPUTED_VALUE"""),"Chateau La Mission Haut-Brion Cru Classe, Pessac-Leognan")</f>
        <v>Chateau La Mission Haut-Brion Cru Classe, Pessac-Leognan</v>
      </c>
      <c r="E314" s="9">
        <f>IFERROR(__xludf.DUMMYFUNCTION("""COMPUTED_VALUE"""),2020.0)</f>
        <v>2020</v>
      </c>
      <c r="F314" s="9">
        <f>IFERROR(__xludf.DUMMYFUNCTION("""COMPUTED_VALUE"""),750.0)</f>
        <v>750</v>
      </c>
      <c r="G314" s="9">
        <f>IFERROR(__xludf.DUMMYFUNCTION("""COMPUTED_VALUE"""),6.0)</f>
        <v>6</v>
      </c>
      <c r="H314" s="10">
        <f>IFERROR(__xludf.DUMMYFUNCTION("""COMPUTED_VALUE"""),3.0)</f>
        <v>3</v>
      </c>
      <c r="I314" s="11">
        <f>IFERROR(__xludf.DUMMYFUNCTION("""COMPUTED_VALUE"""),1409.0)</f>
        <v>1409</v>
      </c>
      <c r="J314" s="9" t="str">
        <f>IFERROR(__xludf.DUMMYFUNCTION("""COMPUTED_VALUE"""),"Multiple Stock Locations")</f>
        <v>Multiple Stock Locations</v>
      </c>
      <c r="K314" s="8"/>
      <c r="L314" s="12"/>
      <c r="M314" s="13"/>
      <c r="N314" s="13" t="str">
        <f>IFERROR(__xludf.DUMMYFUNCTION("IF(ISBLANK(M314),"""",M314*GOOGLEFINANCE(""USDGBP""))"),"")</f>
        <v/>
      </c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</row>
    <row r="315">
      <c r="A315" s="8" t="str">
        <f>IFERROR(__xludf.DUMMYFUNCTION("""COMPUTED_VALUE"""),"101317920210600750")</f>
        <v>101317920210600750</v>
      </c>
      <c r="B315" s="9" t="str">
        <f>IFERROR(__xludf.DUMMYFUNCTION("""COMPUTED_VALUE"""),"France")</f>
        <v>France</v>
      </c>
      <c r="C315" s="9" t="str">
        <f>IFERROR(__xludf.DUMMYFUNCTION("""COMPUTED_VALUE"""),"bordeaux")</f>
        <v>bordeaux</v>
      </c>
      <c r="D315" s="9" t="str">
        <f>IFERROR(__xludf.DUMMYFUNCTION("""COMPUTED_VALUE"""),"Chateau La Mission Haut-Brion Cru Classe, Pessac-Leognan")</f>
        <v>Chateau La Mission Haut-Brion Cru Classe, Pessac-Leognan</v>
      </c>
      <c r="E315" s="9">
        <f>IFERROR(__xludf.DUMMYFUNCTION("""COMPUTED_VALUE"""),2021.0)</f>
        <v>2021</v>
      </c>
      <c r="F315" s="9">
        <f>IFERROR(__xludf.DUMMYFUNCTION("""COMPUTED_VALUE"""),750.0)</f>
        <v>750</v>
      </c>
      <c r="G315" s="9">
        <f>IFERROR(__xludf.DUMMYFUNCTION("""COMPUTED_VALUE"""),6.0)</f>
        <v>6</v>
      </c>
      <c r="H315" s="10">
        <f>IFERROR(__xludf.DUMMYFUNCTION("""COMPUTED_VALUE"""),2.0)</f>
        <v>2</v>
      </c>
      <c r="I315" s="11">
        <f>IFERROR(__xludf.DUMMYFUNCTION("""COMPUTED_VALUE"""),1257.0)</f>
        <v>1257</v>
      </c>
      <c r="J315" s="9" t="str">
        <f>IFERROR(__xludf.DUMMYFUNCTION("""COMPUTED_VALUE"""),"Multiple Stock Locations")</f>
        <v>Multiple Stock Locations</v>
      </c>
      <c r="K315" s="8"/>
      <c r="L315" s="12"/>
      <c r="M315" s="13"/>
      <c r="N315" s="13" t="str">
        <f>IFERROR(__xludf.DUMMYFUNCTION("IF(ISBLANK(M315),"""",M315*GOOGLEFINANCE(""USDGBP""))"),"")</f>
        <v/>
      </c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</row>
    <row r="316">
      <c r="A316" s="8" t="str">
        <f>IFERROR(__xludf.DUMMYFUNCTION("""COMPUTED_VALUE"""),"101187220180600750")</f>
        <v>101187220180600750</v>
      </c>
      <c r="B316" s="9" t="str">
        <f>IFERROR(__xludf.DUMMYFUNCTION("""COMPUTED_VALUE"""),"France")</f>
        <v>France</v>
      </c>
      <c r="C316" s="9" t="str">
        <f>IFERROR(__xludf.DUMMYFUNCTION("""COMPUTED_VALUE"""),"bordeaux")</f>
        <v>bordeaux</v>
      </c>
      <c r="D316" s="9" t="str">
        <f>IFERROR(__xludf.DUMMYFUNCTION("""COMPUTED_VALUE"""),"Chateau Lafite Rothschild Premier Cru Classe, Pauillac")</f>
        <v>Chateau Lafite Rothschild Premier Cru Classe, Pauillac</v>
      </c>
      <c r="E316" s="9">
        <f>IFERROR(__xludf.DUMMYFUNCTION("""COMPUTED_VALUE"""),2018.0)</f>
        <v>2018</v>
      </c>
      <c r="F316" s="9">
        <f>IFERROR(__xludf.DUMMYFUNCTION("""COMPUTED_VALUE"""),750.0)</f>
        <v>750</v>
      </c>
      <c r="G316" s="9">
        <f>IFERROR(__xludf.DUMMYFUNCTION("""COMPUTED_VALUE"""),6.0)</f>
        <v>6</v>
      </c>
      <c r="H316" s="10">
        <f>IFERROR(__xludf.DUMMYFUNCTION("""COMPUTED_VALUE"""),2.0)</f>
        <v>2</v>
      </c>
      <c r="I316" s="11">
        <f>IFERROR(__xludf.DUMMYFUNCTION("""COMPUTED_VALUE"""),3424.0)</f>
        <v>3424</v>
      </c>
      <c r="J316" s="9" t="str">
        <f>IFERROR(__xludf.DUMMYFUNCTION("""COMPUTED_VALUE"""),"Multiple Stock Locations")</f>
        <v>Multiple Stock Locations</v>
      </c>
      <c r="K316" s="8"/>
      <c r="L316" s="12"/>
      <c r="M316" s="13"/>
      <c r="N316" s="13" t="str">
        <f>IFERROR(__xludf.DUMMYFUNCTION("IF(ISBLANK(M316),"""",M316*GOOGLEFINANCE(""USDGBP""))"),"")</f>
        <v/>
      </c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</row>
    <row r="317">
      <c r="A317" s="8" t="str">
        <f>IFERROR(__xludf.DUMMYFUNCTION("""COMPUTED_VALUE"""),"101187220210600750")</f>
        <v>101187220210600750</v>
      </c>
      <c r="B317" s="9" t="str">
        <f>IFERROR(__xludf.DUMMYFUNCTION("""COMPUTED_VALUE"""),"France")</f>
        <v>France</v>
      </c>
      <c r="C317" s="9" t="str">
        <f>IFERROR(__xludf.DUMMYFUNCTION("""COMPUTED_VALUE"""),"bordeaux")</f>
        <v>bordeaux</v>
      </c>
      <c r="D317" s="9" t="str">
        <f>IFERROR(__xludf.DUMMYFUNCTION("""COMPUTED_VALUE"""),"Chateau Lafite Rothschild Premier Cru Classe, Pauillac")</f>
        <v>Chateau Lafite Rothschild Premier Cru Classe, Pauillac</v>
      </c>
      <c r="E317" s="9">
        <f>IFERROR(__xludf.DUMMYFUNCTION("""COMPUTED_VALUE"""),2021.0)</f>
        <v>2021</v>
      </c>
      <c r="F317" s="9">
        <f>IFERROR(__xludf.DUMMYFUNCTION("""COMPUTED_VALUE"""),750.0)</f>
        <v>750</v>
      </c>
      <c r="G317" s="9">
        <f>IFERROR(__xludf.DUMMYFUNCTION("""COMPUTED_VALUE"""),6.0)</f>
        <v>6</v>
      </c>
      <c r="H317" s="10">
        <f>IFERROR(__xludf.DUMMYFUNCTION("""COMPUTED_VALUE"""),2.0)</f>
        <v>2</v>
      </c>
      <c r="I317" s="11">
        <f>IFERROR(__xludf.DUMMYFUNCTION("""COMPUTED_VALUE"""),2863.0)</f>
        <v>2863</v>
      </c>
      <c r="J317" s="9" t="str">
        <f>IFERROR(__xludf.DUMMYFUNCTION("""COMPUTED_VALUE"""),"Multiple Stock Locations")</f>
        <v>Multiple Stock Locations</v>
      </c>
      <c r="K317" s="8"/>
      <c r="L317" s="12"/>
      <c r="M317" s="13"/>
      <c r="N317" s="13" t="str">
        <f>IFERROR(__xludf.DUMMYFUNCTION("IF(ISBLANK(M317),"""",M317*GOOGLEFINANCE(""USDGBP""))"),"")</f>
        <v/>
      </c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</row>
    <row r="318">
      <c r="A318" s="8" t="str">
        <f>IFERROR(__xludf.DUMMYFUNCTION("""COMPUTED_VALUE"""),"101218520170600750")</f>
        <v>101218520170600750</v>
      </c>
      <c r="B318" s="9" t="str">
        <f>IFERROR(__xludf.DUMMYFUNCTION("""COMPUTED_VALUE"""),"France")</f>
        <v>France</v>
      </c>
      <c r="C318" s="9" t="str">
        <f>IFERROR(__xludf.DUMMYFUNCTION("""COMPUTED_VALUE"""),"bordeaux")</f>
        <v>bordeaux</v>
      </c>
      <c r="D318" s="9" t="str">
        <f>IFERROR(__xludf.DUMMYFUNCTION("""COMPUTED_VALUE"""),"Chateau Larcis Ducasse Premier Grand Cru Classe B, Saint-Emilion Grand Cru")</f>
        <v>Chateau Larcis Ducasse Premier Grand Cru Classe B, Saint-Emilion Grand Cru</v>
      </c>
      <c r="E318" s="9">
        <f>IFERROR(__xludf.DUMMYFUNCTION("""COMPUTED_VALUE"""),2017.0)</f>
        <v>2017</v>
      </c>
      <c r="F318" s="9">
        <f>IFERROR(__xludf.DUMMYFUNCTION("""COMPUTED_VALUE"""),750.0)</f>
        <v>750</v>
      </c>
      <c r="G318" s="9">
        <f>IFERROR(__xludf.DUMMYFUNCTION("""COMPUTED_VALUE"""),6.0)</f>
        <v>6</v>
      </c>
      <c r="H318" s="10">
        <f>IFERROR(__xludf.DUMMYFUNCTION("""COMPUTED_VALUE"""),2.0)</f>
        <v>2</v>
      </c>
      <c r="I318" s="11">
        <f>IFERROR(__xludf.DUMMYFUNCTION("""COMPUTED_VALUE"""),269.0)</f>
        <v>269</v>
      </c>
      <c r="J318" s="9" t="str">
        <f>IFERROR(__xludf.DUMMYFUNCTION("""COMPUTED_VALUE"""),"Multiple Stock Locations")</f>
        <v>Multiple Stock Locations</v>
      </c>
      <c r="K318" s="8"/>
      <c r="L318" s="12"/>
      <c r="M318" s="13"/>
      <c r="N318" s="13" t="str">
        <f>IFERROR(__xludf.DUMMYFUNCTION("IF(ISBLANK(M318),"""",M318*GOOGLEFINANCE(""USDGBP""))"),"")</f>
        <v/>
      </c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</row>
    <row r="319">
      <c r="A319" s="8" t="str">
        <f>IFERROR(__xludf.DUMMYFUNCTION("""COMPUTED_VALUE"""),"101231620100600750")</f>
        <v>101231620100600750</v>
      </c>
      <c r="B319" s="9" t="str">
        <f>IFERROR(__xludf.DUMMYFUNCTION("""COMPUTED_VALUE"""),"France")</f>
        <v>France</v>
      </c>
      <c r="C319" s="9" t="str">
        <f>IFERROR(__xludf.DUMMYFUNCTION("""COMPUTED_VALUE"""),"bordeaux")</f>
        <v>bordeaux</v>
      </c>
      <c r="D319" s="9" t="str">
        <f>IFERROR(__xludf.DUMMYFUNCTION("""COMPUTED_VALUE"""),"Chateau Latour Premier Cru Classe, Pauillac")</f>
        <v>Chateau Latour Premier Cru Classe, Pauillac</v>
      </c>
      <c r="E319" s="9">
        <f>IFERROR(__xludf.DUMMYFUNCTION("""COMPUTED_VALUE"""),2010.0)</f>
        <v>2010</v>
      </c>
      <c r="F319" s="9">
        <f>IFERROR(__xludf.DUMMYFUNCTION("""COMPUTED_VALUE"""),750.0)</f>
        <v>750</v>
      </c>
      <c r="G319" s="9">
        <f>IFERROR(__xludf.DUMMYFUNCTION("""COMPUTED_VALUE"""),6.0)</f>
        <v>6</v>
      </c>
      <c r="H319" s="10">
        <f>IFERROR(__xludf.DUMMYFUNCTION("""COMPUTED_VALUE"""),1.0)</f>
        <v>1</v>
      </c>
      <c r="I319" s="11">
        <f>IFERROR(__xludf.DUMMYFUNCTION("""COMPUTED_VALUE"""),5685.0)</f>
        <v>5685</v>
      </c>
      <c r="J319" s="9" t="str">
        <f>IFERROR(__xludf.DUMMYFUNCTION("""COMPUTED_VALUE"""),"Multiple Stock Locations")</f>
        <v>Multiple Stock Locations</v>
      </c>
      <c r="K319" s="8"/>
      <c r="L319" s="12"/>
      <c r="M319" s="13"/>
      <c r="N319" s="13" t="str">
        <f>IFERROR(__xludf.DUMMYFUNCTION("IF(ISBLANK(M319),"""",M319*GOOGLEFINANCE(""USDGBP""))"),"")</f>
        <v/>
      </c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</row>
    <row r="320">
      <c r="A320" s="8" t="str">
        <f>IFERROR(__xludf.DUMMYFUNCTION("""COMPUTED_VALUE"""),"101237420160600750")</f>
        <v>101237420160600750</v>
      </c>
      <c r="B320" s="9" t="str">
        <f>IFERROR(__xludf.DUMMYFUNCTION("""COMPUTED_VALUE"""),"France")</f>
        <v>France</v>
      </c>
      <c r="C320" s="9" t="str">
        <f>IFERROR(__xludf.DUMMYFUNCTION("""COMPUTED_VALUE"""),"bordeaux")</f>
        <v>bordeaux</v>
      </c>
      <c r="D320" s="9" t="str">
        <f>IFERROR(__xludf.DUMMYFUNCTION("""COMPUTED_VALUE"""),"Chateau Leoville Las Cases 2eme Cru Classe, Saint-Julien")</f>
        <v>Chateau Leoville Las Cases 2eme Cru Classe, Saint-Julien</v>
      </c>
      <c r="E320" s="9">
        <f>IFERROR(__xludf.DUMMYFUNCTION("""COMPUTED_VALUE"""),2016.0)</f>
        <v>2016</v>
      </c>
      <c r="F320" s="9">
        <f>IFERROR(__xludf.DUMMYFUNCTION("""COMPUTED_VALUE"""),750.0)</f>
        <v>750</v>
      </c>
      <c r="G320" s="9">
        <f>IFERROR(__xludf.DUMMYFUNCTION("""COMPUTED_VALUE"""),6.0)</f>
        <v>6</v>
      </c>
      <c r="H320" s="10">
        <f>IFERROR(__xludf.DUMMYFUNCTION("""COMPUTED_VALUE"""),4.0)</f>
        <v>4</v>
      </c>
      <c r="I320" s="11">
        <f>IFERROR(__xludf.DUMMYFUNCTION("""COMPUTED_VALUE"""),1424.0)</f>
        <v>1424</v>
      </c>
      <c r="J320" s="9" t="str">
        <f>IFERROR(__xludf.DUMMYFUNCTION("""COMPUTED_VALUE"""),"Multiple Stock Locations")</f>
        <v>Multiple Stock Locations</v>
      </c>
      <c r="K320" s="8"/>
      <c r="L320" s="12"/>
      <c r="M320" s="13"/>
      <c r="N320" s="13" t="str">
        <f>IFERROR(__xludf.DUMMYFUNCTION("IF(ISBLANK(M320),"""",M320*GOOGLEFINANCE(""USDGBP""))"),"")</f>
        <v/>
      </c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</row>
    <row r="321">
      <c r="A321" s="8" t="str">
        <f>IFERROR(__xludf.DUMMYFUNCTION("""COMPUTED_VALUE"""),"101237420200600750")</f>
        <v>101237420200600750</v>
      </c>
      <c r="B321" s="9" t="str">
        <f>IFERROR(__xludf.DUMMYFUNCTION("""COMPUTED_VALUE"""),"France")</f>
        <v>France</v>
      </c>
      <c r="C321" s="9" t="str">
        <f>IFERROR(__xludf.DUMMYFUNCTION("""COMPUTED_VALUE"""),"bordeaux")</f>
        <v>bordeaux</v>
      </c>
      <c r="D321" s="9" t="str">
        <f>IFERROR(__xludf.DUMMYFUNCTION("""COMPUTED_VALUE"""),"Chateau Leoville Las Cases 2eme Cru Classe, Saint-Julien")</f>
        <v>Chateau Leoville Las Cases 2eme Cru Classe, Saint-Julien</v>
      </c>
      <c r="E321" s="9">
        <f>IFERROR(__xludf.DUMMYFUNCTION("""COMPUTED_VALUE"""),2020.0)</f>
        <v>2020</v>
      </c>
      <c r="F321" s="9">
        <f>IFERROR(__xludf.DUMMYFUNCTION("""COMPUTED_VALUE"""),750.0)</f>
        <v>750</v>
      </c>
      <c r="G321" s="9">
        <f>IFERROR(__xludf.DUMMYFUNCTION("""COMPUTED_VALUE"""),6.0)</f>
        <v>6</v>
      </c>
      <c r="H321" s="10">
        <f>IFERROR(__xludf.DUMMYFUNCTION("""COMPUTED_VALUE"""),4.0)</f>
        <v>4</v>
      </c>
      <c r="I321" s="11">
        <f>IFERROR(__xludf.DUMMYFUNCTION("""COMPUTED_VALUE"""),1113.0)</f>
        <v>1113</v>
      </c>
      <c r="J321" s="9" t="str">
        <f>IFERROR(__xludf.DUMMYFUNCTION("""COMPUTED_VALUE"""),"Multiple Stock Locations")</f>
        <v>Multiple Stock Locations</v>
      </c>
      <c r="K321" s="8"/>
      <c r="L321" s="12"/>
      <c r="M321" s="13"/>
      <c r="N321" s="13" t="str">
        <f>IFERROR(__xludf.DUMMYFUNCTION("IF(ISBLANK(M321),"""",M321*GOOGLEFINANCE(""USDGBP""))"),"")</f>
        <v/>
      </c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</row>
    <row r="322">
      <c r="A322" s="8" t="str">
        <f>IFERROR(__xludf.DUMMYFUNCTION("""COMPUTED_VALUE"""),"101238720150600750")</f>
        <v>101238720150600750</v>
      </c>
      <c r="B322" s="9" t="str">
        <f>IFERROR(__xludf.DUMMYFUNCTION("""COMPUTED_VALUE"""),"France")</f>
        <v>France</v>
      </c>
      <c r="C322" s="9" t="str">
        <f>IFERROR(__xludf.DUMMYFUNCTION("""COMPUTED_VALUE"""),"bordeaux")</f>
        <v>bordeaux</v>
      </c>
      <c r="D322" s="9" t="str">
        <f>IFERROR(__xludf.DUMMYFUNCTION("""COMPUTED_VALUE"""),"Chateau Leoville Poyferre 2eme Cru Classe, Saint-Julien")</f>
        <v>Chateau Leoville Poyferre 2eme Cru Classe, Saint-Julien</v>
      </c>
      <c r="E322" s="9">
        <f>IFERROR(__xludf.DUMMYFUNCTION("""COMPUTED_VALUE"""),2015.0)</f>
        <v>2015</v>
      </c>
      <c r="F322" s="9">
        <f>IFERROR(__xludf.DUMMYFUNCTION("""COMPUTED_VALUE"""),750.0)</f>
        <v>750</v>
      </c>
      <c r="G322" s="9">
        <f>IFERROR(__xludf.DUMMYFUNCTION("""COMPUTED_VALUE"""),6.0)</f>
        <v>6</v>
      </c>
      <c r="H322" s="10">
        <f>IFERROR(__xludf.DUMMYFUNCTION("""COMPUTED_VALUE"""),3.0)</f>
        <v>3</v>
      </c>
      <c r="I322" s="11">
        <f>IFERROR(__xludf.DUMMYFUNCTION("""COMPUTED_VALUE"""),425.0)</f>
        <v>425</v>
      </c>
      <c r="J322" s="9" t="str">
        <f>IFERROR(__xludf.DUMMYFUNCTION("""COMPUTED_VALUE"""),"Multiple Stock Locations")</f>
        <v>Multiple Stock Locations</v>
      </c>
      <c r="K322" s="8"/>
      <c r="L322" s="12"/>
      <c r="M322" s="13"/>
      <c r="N322" s="13" t="str">
        <f>IFERROR(__xludf.DUMMYFUNCTION("IF(ISBLANK(M322),"""",M322*GOOGLEFINANCE(""USDGBP""))"),"")</f>
        <v/>
      </c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</row>
    <row r="323">
      <c r="A323" s="8" t="str">
        <f>IFERROR(__xludf.DUMMYFUNCTION("""COMPUTED_VALUE"""),"101238720180600750")</f>
        <v>101238720180600750</v>
      </c>
      <c r="B323" s="9" t="str">
        <f>IFERROR(__xludf.DUMMYFUNCTION("""COMPUTED_VALUE"""),"France")</f>
        <v>France</v>
      </c>
      <c r="C323" s="9" t="str">
        <f>IFERROR(__xludf.DUMMYFUNCTION("""COMPUTED_VALUE"""),"bordeaux")</f>
        <v>bordeaux</v>
      </c>
      <c r="D323" s="9" t="str">
        <f>IFERROR(__xludf.DUMMYFUNCTION("""COMPUTED_VALUE"""),"Chateau Leoville Poyferre 2eme Cru Classe, Saint-Julien")</f>
        <v>Chateau Leoville Poyferre 2eme Cru Classe, Saint-Julien</v>
      </c>
      <c r="E323" s="9">
        <f>IFERROR(__xludf.DUMMYFUNCTION("""COMPUTED_VALUE"""),2018.0)</f>
        <v>2018</v>
      </c>
      <c r="F323" s="9">
        <f>IFERROR(__xludf.DUMMYFUNCTION("""COMPUTED_VALUE"""),750.0)</f>
        <v>750</v>
      </c>
      <c r="G323" s="9">
        <f>IFERROR(__xludf.DUMMYFUNCTION("""COMPUTED_VALUE"""),6.0)</f>
        <v>6</v>
      </c>
      <c r="H323" s="10">
        <f>IFERROR(__xludf.DUMMYFUNCTION("""COMPUTED_VALUE"""),9.0)</f>
        <v>9</v>
      </c>
      <c r="I323" s="11">
        <f>IFERROR(__xludf.DUMMYFUNCTION("""COMPUTED_VALUE"""),487.0)</f>
        <v>487</v>
      </c>
      <c r="J323" s="9" t="str">
        <f>IFERROR(__xludf.DUMMYFUNCTION("""COMPUTED_VALUE"""),"Multiple Stock Locations")</f>
        <v>Multiple Stock Locations</v>
      </c>
      <c r="K323" s="8"/>
      <c r="L323" s="12"/>
      <c r="M323" s="13"/>
      <c r="N323" s="13" t="str">
        <f>IFERROR(__xludf.DUMMYFUNCTION("IF(ISBLANK(M323),"""",M323*GOOGLEFINANCE(""USDGBP""))"),"")</f>
        <v/>
      </c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</row>
    <row r="324">
      <c r="A324" s="8" t="str">
        <f>IFERROR(__xludf.DUMMYFUNCTION("""COMPUTED_VALUE"""),"100780820150600750")</f>
        <v>100780820150600750</v>
      </c>
      <c r="B324" s="9" t="str">
        <f>IFERROR(__xludf.DUMMYFUNCTION("""COMPUTED_VALUE"""),"France")</f>
        <v>France</v>
      </c>
      <c r="C324" s="9" t="str">
        <f>IFERROR(__xludf.DUMMYFUNCTION("""COMPUTED_VALUE"""),"bordeaux")</f>
        <v>bordeaux</v>
      </c>
      <c r="D324" s="9" t="str">
        <f>IFERROR(__xludf.DUMMYFUNCTION("""COMPUTED_VALUE"""),"Chateau Les Carmes Haut-Brion, Pessac-Leognan")</f>
        <v>Chateau Les Carmes Haut-Brion, Pessac-Leognan</v>
      </c>
      <c r="E324" s="9">
        <f>IFERROR(__xludf.DUMMYFUNCTION("""COMPUTED_VALUE"""),2015.0)</f>
        <v>2015</v>
      </c>
      <c r="F324" s="9">
        <f>IFERROR(__xludf.DUMMYFUNCTION("""COMPUTED_VALUE"""),750.0)</f>
        <v>750</v>
      </c>
      <c r="G324" s="9">
        <f>IFERROR(__xludf.DUMMYFUNCTION("""COMPUTED_VALUE"""),6.0)</f>
        <v>6</v>
      </c>
      <c r="H324" s="10">
        <f>IFERROR(__xludf.DUMMYFUNCTION("""COMPUTED_VALUE"""),4.0)</f>
        <v>4</v>
      </c>
      <c r="I324" s="11">
        <f>IFERROR(__xludf.DUMMYFUNCTION("""COMPUTED_VALUE"""),661.0)</f>
        <v>661</v>
      </c>
      <c r="J324" s="9" t="str">
        <f>IFERROR(__xludf.DUMMYFUNCTION("""COMPUTED_VALUE"""),"Multiple Stock Locations")</f>
        <v>Multiple Stock Locations</v>
      </c>
      <c r="K324" s="8"/>
      <c r="L324" s="12"/>
      <c r="M324" s="13"/>
      <c r="N324" s="13" t="str">
        <f>IFERROR(__xludf.DUMMYFUNCTION("IF(ISBLANK(M324),"""",M324*GOOGLEFINANCE(""USDGBP""))"),"")</f>
        <v/>
      </c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</row>
    <row r="325">
      <c r="A325" s="8" t="str">
        <f>IFERROR(__xludf.DUMMYFUNCTION("""COMPUTED_VALUE"""),"100780820180600750")</f>
        <v>100780820180600750</v>
      </c>
      <c r="B325" s="9" t="str">
        <f>IFERROR(__xludf.DUMMYFUNCTION("""COMPUTED_VALUE"""),"France")</f>
        <v>France</v>
      </c>
      <c r="C325" s="9" t="str">
        <f>IFERROR(__xludf.DUMMYFUNCTION("""COMPUTED_VALUE"""),"bordeaux")</f>
        <v>bordeaux</v>
      </c>
      <c r="D325" s="9" t="str">
        <f>IFERROR(__xludf.DUMMYFUNCTION("""COMPUTED_VALUE"""),"Chateau Les Carmes Haut-Brion, Pessac-Leognan")</f>
        <v>Chateau Les Carmes Haut-Brion, Pessac-Leognan</v>
      </c>
      <c r="E325" s="9">
        <f>IFERROR(__xludf.DUMMYFUNCTION("""COMPUTED_VALUE"""),2018.0)</f>
        <v>2018</v>
      </c>
      <c r="F325" s="9">
        <f>IFERROR(__xludf.DUMMYFUNCTION("""COMPUTED_VALUE"""),750.0)</f>
        <v>750</v>
      </c>
      <c r="G325" s="9">
        <f>IFERROR(__xludf.DUMMYFUNCTION("""COMPUTED_VALUE"""),6.0)</f>
        <v>6</v>
      </c>
      <c r="H325" s="10">
        <f>IFERROR(__xludf.DUMMYFUNCTION("""COMPUTED_VALUE"""),5.0)</f>
        <v>5</v>
      </c>
      <c r="I325" s="11">
        <f>IFERROR(__xludf.DUMMYFUNCTION("""COMPUTED_VALUE"""),603.0)</f>
        <v>603</v>
      </c>
      <c r="J325" s="9" t="str">
        <f>IFERROR(__xludf.DUMMYFUNCTION("""COMPUTED_VALUE"""),"Multiple Stock Locations")</f>
        <v>Multiple Stock Locations</v>
      </c>
      <c r="K325" s="8"/>
      <c r="L325" s="12"/>
      <c r="M325" s="13"/>
      <c r="N325" s="13" t="str">
        <f>IFERROR(__xludf.DUMMYFUNCTION("IF(ISBLANK(M325),"""",M325*GOOGLEFINANCE(""USDGBP""))"),"")</f>
        <v/>
      </c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</row>
    <row r="326">
      <c r="A326" s="8" t="str">
        <f>IFERROR(__xludf.DUMMYFUNCTION("""COMPUTED_VALUE"""),"100780820190600750")</f>
        <v>100780820190600750</v>
      </c>
      <c r="B326" s="9" t="str">
        <f>IFERROR(__xludf.DUMMYFUNCTION("""COMPUTED_VALUE"""),"France")</f>
        <v>France</v>
      </c>
      <c r="C326" s="9" t="str">
        <f>IFERROR(__xludf.DUMMYFUNCTION("""COMPUTED_VALUE"""),"bordeaux")</f>
        <v>bordeaux</v>
      </c>
      <c r="D326" s="9" t="str">
        <f>IFERROR(__xludf.DUMMYFUNCTION("""COMPUTED_VALUE"""),"Chateau Les Carmes Haut-Brion, Pessac-Leognan")</f>
        <v>Chateau Les Carmes Haut-Brion, Pessac-Leognan</v>
      </c>
      <c r="E326" s="9">
        <f>IFERROR(__xludf.DUMMYFUNCTION("""COMPUTED_VALUE"""),2019.0)</f>
        <v>2019</v>
      </c>
      <c r="F326" s="9">
        <f>IFERROR(__xludf.DUMMYFUNCTION("""COMPUTED_VALUE"""),750.0)</f>
        <v>750</v>
      </c>
      <c r="G326" s="9">
        <f>IFERROR(__xludf.DUMMYFUNCTION("""COMPUTED_VALUE"""),6.0)</f>
        <v>6</v>
      </c>
      <c r="H326" s="10">
        <f>IFERROR(__xludf.DUMMYFUNCTION("""COMPUTED_VALUE"""),3.0)</f>
        <v>3</v>
      </c>
      <c r="I326" s="11">
        <f>IFERROR(__xludf.DUMMYFUNCTION("""COMPUTED_VALUE"""),583.0)</f>
        <v>583</v>
      </c>
      <c r="J326" s="9" t="str">
        <f>IFERROR(__xludf.DUMMYFUNCTION("""COMPUTED_VALUE"""),"Multiple Stock Locations")</f>
        <v>Multiple Stock Locations</v>
      </c>
      <c r="K326" s="8"/>
      <c r="L326" s="12"/>
      <c r="M326" s="13"/>
      <c r="N326" s="13" t="str">
        <f>IFERROR(__xludf.DUMMYFUNCTION("IF(ISBLANK(M326),"""",M326*GOOGLEFINANCE(""USDGBP""))"),"")</f>
        <v/>
      </c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</row>
    <row r="327">
      <c r="A327" s="8" t="str">
        <f>IFERROR(__xludf.DUMMYFUNCTION("""COMPUTED_VALUE"""),"100780820200600750")</f>
        <v>100780820200600750</v>
      </c>
      <c r="B327" s="9" t="str">
        <f>IFERROR(__xludf.DUMMYFUNCTION("""COMPUTED_VALUE"""),"France")</f>
        <v>France</v>
      </c>
      <c r="C327" s="9" t="str">
        <f>IFERROR(__xludf.DUMMYFUNCTION("""COMPUTED_VALUE"""),"bordeaux")</f>
        <v>bordeaux</v>
      </c>
      <c r="D327" s="9" t="str">
        <f>IFERROR(__xludf.DUMMYFUNCTION("""COMPUTED_VALUE"""),"Chateau Les Carmes Haut-Brion, Pessac-Leognan")</f>
        <v>Chateau Les Carmes Haut-Brion, Pessac-Leognan</v>
      </c>
      <c r="E327" s="9">
        <f>IFERROR(__xludf.DUMMYFUNCTION("""COMPUTED_VALUE"""),2020.0)</f>
        <v>2020</v>
      </c>
      <c r="F327" s="9">
        <f>IFERROR(__xludf.DUMMYFUNCTION("""COMPUTED_VALUE"""),750.0)</f>
        <v>750</v>
      </c>
      <c r="G327" s="9">
        <f>IFERROR(__xludf.DUMMYFUNCTION("""COMPUTED_VALUE"""),6.0)</f>
        <v>6</v>
      </c>
      <c r="H327" s="10">
        <f>IFERROR(__xludf.DUMMYFUNCTION("""COMPUTED_VALUE"""),2.0)</f>
        <v>2</v>
      </c>
      <c r="I327" s="11">
        <f>IFERROR(__xludf.DUMMYFUNCTION("""COMPUTED_VALUE"""),645.0)</f>
        <v>645</v>
      </c>
      <c r="J327" s="9" t="str">
        <f>IFERROR(__xludf.DUMMYFUNCTION("""COMPUTED_VALUE"""),"Multiple Stock Locations")</f>
        <v>Multiple Stock Locations</v>
      </c>
      <c r="K327" s="8"/>
      <c r="L327" s="12"/>
      <c r="M327" s="13"/>
      <c r="N327" s="13" t="str">
        <f>IFERROR(__xludf.DUMMYFUNCTION("IF(ISBLANK(M327),"""",M327*GOOGLEFINANCE(""USDGBP""))"),"")</f>
        <v/>
      </c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</row>
    <row r="328">
      <c r="A328" s="8" t="str">
        <f>IFERROR(__xludf.DUMMYFUNCTION("""COMPUTED_VALUE"""),"101257620180600750")</f>
        <v>101257620180600750</v>
      </c>
      <c r="B328" s="9" t="str">
        <f>IFERROR(__xludf.DUMMYFUNCTION("""COMPUTED_VALUE"""),"France")</f>
        <v>France</v>
      </c>
      <c r="C328" s="9" t="str">
        <f>IFERROR(__xludf.DUMMYFUNCTION("""COMPUTED_VALUE"""),"bordeaux")</f>
        <v>bordeaux</v>
      </c>
      <c r="D328" s="9" t="str">
        <f>IFERROR(__xludf.DUMMYFUNCTION("""COMPUTED_VALUE"""),"Chateau Lynch-Bages 5eme Cru Classe, Pauillac")</f>
        <v>Chateau Lynch-Bages 5eme Cru Classe, Pauillac</v>
      </c>
      <c r="E328" s="9">
        <f>IFERROR(__xludf.DUMMYFUNCTION("""COMPUTED_VALUE"""),2018.0)</f>
        <v>2018</v>
      </c>
      <c r="F328" s="9">
        <f>IFERROR(__xludf.DUMMYFUNCTION("""COMPUTED_VALUE"""),750.0)</f>
        <v>750</v>
      </c>
      <c r="G328" s="9">
        <f>IFERROR(__xludf.DUMMYFUNCTION("""COMPUTED_VALUE"""),6.0)</f>
        <v>6</v>
      </c>
      <c r="H328" s="10">
        <f>IFERROR(__xludf.DUMMYFUNCTION("""COMPUTED_VALUE"""),13.0)</f>
        <v>13</v>
      </c>
      <c r="I328" s="11">
        <f>IFERROR(__xludf.DUMMYFUNCTION("""COMPUTED_VALUE"""),540.0)</f>
        <v>540</v>
      </c>
      <c r="J328" s="9" t="str">
        <f>IFERROR(__xludf.DUMMYFUNCTION("""COMPUTED_VALUE"""),"Multiple Stock Locations")</f>
        <v>Multiple Stock Locations</v>
      </c>
      <c r="K328" s="8"/>
      <c r="L328" s="12"/>
      <c r="M328" s="13"/>
      <c r="N328" s="13" t="str">
        <f>IFERROR(__xludf.DUMMYFUNCTION("IF(ISBLANK(M328),"""",M328*GOOGLEFINANCE(""USDGBP""))"),"")</f>
        <v/>
      </c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</row>
    <row r="329">
      <c r="A329" s="8" t="str">
        <f>IFERROR(__xludf.DUMMYFUNCTION("""COMPUTED_VALUE"""),"101257620200600750")</f>
        <v>101257620200600750</v>
      </c>
      <c r="B329" s="9" t="str">
        <f>IFERROR(__xludf.DUMMYFUNCTION("""COMPUTED_VALUE"""),"France")</f>
        <v>France</v>
      </c>
      <c r="C329" s="9" t="str">
        <f>IFERROR(__xludf.DUMMYFUNCTION("""COMPUTED_VALUE"""),"bordeaux")</f>
        <v>bordeaux</v>
      </c>
      <c r="D329" s="9" t="str">
        <f>IFERROR(__xludf.DUMMYFUNCTION("""COMPUTED_VALUE"""),"Chateau Lynch-Bages 5eme Cru Classe, Pauillac")</f>
        <v>Chateau Lynch-Bages 5eme Cru Classe, Pauillac</v>
      </c>
      <c r="E329" s="9">
        <f>IFERROR(__xludf.DUMMYFUNCTION("""COMPUTED_VALUE"""),2020.0)</f>
        <v>2020</v>
      </c>
      <c r="F329" s="9">
        <f>IFERROR(__xludf.DUMMYFUNCTION("""COMPUTED_VALUE"""),750.0)</f>
        <v>750</v>
      </c>
      <c r="G329" s="9">
        <f>IFERROR(__xludf.DUMMYFUNCTION("""COMPUTED_VALUE"""),6.0)</f>
        <v>6</v>
      </c>
      <c r="H329" s="10">
        <f>IFERROR(__xludf.DUMMYFUNCTION("""COMPUTED_VALUE"""),8.0)</f>
        <v>8</v>
      </c>
      <c r="I329" s="11">
        <f>IFERROR(__xludf.DUMMYFUNCTION("""COMPUTED_VALUE"""),542.0)</f>
        <v>542</v>
      </c>
      <c r="J329" s="9" t="str">
        <f>IFERROR(__xludf.DUMMYFUNCTION("""COMPUTED_VALUE"""),"Multiple Stock Locations")</f>
        <v>Multiple Stock Locations</v>
      </c>
      <c r="K329" s="8"/>
      <c r="L329" s="12"/>
      <c r="M329" s="13"/>
      <c r="N329" s="13" t="str">
        <f>IFERROR(__xludf.DUMMYFUNCTION("IF(ISBLANK(M329),"""",M329*GOOGLEFINANCE(""USDGBP""))"),"")</f>
        <v/>
      </c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</row>
    <row r="330">
      <c r="A330" s="8" t="str">
        <f>IFERROR(__xludf.DUMMYFUNCTION("""COMPUTED_VALUE"""),"101278120200600750")</f>
        <v>101278120200600750</v>
      </c>
      <c r="B330" s="9" t="str">
        <f>IFERROR(__xludf.DUMMYFUNCTION("""COMPUTED_VALUE"""),"France")</f>
        <v>France</v>
      </c>
      <c r="C330" s="9" t="str">
        <f>IFERROR(__xludf.DUMMYFUNCTION("""COMPUTED_VALUE"""),"bordeaux")</f>
        <v>bordeaux</v>
      </c>
      <c r="D330" s="9" t="str">
        <f>IFERROR(__xludf.DUMMYFUNCTION("""COMPUTED_VALUE"""),"Chateau Margaux Premier Cru Classe, Margaux")</f>
        <v>Chateau Margaux Premier Cru Classe, Margaux</v>
      </c>
      <c r="E330" s="9">
        <f>IFERROR(__xludf.DUMMYFUNCTION("""COMPUTED_VALUE"""),2020.0)</f>
        <v>2020</v>
      </c>
      <c r="F330" s="9">
        <f>IFERROR(__xludf.DUMMYFUNCTION("""COMPUTED_VALUE"""),750.0)</f>
        <v>750</v>
      </c>
      <c r="G330" s="9">
        <f>IFERROR(__xludf.DUMMYFUNCTION("""COMPUTED_VALUE"""),6.0)</f>
        <v>6</v>
      </c>
      <c r="H330" s="10">
        <f>IFERROR(__xludf.DUMMYFUNCTION("""COMPUTED_VALUE"""),5.0)</f>
        <v>5</v>
      </c>
      <c r="I330" s="11">
        <f>IFERROR(__xludf.DUMMYFUNCTION("""COMPUTED_VALUE"""),2710.0)</f>
        <v>2710</v>
      </c>
      <c r="J330" s="9" t="str">
        <f>IFERROR(__xludf.DUMMYFUNCTION("""COMPUTED_VALUE"""),"Multiple Stock Locations")</f>
        <v>Multiple Stock Locations</v>
      </c>
      <c r="K330" s="8"/>
      <c r="L330" s="12"/>
      <c r="M330" s="13"/>
      <c r="N330" s="13" t="str">
        <f>IFERROR(__xludf.DUMMYFUNCTION("IF(ISBLANK(M330),"""",M330*GOOGLEFINANCE(""USDGBP""))"),"")</f>
        <v/>
      </c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</row>
    <row r="331">
      <c r="A331" s="8" t="str">
        <f>IFERROR(__xludf.DUMMYFUNCTION("""COMPUTED_VALUE"""),"101329620160600750")</f>
        <v>101329620160600750</v>
      </c>
      <c r="B331" s="9" t="str">
        <f>IFERROR(__xludf.DUMMYFUNCTION("""COMPUTED_VALUE"""),"France")</f>
        <v>France</v>
      </c>
      <c r="C331" s="9" t="str">
        <f>IFERROR(__xludf.DUMMYFUNCTION("""COMPUTED_VALUE"""),"bordeaux")</f>
        <v>bordeaux</v>
      </c>
      <c r="D331" s="9" t="str">
        <f>IFERROR(__xludf.DUMMYFUNCTION("""COMPUTED_VALUE"""),"Chateau Montrose 2eme Cru Classe, Saint-Estephe")</f>
        <v>Chateau Montrose 2eme Cru Classe, Saint-Estephe</v>
      </c>
      <c r="E331" s="9">
        <f>IFERROR(__xludf.DUMMYFUNCTION("""COMPUTED_VALUE"""),2016.0)</f>
        <v>2016</v>
      </c>
      <c r="F331" s="9">
        <f>IFERROR(__xludf.DUMMYFUNCTION("""COMPUTED_VALUE"""),750.0)</f>
        <v>750</v>
      </c>
      <c r="G331" s="9">
        <f>IFERROR(__xludf.DUMMYFUNCTION("""COMPUTED_VALUE"""),6.0)</f>
        <v>6</v>
      </c>
      <c r="H331" s="10">
        <f>IFERROR(__xludf.DUMMYFUNCTION("""COMPUTED_VALUE"""),2.0)</f>
        <v>2</v>
      </c>
      <c r="I331" s="11">
        <f>IFERROR(__xludf.DUMMYFUNCTION("""COMPUTED_VALUE"""),923.0)</f>
        <v>923</v>
      </c>
      <c r="J331" s="9" t="str">
        <f>IFERROR(__xludf.DUMMYFUNCTION("""COMPUTED_VALUE"""),"Multiple Stock Locations")</f>
        <v>Multiple Stock Locations</v>
      </c>
      <c r="K331" s="8"/>
      <c r="L331" s="12"/>
      <c r="M331" s="13"/>
      <c r="N331" s="13" t="str">
        <f>IFERROR(__xludf.DUMMYFUNCTION("IF(ISBLANK(M331),"""",M331*GOOGLEFINANCE(""USDGBP""))"),"")</f>
        <v/>
      </c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</row>
    <row r="332">
      <c r="A332" s="8" t="str">
        <f>IFERROR(__xludf.DUMMYFUNCTION("""COMPUTED_VALUE"""),"101329620190600750")</f>
        <v>101329620190600750</v>
      </c>
      <c r="B332" s="9" t="str">
        <f>IFERROR(__xludf.DUMMYFUNCTION("""COMPUTED_VALUE"""),"France")</f>
        <v>France</v>
      </c>
      <c r="C332" s="9" t="str">
        <f>IFERROR(__xludf.DUMMYFUNCTION("""COMPUTED_VALUE"""),"bordeaux")</f>
        <v>bordeaux</v>
      </c>
      <c r="D332" s="9" t="str">
        <f>IFERROR(__xludf.DUMMYFUNCTION("""COMPUTED_VALUE"""),"Chateau Montrose 2eme Cru Classe, Saint-Estephe")</f>
        <v>Chateau Montrose 2eme Cru Classe, Saint-Estephe</v>
      </c>
      <c r="E332" s="9">
        <f>IFERROR(__xludf.DUMMYFUNCTION("""COMPUTED_VALUE"""),2019.0)</f>
        <v>2019</v>
      </c>
      <c r="F332" s="9">
        <f>IFERROR(__xludf.DUMMYFUNCTION("""COMPUTED_VALUE"""),750.0)</f>
        <v>750</v>
      </c>
      <c r="G332" s="9">
        <f>IFERROR(__xludf.DUMMYFUNCTION("""COMPUTED_VALUE"""),6.0)</f>
        <v>6</v>
      </c>
      <c r="H332" s="10">
        <f>IFERROR(__xludf.DUMMYFUNCTION("""COMPUTED_VALUE"""),3.0)</f>
        <v>3</v>
      </c>
      <c r="I332" s="11">
        <f>IFERROR(__xludf.DUMMYFUNCTION("""COMPUTED_VALUE"""),812.0)</f>
        <v>812</v>
      </c>
      <c r="J332" s="9" t="str">
        <f>IFERROR(__xludf.DUMMYFUNCTION("""COMPUTED_VALUE"""),"Multiple Stock Locations")</f>
        <v>Multiple Stock Locations</v>
      </c>
      <c r="K332" s="8"/>
      <c r="L332" s="12"/>
      <c r="M332" s="13"/>
      <c r="N332" s="13" t="str">
        <f>IFERROR(__xludf.DUMMYFUNCTION("IF(ISBLANK(M332),"""",M332*GOOGLEFINANCE(""USDGBP""))"),"")</f>
        <v/>
      </c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</row>
    <row r="333">
      <c r="A333" s="8" t="str">
        <f>IFERROR(__xludf.DUMMYFUNCTION("""COMPUTED_VALUE"""),"101354420150600750")</f>
        <v>101354420150600750</v>
      </c>
      <c r="B333" s="9" t="str">
        <f>IFERROR(__xludf.DUMMYFUNCTION("""COMPUTED_VALUE"""),"France")</f>
        <v>France</v>
      </c>
      <c r="C333" s="9" t="str">
        <f>IFERROR(__xludf.DUMMYFUNCTION("""COMPUTED_VALUE"""),"bordeaux")</f>
        <v>bordeaux</v>
      </c>
      <c r="D333" s="9" t="str">
        <f>IFERROR(__xludf.DUMMYFUNCTION("""COMPUTED_VALUE"""),"Chateau Mouton Rothschild Premier Cru Classe, Pauillac")</f>
        <v>Chateau Mouton Rothschild Premier Cru Classe, Pauillac</v>
      </c>
      <c r="E333" s="9">
        <f>IFERROR(__xludf.DUMMYFUNCTION("""COMPUTED_VALUE"""),2015.0)</f>
        <v>2015</v>
      </c>
      <c r="F333" s="9">
        <f>IFERROR(__xludf.DUMMYFUNCTION("""COMPUTED_VALUE"""),750.0)</f>
        <v>750</v>
      </c>
      <c r="G333" s="9">
        <f>IFERROR(__xludf.DUMMYFUNCTION("""COMPUTED_VALUE"""),6.0)</f>
        <v>6</v>
      </c>
      <c r="H333" s="10">
        <f>IFERROR(__xludf.DUMMYFUNCTION("""COMPUTED_VALUE"""),1.0)</f>
        <v>1</v>
      </c>
      <c r="I333" s="11">
        <f>IFERROR(__xludf.DUMMYFUNCTION("""COMPUTED_VALUE"""),2530.0)</f>
        <v>2530</v>
      </c>
      <c r="J333" s="9" t="str">
        <f>IFERROR(__xludf.DUMMYFUNCTION("""COMPUTED_VALUE"""),"Multiple Stock Locations")</f>
        <v>Multiple Stock Locations</v>
      </c>
      <c r="K333" s="8"/>
      <c r="L333" s="12"/>
      <c r="M333" s="13"/>
      <c r="N333" s="13" t="str">
        <f>IFERROR(__xludf.DUMMYFUNCTION("IF(ISBLANK(M333),"""",M333*GOOGLEFINANCE(""USDGBP""))"),"")</f>
        <v/>
      </c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</row>
    <row r="334">
      <c r="A334" s="8" t="str">
        <f>IFERROR(__xludf.DUMMYFUNCTION("""COMPUTED_VALUE"""),"101354420190100750")</f>
        <v>101354420190100750</v>
      </c>
      <c r="B334" s="9" t="str">
        <f>IFERROR(__xludf.DUMMYFUNCTION("""COMPUTED_VALUE"""),"France")</f>
        <v>France</v>
      </c>
      <c r="C334" s="9" t="str">
        <f>IFERROR(__xludf.DUMMYFUNCTION("""COMPUTED_VALUE"""),"bordeaux")</f>
        <v>bordeaux</v>
      </c>
      <c r="D334" s="9" t="str">
        <f>IFERROR(__xludf.DUMMYFUNCTION("""COMPUTED_VALUE"""),"Chateau Mouton Rothschild Premier Cru Classe, Pauillac")</f>
        <v>Chateau Mouton Rothschild Premier Cru Classe, Pauillac</v>
      </c>
      <c r="E334" s="9">
        <f>IFERROR(__xludf.DUMMYFUNCTION("""COMPUTED_VALUE"""),2019.0)</f>
        <v>2019</v>
      </c>
      <c r="F334" s="9">
        <f>IFERROR(__xludf.DUMMYFUNCTION("""COMPUTED_VALUE"""),750.0)</f>
        <v>750</v>
      </c>
      <c r="G334" s="9">
        <f>IFERROR(__xludf.DUMMYFUNCTION("""COMPUTED_VALUE"""),1.0)</f>
        <v>1</v>
      </c>
      <c r="H334" s="10">
        <f>IFERROR(__xludf.DUMMYFUNCTION("""COMPUTED_VALUE"""),6.0)</f>
        <v>6</v>
      </c>
      <c r="I334" s="11">
        <f>IFERROR(__xludf.DUMMYFUNCTION("""COMPUTED_VALUE"""),415.0)</f>
        <v>415</v>
      </c>
      <c r="J334" s="9" t="str">
        <f>IFERROR(__xludf.DUMMYFUNCTION("""COMPUTED_VALUE"""),"Multiple Stock Locations")</f>
        <v>Multiple Stock Locations</v>
      </c>
      <c r="K334" s="8"/>
      <c r="L334" s="12"/>
      <c r="M334" s="13"/>
      <c r="N334" s="13" t="str">
        <f>IFERROR(__xludf.DUMMYFUNCTION("IF(ISBLANK(M334),"""",M334*GOOGLEFINANCE(""USDGBP""))"),"")</f>
        <v/>
      </c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</row>
    <row r="335">
      <c r="A335" s="8" t="str">
        <f>IFERROR(__xludf.DUMMYFUNCTION("""COMPUTED_VALUE"""),"101354420200600750")</f>
        <v>101354420200600750</v>
      </c>
      <c r="B335" s="9" t="str">
        <f>IFERROR(__xludf.DUMMYFUNCTION("""COMPUTED_VALUE"""),"France")</f>
        <v>France</v>
      </c>
      <c r="C335" s="9" t="str">
        <f>IFERROR(__xludf.DUMMYFUNCTION("""COMPUTED_VALUE"""),"bordeaux")</f>
        <v>bordeaux</v>
      </c>
      <c r="D335" s="9" t="str">
        <f>IFERROR(__xludf.DUMMYFUNCTION("""COMPUTED_VALUE"""),"Chateau Mouton Rothschild Premier Cru Classe, Pauillac")</f>
        <v>Chateau Mouton Rothschild Premier Cru Classe, Pauillac</v>
      </c>
      <c r="E335" s="9">
        <f>IFERROR(__xludf.DUMMYFUNCTION("""COMPUTED_VALUE"""),2020.0)</f>
        <v>2020</v>
      </c>
      <c r="F335" s="9">
        <f>IFERROR(__xludf.DUMMYFUNCTION("""COMPUTED_VALUE"""),750.0)</f>
        <v>750</v>
      </c>
      <c r="G335" s="9">
        <f>IFERROR(__xludf.DUMMYFUNCTION("""COMPUTED_VALUE"""),6.0)</f>
        <v>6</v>
      </c>
      <c r="H335" s="10">
        <f>IFERROR(__xludf.DUMMYFUNCTION("""COMPUTED_VALUE"""),5.0)</f>
        <v>5</v>
      </c>
      <c r="I335" s="11">
        <f>IFERROR(__xludf.DUMMYFUNCTION("""COMPUTED_VALUE"""),2710.0)</f>
        <v>2710</v>
      </c>
      <c r="J335" s="9" t="str">
        <f>IFERROR(__xludf.DUMMYFUNCTION("""COMPUTED_VALUE"""),"Multiple Stock Locations")</f>
        <v>Multiple Stock Locations</v>
      </c>
      <c r="K335" s="8"/>
      <c r="L335" s="12"/>
      <c r="M335" s="13"/>
      <c r="N335" s="13" t="str">
        <f>IFERROR(__xludf.DUMMYFUNCTION("IF(ISBLANK(M335),"""",M335*GOOGLEFINANCE(""USDGBP""))"),"")</f>
        <v/>
      </c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</row>
    <row r="336">
      <c r="A336" s="8" t="str">
        <f>IFERROR(__xludf.DUMMYFUNCTION("""COMPUTED_VALUE"""),"101365820210600750")</f>
        <v>101365820210600750</v>
      </c>
      <c r="B336" s="9" t="str">
        <f>IFERROR(__xludf.DUMMYFUNCTION("""COMPUTED_VALUE"""),"France")</f>
        <v>France</v>
      </c>
      <c r="C336" s="9" t="str">
        <f>IFERROR(__xludf.DUMMYFUNCTION("""COMPUTED_VALUE"""),"bordeaux")</f>
        <v>bordeaux</v>
      </c>
      <c r="D336" s="9" t="str">
        <f>IFERROR(__xludf.DUMMYFUNCTION("""COMPUTED_VALUE"""),"Chateau Palmer 3eme Cru Classe, Margaux")</f>
        <v>Chateau Palmer 3eme Cru Classe, Margaux</v>
      </c>
      <c r="E336" s="9">
        <f>IFERROR(__xludf.DUMMYFUNCTION("""COMPUTED_VALUE"""),2021.0)</f>
        <v>2021</v>
      </c>
      <c r="F336" s="9">
        <f>IFERROR(__xludf.DUMMYFUNCTION("""COMPUTED_VALUE"""),750.0)</f>
        <v>750</v>
      </c>
      <c r="G336" s="9">
        <f>IFERROR(__xludf.DUMMYFUNCTION("""COMPUTED_VALUE"""),6.0)</f>
        <v>6</v>
      </c>
      <c r="H336" s="10">
        <f>IFERROR(__xludf.DUMMYFUNCTION("""COMPUTED_VALUE"""),1.0)</f>
        <v>1</v>
      </c>
      <c r="I336" s="11">
        <f>IFERROR(__xludf.DUMMYFUNCTION("""COMPUTED_VALUE"""),1336.0)</f>
        <v>1336</v>
      </c>
      <c r="J336" s="9" t="str">
        <f>IFERROR(__xludf.DUMMYFUNCTION("""COMPUTED_VALUE"""),"Multiple Stock Locations")</f>
        <v>Multiple Stock Locations</v>
      </c>
      <c r="K336" s="8"/>
      <c r="L336" s="12"/>
      <c r="M336" s="13"/>
      <c r="N336" s="13" t="str">
        <f>IFERROR(__xludf.DUMMYFUNCTION("IF(ISBLANK(M336),"""",M336*GOOGLEFINANCE(""USDGBP""))"),"")</f>
        <v/>
      </c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</row>
    <row r="337">
      <c r="A337" s="8" t="str">
        <f>IFERROR(__xludf.DUMMYFUNCTION("""COMPUTED_VALUE"""),"101369020190600750")</f>
        <v>101369020190600750</v>
      </c>
      <c r="B337" s="9" t="str">
        <f>IFERROR(__xludf.DUMMYFUNCTION("""COMPUTED_VALUE"""),"France")</f>
        <v>France</v>
      </c>
      <c r="C337" s="9" t="str">
        <f>IFERROR(__xludf.DUMMYFUNCTION("""COMPUTED_VALUE"""),"bordeaux")</f>
        <v>bordeaux</v>
      </c>
      <c r="D337" s="9" t="str">
        <f>IFERROR(__xludf.DUMMYFUNCTION("""COMPUTED_VALUE"""),"Chateau Pape Clement Cru Classe, Pessac-Leognan")</f>
        <v>Chateau Pape Clement Cru Classe, Pessac-Leognan</v>
      </c>
      <c r="E337" s="9">
        <f>IFERROR(__xludf.DUMMYFUNCTION("""COMPUTED_VALUE"""),2019.0)</f>
        <v>2019</v>
      </c>
      <c r="F337" s="9">
        <f>IFERROR(__xludf.DUMMYFUNCTION("""COMPUTED_VALUE"""),750.0)</f>
        <v>750</v>
      </c>
      <c r="G337" s="9">
        <f>IFERROR(__xludf.DUMMYFUNCTION("""COMPUTED_VALUE"""),6.0)</f>
        <v>6</v>
      </c>
      <c r="H337" s="10">
        <f>IFERROR(__xludf.DUMMYFUNCTION("""COMPUTED_VALUE"""),13.0)</f>
        <v>13</v>
      </c>
      <c r="I337" s="11">
        <f>IFERROR(__xludf.DUMMYFUNCTION("""COMPUTED_VALUE"""),336.0)</f>
        <v>336</v>
      </c>
      <c r="J337" s="9" t="str">
        <f>IFERROR(__xludf.DUMMYFUNCTION("""COMPUTED_VALUE"""),"Multiple Stock Locations")</f>
        <v>Multiple Stock Locations</v>
      </c>
      <c r="K337" s="8"/>
      <c r="L337" s="12"/>
      <c r="M337" s="13"/>
      <c r="N337" s="13" t="str">
        <f>IFERROR(__xludf.DUMMYFUNCTION("IF(ISBLANK(M337),"""",M337*GOOGLEFINANCE(""USDGBP""))"),"")</f>
        <v/>
      </c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</row>
    <row r="338">
      <c r="A338" s="8" t="str">
        <f>IFERROR(__xludf.DUMMYFUNCTION("""COMPUTED_VALUE"""),"101369020200600750")</f>
        <v>101369020200600750</v>
      </c>
      <c r="B338" s="9" t="str">
        <f>IFERROR(__xludf.DUMMYFUNCTION("""COMPUTED_VALUE"""),"France")</f>
        <v>France</v>
      </c>
      <c r="C338" s="9" t="str">
        <f>IFERROR(__xludf.DUMMYFUNCTION("""COMPUTED_VALUE"""),"bordeaux")</f>
        <v>bordeaux</v>
      </c>
      <c r="D338" s="9" t="str">
        <f>IFERROR(__xludf.DUMMYFUNCTION("""COMPUTED_VALUE"""),"Chateau Pape Clement Cru Classe, Pessac-Leognan")</f>
        <v>Chateau Pape Clement Cru Classe, Pessac-Leognan</v>
      </c>
      <c r="E338" s="9">
        <f>IFERROR(__xludf.DUMMYFUNCTION("""COMPUTED_VALUE"""),2020.0)</f>
        <v>2020</v>
      </c>
      <c r="F338" s="9">
        <f>IFERROR(__xludf.DUMMYFUNCTION("""COMPUTED_VALUE"""),750.0)</f>
        <v>750</v>
      </c>
      <c r="G338" s="9">
        <f>IFERROR(__xludf.DUMMYFUNCTION("""COMPUTED_VALUE"""),6.0)</f>
        <v>6</v>
      </c>
      <c r="H338" s="10">
        <f>IFERROR(__xludf.DUMMYFUNCTION("""COMPUTED_VALUE"""),4.0)</f>
        <v>4</v>
      </c>
      <c r="I338" s="11">
        <f>IFERROR(__xludf.DUMMYFUNCTION("""COMPUTED_VALUE"""),347.0)</f>
        <v>347</v>
      </c>
      <c r="J338" s="9" t="str">
        <f>IFERROR(__xludf.DUMMYFUNCTION("""COMPUTED_VALUE"""),"Multiple Stock Locations")</f>
        <v>Multiple Stock Locations</v>
      </c>
      <c r="K338" s="8"/>
      <c r="L338" s="12"/>
      <c r="M338" s="13"/>
      <c r="N338" s="13" t="str">
        <f>IFERROR(__xludf.DUMMYFUNCTION("IF(ISBLANK(M338),"""",M338*GOOGLEFINANCE(""USDGBP""))"),"")</f>
        <v/>
      </c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</row>
    <row r="339">
      <c r="A339" s="8" t="str">
        <f>IFERROR(__xludf.DUMMYFUNCTION("""COMPUTED_VALUE"""),"101385020200600750")</f>
        <v>101385020200600750</v>
      </c>
      <c r="B339" s="9" t="str">
        <f>IFERROR(__xludf.DUMMYFUNCTION("""COMPUTED_VALUE"""),"France")</f>
        <v>France</v>
      </c>
      <c r="C339" s="9" t="str">
        <f>IFERROR(__xludf.DUMMYFUNCTION("""COMPUTED_VALUE"""),"bordeaux")</f>
        <v>bordeaux</v>
      </c>
      <c r="D339" s="9" t="str">
        <f>IFERROR(__xludf.DUMMYFUNCTION("""COMPUTED_VALUE"""),"Chateau Pavie Premier Grand Cru Classe A, Saint-Emilion Grand Cru")</f>
        <v>Chateau Pavie Premier Grand Cru Classe A, Saint-Emilion Grand Cru</v>
      </c>
      <c r="E339" s="9">
        <f>IFERROR(__xludf.DUMMYFUNCTION("""COMPUTED_VALUE"""),2020.0)</f>
        <v>2020</v>
      </c>
      <c r="F339" s="9">
        <f>IFERROR(__xludf.DUMMYFUNCTION("""COMPUTED_VALUE"""),750.0)</f>
        <v>750</v>
      </c>
      <c r="G339" s="9">
        <f>IFERROR(__xludf.DUMMYFUNCTION("""COMPUTED_VALUE"""),6.0)</f>
        <v>6</v>
      </c>
      <c r="H339" s="10">
        <f>IFERROR(__xludf.DUMMYFUNCTION("""COMPUTED_VALUE"""),4.0)</f>
        <v>4</v>
      </c>
      <c r="I339" s="11">
        <f>IFERROR(__xludf.DUMMYFUNCTION("""COMPUTED_VALUE"""),1336.0)</f>
        <v>1336</v>
      </c>
      <c r="J339" s="9" t="str">
        <f>IFERROR(__xludf.DUMMYFUNCTION("""COMPUTED_VALUE"""),"Multiple Stock Locations")</f>
        <v>Multiple Stock Locations</v>
      </c>
      <c r="K339" s="8"/>
      <c r="L339" s="12"/>
      <c r="M339" s="13"/>
      <c r="N339" s="13" t="str">
        <f>IFERROR(__xludf.DUMMYFUNCTION("IF(ISBLANK(M339),"""",M339*GOOGLEFINANCE(""USDGBP""))"),"")</f>
        <v/>
      </c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</row>
    <row r="340">
      <c r="A340" s="8" t="str">
        <f>IFERROR(__xludf.DUMMYFUNCTION("""COMPUTED_VALUE"""),"101417620180600750")</f>
        <v>101417620180600750</v>
      </c>
      <c r="B340" s="9" t="str">
        <f>IFERROR(__xludf.DUMMYFUNCTION("""COMPUTED_VALUE"""),"France")</f>
        <v>France</v>
      </c>
      <c r="C340" s="9" t="str">
        <f>IFERROR(__xludf.DUMMYFUNCTION("""COMPUTED_VALUE"""),"bordeaux")</f>
        <v>bordeaux</v>
      </c>
      <c r="D340" s="9" t="str">
        <f>IFERROR(__xludf.DUMMYFUNCTION("""COMPUTED_VALUE"""),"Chateau Pichon Longueville Comtesse de Lalande 2eme Cru Classe, Pauillac")</f>
        <v>Chateau Pichon Longueville Comtesse de Lalande 2eme Cru Classe, Pauillac</v>
      </c>
      <c r="E340" s="9">
        <f>IFERROR(__xludf.DUMMYFUNCTION("""COMPUTED_VALUE"""),2018.0)</f>
        <v>2018</v>
      </c>
      <c r="F340" s="9">
        <f>IFERROR(__xludf.DUMMYFUNCTION("""COMPUTED_VALUE"""),750.0)</f>
        <v>750</v>
      </c>
      <c r="G340" s="9">
        <f>IFERROR(__xludf.DUMMYFUNCTION("""COMPUTED_VALUE"""),6.0)</f>
        <v>6</v>
      </c>
      <c r="H340" s="10">
        <f>IFERROR(__xludf.DUMMYFUNCTION("""COMPUTED_VALUE"""),4.0)</f>
        <v>4</v>
      </c>
      <c r="I340" s="11">
        <f>IFERROR(__xludf.DUMMYFUNCTION("""COMPUTED_VALUE"""),872.0)</f>
        <v>872</v>
      </c>
      <c r="J340" s="9" t="str">
        <f>IFERROR(__xludf.DUMMYFUNCTION("""COMPUTED_VALUE"""),"Multiple Stock Locations")</f>
        <v>Multiple Stock Locations</v>
      </c>
      <c r="K340" s="8"/>
      <c r="L340" s="12"/>
      <c r="M340" s="13"/>
      <c r="N340" s="13" t="str">
        <f>IFERROR(__xludf.DUMMYFUNCTION("IF(ISBLANK(M340),"""",M340*GOOGLEFINANCE(""USDGBP""))"),"")</f>
        <v/>
      </c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</row>
    <row r="341">
      <c r="A341" s="8" t="str">
        <f>IFERROR(__xludf.DUMMYFUNCTION("""COMPUTED_VALUE"""),"101417620200600750")</f>
        <v>101417620200600750</v>
      </c>
      <c r="B341" s="9" t="str">
        <f>IFERROR(__xludf.DUMMYFUNCTION("""COMPUTED_VALUE"""),"France")</f>
        <v>France</v>
      </c>
      <c r="C341" s="9" t="str">
        <f>IFERROR(__xludf.DUMMYFUNCTION("""COMPUTED_VALUE"""),"bordeaux")</f>
        <v>bordeaux</v>
      </c>
      <c r="D341" s="9" t="str">
        <f>IFERROR(__xludf.DUMMYFUNCTION("""COMPUTED_VALUE"""),"Chateau Pichon Longueville Comtesse de Lalande 2eme Cru Classe, Pauillac")</f>
        <v>Chateau Pichon Longueville Comtesse de Lalande 2eme Cru Classe, Pauillac</v>
      </c>
      <c r="E341" s="9">
        <f>IFERROR(__xludf.DUMMYFUNCTION("""COMPUTED_VALUE"""),2020.0)</f>
        <v>2020</v>
      </c>
      <c r="F341" s="9">
        <f>IFERROR(__xludf.DUMMYFUNCTION("""COMPUTED_VALUE"""),750.0)</f>
        <v>750</v>
      </c>
      <c r="G341" s="9">
        <f>IFERROR(__xludf.DUMMYFUNCTION("""COMPUTED_VALUE"""),6.0)</f>
        <v>6</v>
      </c>
      <c r="H341" s="10">
        <f>IFERROR(__xludf.DUMMYFUNCTION("""COMPUTED_VALUE"""),2.0)</f>
        <v>2</v>
      </c>
      <c r="I341" s="11">
        <f>IFERROR(__xludf.DUMMYFUNCTION("""COMPUTED_VALUE"""),856.0)</f>
        <v>856</v>
      </c>
      <c r="J341" s="9" t="str">
        <f>IFERROR(__xludf.DUMMYFUNCTION("""COMPUTED_VALUE"""),"Multiple Stock Locations")</f>
        <v>Multiple Stock Locations</v>
      </c>
      <c r="K341" s="8"/>
      <c r="L341" s="12"/>
      <c r="M341" s="13"/>
      <c r="N341" s="13" t="str">
        <f>IFERROR(__xludf.DUMMYFUNCTION("IF(ISBLANK(M341),"""",M341*GOOGLEFINANCE(""USDGBP""))"),"")</f>
        <v/>
      </c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</row>
    <row r="342">
      <c r="A342" s="8" t="str">
        <f>IFERROR(__xludf.DUMMYFUNCTION("""COMPUTED_VALUE"""),"101430720160600750")</f>
        <v>101430720160600750</v>
      </c>
      <c r="B342" s="9" t="str">
        <f>IFERROR(__xludf.DUMMYFUNCTION("""COMPUTED_VALUE"""),"France")</f>
        <v>France</v>
      </c>
      <c r="C342" s="9" t="str">
        <f>IFERROR(__xludf.DUMMYFUNCTION("""COMPUTED_VALUE"""),"bordeaux")</f>
        <v>bordeaux</v>
      </c>
      <c r="D342" s="9" t="str">
        <f>IFERROR(__xludf.DUMMYFUNCTION("""COMPUTED_VALUE"""),"Chateau Pontet-Canet 5eme Cru Classe, Pauillac")</f>
        <v>Chateau Pontet-Canet 5eme Cru Classe, Pauillac</v>
      </c>
      <c r="E342" s="9">
        <f>IFERROR(__xludf.DUMMYFUNCTION("""COMPUTED_VALUE"""),2016.0)</f>
        <v>2016</v>
      </c>
      <c r="F342" s="9">
        <f>IFERROR(__xludf.DUMMYFUNCTION("""COMPUTED_VALUE"""),750.0)</f>
        <v>750</v>
      </c>
      <c r="G342" s="9">
        <f>IFERROR(__xludf.DUMMYFUNCTION("""COMPUTED_VALUE"""),6.0)</f>
        <v>6</v>
      </c>
      <c r="H342" s="10">
        <f>IFERROR(__xludf.DUMMYFUNCTION("""COMPUTED_VALUE"""),13.0)</f>
        <v>13</v>
      </c>
      <c r="I342" s="11">
        <f>IFERROR(__xludf.DUMMYFUNCTION("""COMPUTED_VALUE"""),655.0)</f>
        <v>655</v>
      </c>
      <c r="J342" s="9" t="str">
        <f>IFERROR(__xludf.DUMMYFUNCTION("""COMPUTED_VALUE"""),"Multiple Stock Locations")</f>
        <v>Multiple Stock Locations</v>
      </c>
      <c r="K342" s="8"/>
      <c r="L342" s="12"/>
      <c r="M342" s="13"/>
      <c r="N342" s="13" t="str">
        <f>IFERROR(__xludf.DUMMYFUNCTION("IF(ISBLANK(M342),"""",M342*GOOGLEFINANCE(""USDGBP""))"),"")</f>
        <v/>
      </c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</row>
    <row r="343">
      <c r="A343" s="8" t="str">
        <f>IFERROR(__xludf.DUMMYFUNCTION("""COMPUTED_VALUE"""),"101430720190600750")</f>
        <v>101430720190600750</v>
      </c>
      <c r="B343" s="9" t="str">
        <f>IFERROR(__xludf.DUMMYFUNCTION("""COMPUTED_VALUE"""),"France")</f>
        <v>France</v>
      </c>
      <c r="C343" s="9" t="str">
        <f>IFERROR(__xludf.DUMMYFUNCTION("""COMPUTED_VALUE"""),"bordeaux")</f>
        <v>bordeaux</v>
      </c>
      <c r="D343" s="9" t="str">
        <f>IFERROR(__xludf.DUMMYFUNCTION("""COMPUTED_VALUE"""),"Chateau Pontet-Canet 5eme Cru Classe, Pauillac")</f>
        <v>Chateau Pontet-Canet 5eme Cru Classe, Pauillac</v>
      </c>
      <c r="E343" s="9">
        <f>IFERROR(__xludf.DUMMYFUNCTION("""COMPUTED_VALUE"""),2019.0)</f>
        <v>2019</v>
      </c>
      <c r="F343" s="9">
        <f>IFERROR(__xludf.DUMMYFUNCTION("""COMPUTED_VALUE"""),750.0)</f>
        <v>750</v>
      </c>
      <c r="G343" s="9">
        <f>IFERROR(__xludf.DUMMYFUNCTION("""COMPUTED_VALUE"""),6.0)</f>
        <v>6</v>
      </c>
      <c r="H343" s="10">
        <f>IFERROR(__xludf.DUMMYFUNCTION("""COMPUTED_VALUE"""),4.0)</f>
        <v>4</v>
      </c>
      <c r="I343" s="11">
        <f>IFERROR(__xludf.DUMMYFUNCTION("""COMPUTED_VALUE"""),394.0)</f>
        <v>394</v>
      </c>
      <c r="J343" s="9" t="str">
        <f>IFERROR(__xludf.DUMMYFUNCTION("""COMPUTED_VALUE"""),"Multiple Stock Locations")</f>
        <v>Multiple Stock Locations</v>
      </c>
      <c r="K343" s="8"/>
      <c r="L343" s="12"/>
      <c r="M343" s="13"/>
      <c r="N343" s="13" t="str">
        <f>IFERROR(__xludf.DUMMYFUNCTION("IF(ISBLANK(M343),"""",M343*GOOGLEFINANCE(""USDGBP""))"),"")</f>
        <v/>
      </c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</row>
    <row r="344">
      <c r="A344" s="8" t="str">
        <f>IFERROR(__xludf.DUMMYFUNCTION("""COMPUTED_VALUE"""),"101460020180600750")</f>
        <v>101460020180600750</v>
      </c>
      <c r="B344" s="9" t="str">
        <f>IFERROR(__xludf.DUMMYFUNCTION("""COMPUTED_VALUE"""),"France")</f>
        <v>France</v>
      </c>
      <c r="C344" s="9" t="str">
        <f>IFERROR(__xludf.DUMMYFUNCTION("""COMPUTED_VALUE"""),"bordeaux")</f>
        <v>bordeaux</v>
      </c>
      <c r="D344" s="9" t="str">
        <f>IFERROR(__xludf.DUMMYFUNCTION("""COMPUTED_VALUE"""),"Chateau Rauzan-Segla 2eme Cru Classe, Margaux")</f>
        <v>Chateau Rauzan-Segla 2eme Cru Classe, Margaux</v>
      </c>
      <c r="E344" s="9">
        <f>IFERROR(__xludf.DUMMYFUNCTION("""COMPUTED_VALUE"""),2018.0)</f>
        <v>2018</v>
      </c>
      <c r="F344" s="9">
        <f>IFERROR(__xludf.DUMMYFUNCTION("""COMPUTED_VALUE"""),750.0)</f>
        <v>750</v>
      </c>
      <c r="G344" s="9">
        <f>IFERROR(__xludf.DUMMYFUNCTION("""COMPUTED_VALUE"""),6.0)</f>
        <v>6</v>
      </c>
      <c r="H344" s="10">
        <f>IFERROR(__xludf.DUMMYFUNCTION("""COMPUTED_VALUE"""),3.0)</f>
        <v>3</v>
      </c>
      <c r="I344" s="11">
        <f>IFERROR(__xludf.DUMMYFUNCTION("""COMPUTED_VALUE"""),447.0)</f>
        <v>447</v>
      </c>
      <c r="J344" s="9" t="str">
        <f>IFERROR(__xludf.DUMMYFUNCTION("""COMPUTED_VALUE"""),"Multiple Stock Locations")</f>
        <v>Multiple Stock Locations</v>
      </c>
      <c r="K344" s="8"/>
      <c r="L344" s="12"/>
      <c r="M344" s="13"/>
      <c r="N344" s="13" t="str">
        <f>IFERROR(__xludf.DUMMYFUNCTION("IF(ISBLANK(M344),"""",M344*GOOGLEFINANCE(""USDGBP""))"),"")</f>
        <v/>
      </c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</row>
    <row r="345">
      <c r="A345" s="8" t="str">
        <f>IFERROR(__xludf.DUMMYFUNCTION("""COMPUTED_VALUE"""),"101460020190600750")</f>
        <v>101460020190600750</v>
      </c>
      <c r="B345" s="9" t="str">
        <f>IFERROR(__xludf.DUMMYFUNCTION("""COMPUTED_VALUE"""),"France")</f>
        <v>France</v>
      </c>
      <c r="C345" s="9" t="str">
        <f>IFERROR(__xludf.DUMMYFUNCTION("""COMPUTED_VALUE"""),"bordeaux")</f>
        <v>bordeaux</v>
      </c>
      <c r="D345" s="9" t="str">
        <f>IFERROR(__xludf.DUMMYFUNCTION("""COMPUTED_VALUE"""),"Chateau Rauzan-Segla 2eme Cru Classe, Margaux")</f>
        <v>Chateau Rauzan-Segla 2eme Cru Classe, Margaux</v>
      </c>
      <c r="E345" s="9">
        <f>IFERROR(__xludf.DUMMYFUNCTION("""COMPUTED_VALUE"""),2019.0)</f>
        <v>2019</v>
      </c>
      <c r="F345" s="9">
        <f>IFERROR(__xludf.DUMMYFUNCTION("""COMPUTED_VALUE"""),750.0)</f>
        <v>750</v>
      </c>
      <c r="G345" s="9">
        <f>IFERROR(__xludf.DUMMYFUNCTION("""COMPUTED_VALUE"""),6.0)</f>
        <v>6</v>
      </c>
      <c r="H345" s="10">
        <f>IFERROR(__xludf.DUMMYFUNCTION("""COMPUTED_VALUE"""),3.0)</f>
        <v>3</v>
      </c>
      <c r="I345" s="11">
        <f>IFERROR(__xludf.DUMMYFUNCTION("""COMPUTED_VALUE"""),397.0)</f>
        <v>397</v>
      </c>
      <c r="J345" s="9" t="str">
        <f>IFERROR(__xludf.DUMMYFUNCTION("""COMPUTED_VALUE"""),"Multiple Stock Locations")</f>
        <v>Multiple Stock Locations</v>
      </c>
      <c r="K345" s="8"/>
      <c r="L345" s="12"/>
      <c r="M345" s="13"/>
      <c r="N345" s="13" t="str">
        <f>IFERROR(__xludf.DUMMYFUNCTION("IF(ISBLANK(M345),"""",M345*GOOGLEFINANCE(""USDGBP""))"),"")</f>
        <v/>
      </c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</row>
    <row r="346">
      <c r="A346" s="8" t="str">
        <f>IFERROR(__xludf.DUMMYFUNCTION("""COMPUTED_VALUE"""),"101460020200600750")</f>
        <v>101460020200600750</v>
      </c>
      <c r="B346" s="9" t="str">
        <f>IFERROR(__xludf.DUMMYFUNCTION("""COMPUTED_VALUE"""),"France")</f>
        <v>France</v>
      </c>
      <c r="C346" s="9" t="str">
        <f>IFERROR(__xludf.DUMMYFUNCTION("""COMPUTED_VALUE"""),"bordeaux")</f>
        <v>bordeaux</v>
      </c>
      <c r="D346" s="9" t="str">
        <f>IFERROR(__xludf.DUMMYFUNCTION("""COMPUTED_VALUE"""),"Chateau Rauzan-Segla 2eme Cru Classe, Margaux")</f>
        <v>Chateau Rauzan-Segla 2eme Cru Classe, Margaux</v>
      </c>
      <c r="E346" s="9">
        <f>IFERROR(__xludf.DUMMYFUNCTION("""COMPUTED_VALUE"""),2020.0)</f>
        <v>2020</v>
      </c>
      <c r="F346" s="9">
        <f>IFERROR(__xludf.DUMMYFUNCTION("""COMPUTED_VALUE"""),750.0)</f>
        <v>750</v>
      </c>
      <c r="G346" s="9">
        <f>IFERROR(__xludf.DUMMYFUNCTION("""COMPUTED_VALUE"""),6.0)</f>
        <v>6</v>
      </c>
      <c r="H346" s="10">
        <f>IFERROR(__xludf.DUMMYFUNCTION("""COMPUTED_VALUE"""),3.0)</f>
        <v>3</v>
      </c>
      <c r="I346" s="11">
        <f>IFERROR(__xludf.DUMMYFUNCTION("""COMPUTED_VALUE"""),414.0)</f>
        <v>414</v>
      </c>
      <c r="J346" s="9" t="str">
        <f>IFERROR(__xludf.DUMMYFUNCTION("""COMPUTED_VALUE"""),"Multiple Stock Locations")</f>
        <v>Multiple Stock Locations</v>
      </c>
      <c r="K346" s="8"/>
      <c r="L346" s="12"/>
      <c r="M346" s="13"/>
      <c r="N346" s="13" t="str">
        <f>IFERROR(__xludf.DUMMYFUNCTION("IF(ISBLANK(M346),"""",M346*GOOGLEFINANCE(""USDGBP""))"),"")</f>
        <v/>
      </c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</row>
    <row r="347">
      <c r="A347" s="8" t="str">
        <f>IFERROR(__xludf.DUMMYFUNCTION("""COMPUTED_VALUE"""),"101526120190600750")</f>
        <v>101526120190600750</v>
      </c>
      <c r="B347" s="9" t="str">
        <f>IFERROR(__xludf.DUMMYFUNCTION("""COMPUTED_VALUE"""),"France")</f>
        <v>France</v>
      </c>
      <c r="C347" s="9" t="str">
        <f>IFERROR(__xludf.DUMMYFUNCTION("""COMPUTED_VALUE"""),"bordeaux")</f>
        <v>bordeaux</v>
      </c>
      <c r="D347" s="9" t="str">
        <f>IFERROR(__xludf.DUMMYFUNCTION("""COMPUTED_VALUE"""),"Chateau Smith Haut Lafitte, Rouge Cru Classe, Pessac-Leognan")</f>
        <v>Chateau Smith Haut Lafitte, Rouge Cru Classe, Pessac-Leognan</v>
      </c>
      <c r="E347" s="9">
        <f>IFERROR(__xludf.DUMMYFUNCTION("""COMPUTED_VALUE"""),2019.0)</f>
        <v>2019</v>
      </c>
      <c r="F347" s="9">
        <f>IFERROR(__xludf.DUMMYFUNCTION("""COMPUTED_VALUE"""),750.0)</f>
        <v>750</v>
      </c>
      <c r="G347" s="9">
        <f>IFERROR(__xludf.DUMMYFUNCTION("""COMPUTED_VALUE"""),6.0)</f>
        <v>6</v>
      </c>
      <c r="H347" s="10">
        <f>IFERROR(__xludf.DUMMYFUNCTION("""COMPUTED_VALUE"""),16.0)</f>
        <v>16</v>
      </c>
      <c r="I347" s="11">
        <f>IFERROR(__xludf.DUMMYFUNCTION("""COMPUTED_VALUE"""),479.0)</f>
        <v>479</v>
      </c>
      <c r="J347" s="9" t="str">
        <f>IFERROR(__xludf.DUMMYFUNCTION("""COMPUTED_VALUE"""),"Multiple Stock Locations")</f>
        <v>Multiple Stock Locations</v>
      </c>
      <c r="K347" s="8"/>
      <c r="L347" s="12"/>
      <c r="M347" s="13"/>
      <c r="N347" s="13" t="str">
        <f>IFERROR(__xludf.DUMMYFUNCTION("IF(ISBLANK(M347),"""",M347*GOOGLEFINANCE(""USDGBP""))"),"")</f>
        <v/>
      </c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</row>
    <row r="348">
      <c r="A348" s="8" t="str">
        <f>IFERROR(__xludf.DUMMYFUNCTION("""COMPUTED_VALUE"""),"101526120200600750")</f>
        <v>101526120200600750</v>
      </c>
      <c r="B348" s="9" t="str">
        <f>IFERROR(__xludf.DUMMYFUNCTION("""COMPUTED_VALUE"""),"France")</f>
        <v>France</v>
      </c>
      <c r="C348" s="9" t="str">
        <f>IFERROR(__xludf.DUMMYFUNCTION("""COMPUTED_VALUE"""),"bordeaux")</f>
        <v>bordeaux</v>
      </c>
      <c r="D348" s="9" t="str">
        <f>IFERROR(__xludf.DUMMYFUNCTION("""COMPUTED_VALUE"""),"Chateau Smith Haut Lafitte, Rouge Cru Classe, Pessac-Leognan")</f>
        <v>Chateau Smith Haut Lafitte, Rouge Cru Classe, Pessac-Leognan</v>
      </c>
      <c r="E348" s="9">
        <f>IFERROR(__xludf.DUMMYFUNCTION("""COMPUTED_VALUE"""),2020.0)</f>
        <v>2020</v>
      </c>
      <c r="F348" s="9">
        <f>IFERROR(__xludf.DUMMYFUNCTION("""COMPUTED_VALUE"""),750.0)</f>
        <v>750</v>
      </c>
      <c r="G348" s="9">
        <f>IFERROR(__xludf.DUMMYFUNCTION("""COMPUTED_VALUE"""),6.0)</f>
        <v>6</v>
      </c>
      <c r="H348" s="10">
        <f>IFERROR(__xludf.DUMMYFUNCTION("""COMPUTED_VALUE"""),6.0)</f>
        <v>6</v>
      </c>
      <c r="I348" s="11">
        <f>IFERROR(__xludf.DUMMYFUNCTION("""COMPUTED_VALUE"""),599.0)</f>
        <v>599</v>
      </c>
      <c r="J348" s="9" t="str">
        <f>IFERROR(__xludf.DUMMYFUNCTION("""COMPUTED_VALUE"""),"Multiple Stock Locations")</f>
        <v>Multiple Stock Locations</v>
      </c>
      <c r="K348" s="8"/>
      <c r="L348" s="12"/>
      <c r="M348" s="13"/>
      <c r="N348" s="13" t="str">
        <f>IFERROR(__xludf.DUMMYFUNCTION("IF(ISBLANK(M348),"""",M348*GOOGLEFINANCE(""USDGBP""))"),"")</f>
        <v/>
      </c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</row>
    <row r="349">
      <c r="A349" s="8" t="str">
        <f>IFERROR(__xludf.DUMMYFUNCTION("""COMPUTED_VALUE"""),"101594220151200750")</f>
        <v>101594220151200750</v>
      </c>
      <c r="B349" s="9" t="str">
        <f>IFERROR(__xludf.DUMMYFUNCTION("""COMPUTED_VALUE"""),"France")</f>
        <v>France</v>
      </c>
      <c r="C349" s="9" t="str">
        <f>IFERROR(__xludf.DUMMYFUNCTION("""COMPUTED_VALUE"""),"bordeaux")</f>
        <v>bordeaux</v>
      </c>
      <c r="D349" s="9" t="str">
        <f>IFERROR(__xludf.DUMMYFUNCTION("""COMPUTED_VALUE"""),"Chateau Troplong Mondot Premier Grand Cru Classe B, Saint-Emilion Grand Cru")</f>
        <v>Chateau Troplong Mondot Premier Grand Cru Classe B, Saint-Emilion Grand Cru</v>
      </c>
      <c r="E349" s="9">
        <f>IFERROR(__xludf.DUMMYFUNCTION("""COMPUTED_VALUE"""),2015.0)</f>
        <v>2015</v>
      </c>
      <c r="F349" s="9">
        <f>IFERROR(__xludf.DUMMYFUNCTION("""COMPUTED_VALUE"""),750.0)</f>
        <v>750</v>
      </c>
      <c r="G349" s="9">
        <f>IFERROR(__xludf.DUMMYFUNCTION("""COMPUTED_VALUE"""),12.0)</f>
        <v>12</v>
      </c>
      <c r="H349" s="10">
        <f>IFERROR(__xludf.DUMMYFUNCTION("""COMPUTED_VALUE"""),6.0)</f>
        <v>6</v>
      </c>
      <c r="I349" s="11">
        <f>IFERROR(__xludf.DUMMYFUNCTION("""COMPUTED_VALUE"""),1041.0)</f>
        <v>1041</v>
      </c>
      <c r="J349" s="9" t="str">
        <f>IFERROR(__xludf.DUMMYFUNCTION("""COMPUTED_VALUE"""),"Multiple Stock Locations")</f>
        <v>Multiple Stock Locations</v>
      </c>
      <c r="K349" s="8"/>
      <c r="L349" s="12"/>
      <c r="M349" s="13"/>
      <c r="N349" s="13" t="str">
        <f>IFERROR(__xludf.DUMMYFUNCTION("IF(ISBLANK(M349),"""",M349*GOOGLEFINANCE(""USDGBP""))"),"")</f>
        <v/>
      </c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</row>
    <row r="350">
      <c r="A350" s="8" t="str">
        <f>IFERROR(__xludf.DUMMYFUNCTION("""COMPUTED_VALUE"""),"101594220160600750")</f>
        <v>101594220160600750</v>
      </c>
      <c r="B350" s="9" t="str">
        <f>IFERROR(__xludf.DUMMYFUNCTION("""COMPUTED_VALUE"""),"France")</f>
        <v>France</v>
      </c>
      <c r="C350" s="9" t="str">
        <f>IFERROR(__xludf.DUMMYFUNCTION("""COMPUTED_VALUE"""),"bordeaux")</f>
        <v>bordeaux</v>
      </c>
      <c r="D350" s="9" t="str">
        <f>IFERROR(__xludf.DUMMYFUNCTION("""COMPUTED_VALUE"""),"Chateau Troplong Mondot Premier Grand Cru Classe B, Saint-Emilion Grand Cru")</f>
        <v>Chateau Troplong Mondot Premier Grand Cru Classe B, Saint-Emilion Grand Cru</v>
      </c>
      <c r="E350" s="9">
        <f>IFERROR(__xludf.DUMMYFUNCTION("""COMPUTED_VALUE"""),2016.0)</f>
        <v>2016</v>
      </c>
      <c r="F350" s="9">
        <f>IFERROR(__xludf.DUMMYFUNCTION("""COMPUTED_VALUE"""),750.0)</f>
        <v>750</v>
      </c>
      <c r="G350" s="9">
        <f>IFERROR(__xludf.DUMMYFUNCTION("""COMPUTED_VALUE"""),6.0)</f>
        <v>6</v>
      </c>
      <c r="H350" s="10">
        <f>IFERROR(__xludf.DUMMYFUNCTION("""COMPUTED_VALUE"""),1.0)</f>
        <v>1</v>
      </c>
      <c r="I350" s="11">
        <f>IFERROR(__xludf.DUMMYFUNCTION("""COMPUTED_VALUE"""),571.0)</f>
        <v>571</v>
      </c>
      <c r="J350" s="9" t="str">
        <f>IFERROR(__xludf.DUMMYFUNCTION("""COMPUTED_VALUE"""),"Multiple Stock Locations")</f>
        <v>Multiple Stock Locations</v>
      </c>
      <c r="K350" s="8"/>
      <c r="L350" s="12"/>
      <c r="M350" s="13"/>
      <c r="N350" s="13" t="str">
        <f>IFERROR(__xludf.DUMMYFUNCTION("IF(ISBLANK(M350),"""",M350*GOOGLEFINANCE(""USDGBP""))"),"")</f>
        <v/>
      </c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</row>
    <row r="351">
      <c r="A351" s="8" t="str">
        <f>IFERROR(__xludf.DUMMYFUNCTION("""COMPUTED_VALUE"""),"101594220180600750")</f>
        <v>101594220180600750</v>
      </c>
      <c r="B351" s="9" t="str">
        <f>IFERROR(__xludf.DUMMYFUNCTION("""COMPUTED_VALUE"""),"France")</f>
        <v>France</v>
      </c>
      <c r="C351" s="9" t="str">
        <f>IFERROR(__xludf.DUMMYFUNCTION("""COMPUTED_VALUE"""),"bordeaux")</f>
        <v>bordeaux</v>
      </c>
      <c r="D351" s="9" t="str">
        <f>IFERROR(__xludf.DUMMYFUNCTION("""COMPUTED_VALUE"""),"Chateau Troplong Mondot Premier Grand Cru Classe B, Saint-Emilion Grand Cru")</f>
        <v>Chateau Troplong Mondot Premier Grand Cru Classe B, Saint-Emilion Grand Cru</v>
      </c>
      <c r="E351" s="9">
        <f>IFERROR(__xludf.DUMMYFUNCTION("""COMPUTED_VALUE"""),2018.0)</f>
        <v>2018</v>
      </c>
      <c r="F351" s="9">
        <f>IFERROR(__xludf.DUMMYFUNCTION("""COMPUTED_VALUE"""),750.0)</f>
        <v>750</v>
      </c>
      <c r="G351" s="9">
        <f>IFERROR(__xludf.DUMMYFUNCTION("""COMPUTED_VALUE"""),6.0)</f>
        <v>6</v>
      </c>
      <c r="H351" s="10">
        <f>IFERROR(__xludf.DUMMYFUNCTION("""COMPUTED_VALUE"""),9.0)</f>
        <v>9</v>
      </c>
      <c r="I351" s="11">
        <f>IFERROR(__xludf.DUMMYFUNCTION("""COMPUTED_VALUE"""),409.0)</f>
        <v>409</v>
      </c>
      <c r="J351" s="9" t="str">
        <f>IFERROR(__xludf.DUMMYFUNCTION("""COMPUTED_VALUE"""),"Multiple Stock Locations")</f>
        <v>Multiple Stock Locations</v>
      </c>
      <c r="K351" s="8"/>
      <c r="L351" s="12"/>
      <c r="M351" s="13"/>
      <c r="N351" s="13" t="str">
        <f>IFERROR(__xludf.DUMMYFUNCTION("IF(ISBLANK(M351),"""",M351*GOOGLEFINANCE(""USDGBP""))"),"")</f>
        <v/>
      </c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</row>
    <row r="352">
      <c r="A352" s="8" t="str">
        <f>IFERROR(__xludf.DUMMYFUNCTION("""COMPUTED_VALUE"""),"101594220190600750")</f>
        <v>101594220190600750</v>
      </c>
      <c r="B352" s="9" t="str">
        <f>IFERROR(__xludf.DUMMYFUNCTION("""COMPUTED_VALUE"""),"France")</f>
        <v>France</v>
      </c>
      <c r="C352" s="9" t="str">
        <f>IFERROR(__xludf.DUMMYFUNCTION("""COMPUTED_VALUE"""),"bordeaux")</f>
        <v>bordeaux</v>
      </c>
      <c r="D352" s="9" t="str">
        <f>IFERROR(__xludf.DUMMYFUNCTION("""COMPUTED_VALUE"""),"Chateau Troplong Mondot Premier Grand Cru Classe B, Saint-Emilion Grand Cru")</f>
        <v>Chateau Troplong Mondot Premier Grand Cru Classe B, Saint-Emilion Grand Cru</v>
      </c>
      <c r="E352" s="9">
        <f>IFERROR(__xludf.DUMMYFUNCTION("""COMPUTED_VALUE"""),2019.0)</f>
        <v>2019</v>
      </c>
      <c r="F352" s="9">
        <f>IFERROR(__xludf.DUMMYFUNCTION("""COMPUTED_VALUE"""),750.0)</f>
        <v>750</v>
      </c>
      <c r="G352" s="9">
        <f>IFERROR(__xludf.DUMMYFUNCTION("""COMPUTED_VALUE"""),6.0)</f>
        <v>6</v>
      </c>
      <c r="H352" s="10">
        <f>IFERROR(__xludf.DUMMYFUNCTION("""COMPUTED_VALUE"""),2.0)</f>
        <v>2</v>
      </c>
      <c r="I352" s="11">
        <f>IFERROR(__xludf.DUMMYFUNCTION("""COMPUTED_VALUE"""),432.0)</f>
        <v>432</v>
      </c>
      <c r="J352" s="9" t="str">
        <f>IFERROR(__xludf.DUMMYFUNCTION("""COMPUTED_VALUE"""),"Multiple Stock Locations")</f>
        <v>Multiple Stock Locations</v>
      </c>
      <c r="K352" s="8"/>
      <c r="L352" s="12"/>
      <c r="M352" s="13"/>
      <c r="N352" s="13" t="str">
        <f>IFERROR(__xludf.DUMMYFUNCTION("IF(ISBLANK(M352),"""",M352*GOOGLEFINANCE(""USDGBP""))"),"")</f>
        <v/>
      </c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</row>
    <row r="353">
      <c r="A353" s="8" t="str">
        <f>IFERROR(__xludf.DUMMYFUNCTION("""COMPUTED_VALUE"""),"101594220200600750")</f>
        <v>101594220200600750</v>
      </c>
      <c r="B353" s="9" t="str">
        <f>IFERROR(__xludf.DUMMYFUNCTION("""COMPUTED_VALUE"""),"France")</f>
        <v>France</v>
      </c>
      <c r="C353" s="9" t="str">
        <f>IFERROR(__xludf.DUMMYFUNCTION("""COMPUTED_VALUE"""),"bordeaux")</f>
        <v>bordeaux</v>
      </c>
      <c r="D353" s="9" t="str">
        <f>IFERROR(__xludf.DUMMYFUNCTION("""COMPUTED_VALUE"""),"Chateau Troplong Mondot Premier Grand Cru Classe B, Saint-Emilion Grand Cru")</f>
        <v>Chateau Troplong Mondot Premier Grand Cru Classe B, Saint-Emilion Grand Cru</v>
      </c>
      <c r="E353" s="9">
        <f>IFERROR(__xludf.DUMMYFUNCTION("""COMPUTED_VALUE"""),2020.0)</f>
        <v>2020</v>
      </c>
      <c r="F353" s="9">
        <f>IFERROR(__xludf.DUMMYFUNCTION("""COMPUTED_VALUE"""),750.0)</f>
        <v>750</v>
      </c>
      <c r="G353" s="9">
        <f>IFERROR(__xludf.DUMMYFUNCTION("""COMPUTED_VALUE"""),6.0)</f>
        <v>6</v>
      </c>
      <c r="H353" s="10">
        <f>IFERROR(__xludf.DUMMYFUNCTION("""COMPUTED_VALUE"""),2.0)</f>
        <v>2</v>
      </c>
      <c r="I353" s="11">
        <f>IFERROR(__xludf.DUMMYFUNCTION("""COMPUTED_VALUE"""),452.0)</f>
        <v>452</v>
      </c>
      <c r="J353" s="9" t="str">
        <f>IFERROR(__xludf.DUMMYFUNCTION("""COMPUTED_VALUE"""),"Multiple Stock Locations")</f>
        <v>Multiple Stock Locations</v>
      </c>
      <c r="K353" s="8"/>
      <c r="L353" s="12"/>
      <c r="M353" s="13"/>
      <c r="N353" s="13" t="str">
        <f>IFERROR(__xludf.DUMMYFUNCTION("IF(ISBLANK(M353),"""",M353*GOOGLEFINANCE(""USDGBP""))"),"")</f>
        <v/>
      </c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</row>
    <row r="354">
      <c r="A354" s="8" t="str">
        <f>IFERROR(__xludf.DUMMYFUNCTION("""COMPUTED_VALUE"""),"101595520200600750")</f>
        <v>101595520200600750</v>
      </c>
      <c r="B354" s="9" t="str">
        <f>IFERROR(__xludf.DUMMYFUNCTION("""COMPUTED_VALUE"""),"France")</f>
        <v>France</v>
      </c>
      <c r="C354" s="9" t="str">
        <f>IFERROR(__xludf.DUMMYFUNCTION("""COMPUTED_VALUE"""),"bordeaux")</f>
        <v>bordeaux</v>
      </c>
      <c r="D354" s="9" t="str">
        <f>IFERROR(__xludf.DUMMYFUNCTION("""COMPUTED_VALUE"""),"Chateau Trotanoy, Pomerol")</f>
        <v>Chateau Trotanoy, Pomerol</v>
      </c>
      <c r="E354" s="9">
        <f>IFERROR(__xludf.DUMMYFUNCTION("""COMPUTED_VALUE"""),2020.0)</f>
        <v>2020</v>
      </c>
      <c r="F354" s="9">
        <f>IFERROR(__xludf.DUMMYFUNCTION("""COMPUTED_VALUE"""),750.0)</f>
        <v>750</v>
      </c>
      <c r="G354" s="9">
        <f>IFERROR(__xludf.DUMMYFUNCTION("""COMPUTED_VALUE"""),6.0)</f>
        <v>6</v>
      </c>
      <c r="H354" s="10">
        <f>IFERROR(__xludf.DUMMYFUNCTION("""COMPUTED_VALUE"""),1.0)</f>
        <v>1</v>
      </c>
      <c r="I354" s="11">
        <f>IFERROR(__xludf.DUMMYFUNCTION("""COMPUTED_VALUE"""),1563.0)</f>
        <v>1563</v>
      </c>
      <c r="J354" s="9" t="str">
        <f>IFERROR(__xludf.DUMMYFUNCTION("""COMPUTED_VALUE"""),"Multiple Stock Locations")</f>
        <v>Multiple Stock Locations</v>
      </c>
      <c r="K354" s="8"/>
      <c r="L354" s="12"/>
      <c r="M354" s="13"/>
      <c r="N354" s="13" t="str">
        <f>IFERROR(__xludf.DUMMYFUNCTION("IF(ISBLANK(M354),"""",M354*GOOGLEFINANCE(""USDGBP""))"),"")</f>
        <v/>
      </c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</row>
    <row r="355">
      <c r="A355" s="8" t="str">
        <f>IFERROR(__xludf.DUMMYFUNCTION("""COMPUTED_VALUE"""),"101596820200600750")</f>
        <v>101596820200600750</v>
      </c>
      <c r="B355" s="9" t="str">
        <f>IFERROR(__xludf.DUMMYFUNCTION("""COMPUTED_VALUE"""),"France")</f>
        <v>France</v>
      </c>
      <c r="C355" s="9" t="str">
        <f>IFERROR(__xludf.DUMMYFUNCTION("""COMPUTED_VALUE"""),"bordeaux")</f>
        <v>bordeaux</v>
      </c>
      <c r="D355" s="9" t="str">
        <f>IFERROR(__xludf.DUMMYFUNCTION("""COMPUTED_VALUE"""),"Chateau Trotte Vieille Premier Grand Cru Classe B, Saint-Emilion Grand Cru")</f>
        <v>Chateau Trotte Vieille Premier Grand Cru Classe B, Saint-Emilion Grand Cru</v>
      </c>
      <c r="E355" s="9">
        <f>IFERROR(__xludf.DUMMYFUNCTION("""COMPUTED_VALUE"""),2020.0)</f>
        <v>2020</v>
      </c>
      <c r="F355" s="9">
        <f>IFERROR(__xludf.DUMMYFUNCTION("""COMPUTED_VALUE"""),750.0)</f>
        <v>750</v>
      </c>
      <c r="G355" s="9">
        <f>IFERROR(__xludf.DUMMYFUNCTION("""COMPUTED_VALUE"""),6.0)</f>
        <v>6</v>
      </c>
      <c r="H355" s="10">
        <f>IFERROR(__xludf.DUMMYFUNCTION("""COMPUTED_VALUE"""),1.0)</f>
        <v>1</v>
      </c>
      <c r="I355" s="11">
        <f>IFERROR(__xludf.DUMMYFUNCTION("""COMPUTED_VALUE"""),367.0)</f>
        <v>367</v>
      </c>
      <c r="J355" s="9" t="str">
        <f>IFERROR(__xludf.DUMMYFUNCTION("""COMPUTED_VALUE"""),"Multiple Stock Locations")</f>
        <v>Multiple Stock Locations</v>
      </c>
      <c r="K355" s="8"/>
      <c r="L355" s="12"/>
      <c r="M355" s="13"/>
      <c r="N355" s="13" t="str">
        <f>IFERROR(__xludf.DUMMYFUNCTION("IF(ISBLANK(M355),"""",M355*GOOGLEFINANCE(""USDGBP""))"),"")</f>
        <v/>
      </c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</row>
    <row r="356">
      <c r="A356" s="8" t="str">
        <f>IFERROR(__xludf.DUMMYFUNCTION("""COMPUTED_VALUE"""),"101598420160600750")</f>
        <v>101598420160600750</v>
      </c>
      <c r="B356" s="9" t="str">
        <f>IFERROR(__xludf.DUMMYFUNCTION("""COMPUTED_VALUE"""),"France")</f>
        <v>France</v>
      </c>
      <c r="C356" s="9" t="str">
        <f>IFERROR(__xludf.DUMMYFUNCTION("""COMPUTED_VALUE"""),"bordeaux")</f>
        <v>bordeaux</v>
      </c>
      <c r="D356" s="9" t="str">
        <f>IFERROR(__xludf.DUMMYFUNCTION("""COMPUTED_VALUE"""),"Chateau Valandraud Premier Grand Cru Classe B, Saint-Emilion Grand Cru")</f>
        <v>Chateau Valandraud Premier Grand Cru Classe B, Saint-Emilion Grand Cru</v>
      </c>
      <c r="E356" s="9">
        <f>IFERROR(__xludf.DUMMYFUNCTION("""COMPUTED_VALUE"""),2016.0)</f>
        <v>2016</v>
      </c>
      <c r="F356" s="9">
        <f>IFERROR(__xludf.DUMMYFUNCTION("""COMPUTED_VALUE"""),750.0)</f>
        <v>750</v>
      </c>
      <c r="G356" s="9">
        <f>IFERROR(__xludf.DUMMYFUNCTION("""COMPUTED_VALUE"""),6.0)</f>
        <v>6</v>
      </c>
      <c r="H356" s="10">
        <f>IFERROR(__xludf.DUMMYFUNCTION("""COMPUTED_VALUE"""),16.0)</f>
        <v>16</v>
      </c>
      <c r="I356" s="11">
        <f>IFERROR(__xludf.DUMMYFUNCTION("""COMPUTED_VALUE"""),716.0)</f>
        <v>716</v>
      </c>
      <c r="J356" s="9" t="str">
        <f>IFERROR(__xludf.DUMMYFUNCTION("""COMPUTED_VALUE"""),"Multiple Stock Locations")</f>
        <v>Multiple Stock Locations</v>
      </c>
      <c r="K356" s="8"/>
      <c r="L356" s="12"/>
      <c r="M356" s="13"/>
      <c r="N356" s="13" t="str">
        <f>IFERROR(__xludf.DUMMYFUNCTION("IF(ISBLANK(M356),"""",M356*GOOGLEFINANCE(""USDGBP""))"),"")</f>
        <v/>
      </c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</row>
    <row r="357">
      <c r="A357" s="8" t="str">
        <f>IFERROR(__xludf.DUMMYFUNCTION("""COMPUTED_VALUE"""),"100833920180600750")</f>
        <v>100833920180600750</v>
      </c>
      <c r="B357" s="9" t="str">
        <f>IFERROR(__xludf.DUMMYFUNCTION("""COMPUTED_VALUE"""),"France")</f>
        <v>France</v>
      </c>
      <c r="C357" s="9" t="str">
        <f>IFERROR(__xludf.DUMMYFUNCTION("""COMPUTED_VALUE"""),"bordeaux")</f>
        <v>bordeaux</v>
      </c>
      <c r="D357" s="9" t="str">
        <f>IFERROR(__xludf.DUMMYFUNCTION("""COMPUTED_VALUE"""),"Clos Fourtet Premier Grand Cru Classe B, Saint-Emilion Grand Cru")</f>
        <v>Clos Fourtet Premier Grand Cru Classe B, Saint-Emilion Grand Cru</v>
      </c>
      <c r="E357" s="9">
        <f>IFERROR(__xludf.DUMMYFUNCTION("""COMPUTED_VALUE"""),2018.0)</f>
        <v>2018</v>
      </c>
      <c r="F357" s="9">
        <f>IFERROR(__xludf.DUMMYFUNCTION("""COMPUTED_VALUE"""),750.0)</f>
        <v>750</v>
      </c>
      <c r="G357" s="9">
        <f>IFERROR(__xludf.DUMMYFUNCTION("""COMPUTED_VALUE"""),6.0)</f>
        <v>6</v>
      </c>
      <c r="H357" s="10">
        <f>IFERROR(__xludf.DUMMYFUNCTION("""COMPUTED_VALUE"""),5.0)</f>
        <v>5</v>
      </c>
      <c r="I357" s="11">
        <f>IFERROR(__xludf.DUMMYFUNCTION("""COMPUTED_VALUE"""),526.0)</f>
        <v>526</v>
      </c>
      <c r="J357" s="9" t="str">
        <f>IFERROR(__xludf.DUMMYFUNCTION("""COMPUTED_VALUE"""),"Multiple Stock Locations")</f>
        <v>Multiple Stock Locations</v>
      </c>
      <c r="K357" s="8"/>
      <c r="L357" s="12"/>
      <c r="M357" s="13"/>
      <c r="N357" s="13" t="str">
        <f>IFERROR(__xludf.DUMMYFUNCTION("IF(ISBLANK(M357),"""",M357*GOOGLEFINANCE(""USDGBP""))"),"")</f>
        <v/>
      </c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</row>
    <row r="358">
      <c r="A358" s="8" t="str">
        <f>IFERROR(__xludf.DUMMYFUNCTION("""COMPUTED_VALUE"""),"100878820190600750")</f>
        <v>100878820190600750</v>
      </c>
      <c r="B358" s="9" t="str">
        <f>IFERROR(__xludf.DUMMYFUNCTION("""COMPUTED_VALUE"""),"France")</f>
        <v>France</v>
      </c>
      <c r="C358" s="9" t="str">
        <f>IFERROR(__xludf.DUMMYFUNCTION("""COMPUTED_VALUE"""),"bordeaux")</f>
        <v>bordeaux</v>
      </c>
      <c r="D358" s="9" t="str">
        <f>IFERROR(__xludf.DUMMYFUNCTION("""COMPUTED_VALUE"""),"Cos d'Estournel 2eme Cru Classe, Saint-Estephe")</f>
        <v>Cos d'Estournel 2eme Cru Classe, Saint-Estephe</v>
      </c>
      <c r="E358" s="9">
        <f>IFERROR(__xludf.DUMMYFUNCTION("""COMPUTED_VALUE"""),2019.0)</f>
        <v>2019</v>
      </c>
      <c r="F358" s="9">
        <f>IFERROR(__xludf.DUMMYFUNCTION("""COMPUTED_VALUE"""),750.0)</f>
        <v>750</v>
      </c>
      <c r="G358" s="9">
        <f>IFERROR(__xludf.DUMMYFUNCTION("""COMPUTED_VALUE"""),6.0)</f>
        <v>6</v>
      </c>
      <c r="H358" s="10">
        <f>IFERROR(__xludf.DUMMYFUNCTION("""COMPUTED_VALUE"""),5.0)</f>
        <v>5</v>
      </c>
      <c r="I358" s="11">
        <f>IFERROR(__xludf.DUMMYFUNCTION("""COMPUTED_VALUE"""),733.0)</f>
        <v>733</v>
      </c>
      <c r="J358" s="9" t="str">
        <f>IFERROR(__xludf.DUMMYFUNCTION("""COMPUTED_VALUE"""),"Multiple Stock Locations")</f>
        <v>Multiple Stock Locations</v>
      </c>
      <c r="K358" s="8"/>
      <c r="L358" s="12"/>
      <c r="M358" s="13"/>
      <c r="N358" s="13" t="str">
        <f>IFERROR(__xludf.DUMMYFUNCTION("IF(ISBLANK(M358),"""",M358*GOOGLEFINANCE(""USDGBP""))"),"")</f>
        <v/>
      </c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</row>
    <row r="359">
      <c r="A359" s="8" t="str">
        <f>IFERROR(__xludf.DUMMYFUNCTION("""COMPUTED_VALUE"""),"100878820200600750")</f>
        <v>100878820200600750</v>
      </c>
      <c r="B359" s="9" t="str">
        <f>IFERROR(__xludf.DUMMYFUNCTION("""COMPUTED_VALUE"""),"France")</f>
        <v>France</v>
      </c>
      <c r="C359" s="9" t="str">
        <f>IFERROR(__xludf.DUMMYFUNCTION("""COMPUTED_VALUE"""),"bordeaux")</f>
        <v>bordeaux</v>
      </c>
      <c r="D359" s="9" t="str">
        <f>IFERROR(__xludf.DUMMYFUNCTION("""COMPUTED_VALUE"""),"Cos d'Estournel 2eme Cru Classe, Saint-Estephe")</f>
        <v>Cos d'Estournel 2eme Cru Classe, Saint-Estephe</v>
      </c>
      <c r="E359" s="9">
        <f>IFERROR(__xludf.DUMMYFUNCTION("""COMPUTED_VALUE"""),2020.0)</f>
        <v>2020</v>
      </c>
      <c r="F359" s="9">
        <f>IFERROR(__xludf.DUMMYFUNCTION("""COMPUTED_VALUE"""),750.0)</f>
        <v>750</v>
      </c>
      <c r="G359" s="9">
        <f>IFERROR(__xludf.DUMMYFUNCTION("""COMPUTED_VALUE"""),6.0)</f>
        <v>6</v>
      </c>
      <c r="H359" s="10">
        <f>IFERROR(__xludf.DUMMYFUNCTION("""COMPUTED_VALUE"""),7.0)</f>
        <v>7</v>
      </c>
      <c r="I359" s="11">
        <f>IFERROR(__xludf.DUMMYFUNCTION("""COMPUTED_VALUE"""),831.0)</f>
        <v>831</v>
      </c>
      <c r="J359" s="9" t="str">
        <f>IFERROR(__xludf.DUMMYFUNCTION("""COMPUTED_VALUE"""),"Multiple Stock Locations")</f>
        <v>Multiple Stock Locations</v>
      </c>
      <c r="K359" s="8"/>
      <c r="L359" s="12"/>
      <c r="M359" s="13"/>
      <c r="N359" s="13" t="str">
        <f>IFERROR(__xludf.DUMMYFUNCTION("IF(ISBLANK(M359),"""",M359*GOOGLEFINANCE(""USDGBP""))"),"")</f>
        <v/>
      </c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</row>
    <row r="360">
      <c r="A360" s="8" t="str">
        <f>IFERROR(__xludf.DUMMYFUNCTION("""COMPUTED_VALUE"""),"100947920210600750")</f>
        <v>100947920210600750</v>
      </c>
      <c r="B360" s="9" t="str">
        <f>IFERROR(__xludf.DUMMYFUNCTION("""COMPUTED_VALUE"""),"France")</f>
        <v>France</v>
      </c>
      <c r="C360" s="9" t="str">
        <f>IFERROR(__xludf.DUMMYFUNCTION("""COMPUTED_VALUE"""),"bordeaux")</f>
        <v>bordeaux</v>
      </c>
      <c r="D360" s="9" t="str">
        <f>IFERROR(__xludf.DUMMYFUNCTION("""COMPUTED_VALUE"""),"Ducru-Beaucaillou 2eme Cru Classe, Saint-Julien")</f>
        <v>Ducru-Beaucaillou 2eme Cru Classe, Saint-Julien</v>
      </c>
      <c r="E360" s="9">
        <f>IFERROR(__xludf.DUMMYFUNCTION("""COMPUTED_VALUE"""),2021.0)</f>
        <v>2021</v>
      </c>
      <c r="F360" s="9">
        <f>IFERROR(__xludf.DUMMYFUNCTION("""COMPUTED_VALUE"""),750.0)</f>
        <v>750</v>
      </c>
      <c r="G360" s="9">
        <f>IFERROR(__xludf.DUMMYFUNCTION("""COMPUTED_VALUE"""),6.0)</f>
        <v>6</v>
      </c>
      <c r="H360" s="10">
        <f>IFERROR(__xludf.DUMMYFUNCTION("""COMPUTED_VALUE"""),1.0)</f>
        <v>1</v>
      </c>
      <c r="I360" s="11">
        <f>IFERROR(__xludf.DUMMYFUNCTION("""COMPUTED_VALUE"""),899.0)</f>
        <v>899</v>
      </c>
      <c r="J360" s="9" t="str">
        <f>IFERROR(__xludf.DUMMYFUNCTION("""COMPUTED_VALUE"""),"Multiple Stock Locations")</f>
        <v>Multiple Stock Locations</v>
      </c>
      <c r="K360" s="8"/>
      <c r="L360" s="12"/>
      <c r="M360" s="13"/>
      <c r="N360" s="13" t="str">
        <f>IFERROR(__xludf.DUMMYFUNCTION("IF(ISBLANK(M360),"""",M360*GOOGLEFINANCE(""USDGBP""))"),"")</f>
        <v/>
      </c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</row>
    <row r="361">
      <c r="A361" s="8" t="str">
        <f>IFERROR(__xludf.DUMMYFUNCTION("""COMPUTED_VALUE"""),"101322520180300750")</f>
        <v>101322520180300750</v>
      </c>
      <c r="B361" s="9" t="str">
        <f>IFERROR(__xludf.DUMMYFUNCTION("""COMPUTED_VALUE"""),"France")</f>
        <v>France</v>
      </c>
      <c r="C361" s="9" t="str">
        <f>IFERROR(__xludf.DUMMYFUNCTION("""COMPUTED_VALUE"""),"bordeaux")</f>
        <v>bordeaux</v>
      </c>
      <c r="D361" s="9" t="str">
        <f>IFERROR(__xludf.DUMMYFUNCTION("""COMPUTED_VALUE"""),"La Mondotte Premier Grand Cru Classe B, Saint-Emilion Grand Cru")</f>
        <v>La Mondotte Premier Grand Cru Classe B, Saint-Emilion Grand Cru</v>
      </c>
      <c r="E361" s="9">
        <f>IFERROR(__xludf.DUMMYFUNCTION("""COMPUTED_VALUE"""),2018.0)</f>
        <v>2018</v>
      </c>
      <c r="F361" s="9">
        <f>IFERROR(__xludf.DUMMYFUNCTION("""COMPUTED_VALUE"""),750.0)</f>
        <v>750</v>
      </c>
      <c r="G361" s="9">
        <f>IFERROR(__xludf.DUMMYFUNCTION("""COMPUTED_VALUE"""),3.0)</f>
        <v>3</v>
      </c>
      <c r="H361" s="10">
        <f>IFERROR(__xludf.DUMMYFUNCTION("""COMPUTED_VALUE"""),1.0)</f>
        <v>1</v>
      </c>
      <c r="I361" s="11">
        <f>IFERROR(__xludf.DUMMYFUNCTION("""COMPUTED_VALUE"""),453.0)</f>
        <v>453</v>
      </c>
      <c r="J361" s="9" t="str">
        <f>IFERROR(__xludf.DUMMYFUNCTION("""COMPUTED_VALUE"""),"Multiple Stock Locations")</f>
        <v>Multiple Stock Locations</v>
      </c>
      <c r="K361" s="8"/>
      <c r="L361" s="12"/>
      <c r="M361" s="13"/>
      <c r="N361" s="13" t="str">
        <f>IFERROR(__xludf.DUMMYFUNCTION("IF(ISBLANK(M361),"""",M361*GOOGLEFINANCE(""USDGBP""))"),"")</f>
        <v/>
      </c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</row>
    <row r="362">
      <c r="A362" s="8" t="str">
        <f>IFERROR(__xludf.DUMMYFUNCTION("""COMPUTED_VALUE"""),"101322520200600750")</f>
        <v>101322520200600750</v>
      </c>
      <c r="B362" s="9" t="str">
        <f>IFERROR(__xludf.DUMMYFUNCTION("""COMPUTED_VALUE"""),"France")</f>
        <v>France</v>
      </c>
      <c r="C362" s="9" t="str">
        <f>IFERROR(__xludf.DUMMYFUNCTION("""COMPUTED_VALUE"""),"bordeaux")</f>
        <v>bordeaux</v>
      </c>
      <c r="D362" s="9" t="str">
        <f>IFERROR(__xludf.DUMMYFUNCTION("""COMPUTED_VALUE"""),"La Mondotte Premier Grand Cru Classe B, Saint-Emilion Grand Cru")</f>
        <v>La Mondotte Premier Grand Cru Classe B, Saint-Emilion Grand Cru</v>
      </c>
      <c r="E362" s="9">
        <f>IFERROR(__xludf.DUMMYFUNCTION("""COMPUTED_VALUE"""),2020.0)</f>
        <v>2020</v>
      </c>
      <c r="F362" s="9">
        <f>IFERROR(__xludf.DUMMYFUNCTION("""COMPUTED_VALUE"""),750.0)</f>
        <v>750</v>
      </c>
      <c r="G362" s="9">
        <f>IFERROR(__xludf.DUMMYFUNCTION("""COMPUTED_VALUE"""),6.0)</f>
        <v>6</v>
      </c>
      <c r="H362" s="10">
        <f>IFERROR(__xludf.DUMMYFUNCTION("""COMPUTED_VALUE"""),3.0)</f>
        <v>3</v>
      </c>
      <c r="I362" s="11">
        <f>IFERROR(__xludf.DUMMYFUNCTION("""COMPUTED_VALUE"""),743.0)</f>
        <v>743</v>
      </c>
      <c r="J362" s="9" t="str">
        <f>IFERROR(__xludf.DUMMYFUNCTION("""COMPUTED_VALUE"""),"Multiple Stock Locations")</f>
        <v>Multiple Stock Locations</v>
      </c>
      <c r="K362" s="8"/>
      <c r="L362" s="12"/>
      <c r="M362" s="13"/>
      <c r="N362" s="13" t="str">
        <f>IFERROR(__xludf.DUMMYFUNCTION("IF(ISBLANK(M362),"""",M362*GOOGLEFINANCE(""USDGBP""))"),"")</f>
        <v/>
      </c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</row>
    <row r="363">
      <c r="A363" s="8" t="str">
        <f>IFERROR(__xludf.DUMMYFUNCTION("""COMPUTED_VALUE"""),"101395120200600750")</f>
        <v>101395120200600750</v>
      </c>
      <c r="B363" s="9" t="str">
        <f>IFERROR(__xludf.DUMMYFUNCTION("""COMPUTED_VALUE"""),"France")</f>
        <v>France</v>
      </c>
      <c r="C363" s="9" t="str">
        <f>IFERROR(__xludf.DUMMYFUNCTION("""COMPUTED_VALUE"""),"bordeaux")</f>
        <v>bordeaux</v>
      </c>
      <c r="D363" s="9" t="str">
        <f>IFERROR(__xludf.DUMMYFUNCTION("""COMPUTED_VALUE"""),"Le Petit Cheval, Saint-Emilion Grand Cru")</f>
        <v>Le Petit Cheval, Saint-Emilion Grand Cru</v>
      </c>
      <c r="E363" s="9">
        <f>IFERROR(__xludf.DUMMYFUNCTION("""COMPUTED_VALUE"""),2020.0)</f>
        <v>2020</v>
      </c>
      <c r="F363" s="9">
        <f>IFERROR(__xludf.DUMMYFUNCTION("""COMPUTED_VALUE"""),750.0)</f>
        <v>750</v>
      </c>
      <c r="G363" s="9">
        <f>IFERROR(__xludf.DUMMYFUNCTION("""COMPUTED_VALUE"""),6.0)</f>
        <v>6</v>
      </c>
      <c r="H363" s="10">
        <f>IFERROR(__xludf.DUMMYFUNCTION("""COMPUTED_VALUE"""),3.0)</f>
        <v>3</v>
      </c>
      <c r="I363" s="11">
        <f>IFERROR(__xludf.DUMMYFUNCTION("""COMPUTED_VALUE"""),737.0)</f>
        <v>737</v>
      </c>
      <c r="J363" s="9" t="str">
        <f>IFERROR(__xludf.DUMMYFUNCTION("""COMPUTED_VALUE"""),"Multiple Stock Locations")</f>
        <v>Multiple Stock Locations</v>
      </c>
      <c r="K363" s="8"/>
      <c r="L363" s="12"/>
      <c r="M363" s="13"/>
      <c r="N363" s="13" t="str">
        <f>IFERROR(__xludf.DUMMYFUNCTION("IF(ISBLANK(M363),"""",M363*GOOGLEFINANCE(""USDGBP""))"),"")</f>
        <v/>
      </c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</row>
    <row r="364">
      <c r="A364" s="8" t="str">
        <f>IFERROR(__xludf.DUMMYFUNCTION("""COMPUTED_VALUE"""),"101400420190600750")</f>
        <v>101400420190600750</v>
      </c>
      <c r="B364" s="9" t="str">
        <f>IFERROR(__xludf.DUMMYFUNCTION("""COMPUTED_VALUE"""),"France")</f>
        <v>France</v>
      </c>
      <c r="C364" s="9" t="str">
        <f>IFERROR(__xludf.DUMMYFUNCTION("""COMPUTED_VALUE"""),"bordeaux")</f>
        <v>bordeaux</v>
      </c>
      <c r="D364" s="9" t="str">
        <f>IFERROR(__xludf.DUMMYFUNCTION("""COMPUTED_VALUE"""),"Le Petit Mouton de Mouton Rothschild, Pauillac")</f>
        <v>Le Petit Mouton de Mouton Rothschild, Pauillac</v>
      </c>
      <c r="E364" s="9">
        <f>IFERROR(__xludf.DUMMYFUNCTION("""COMPUTED_VALUE"""),2019.0)</f>
        <v>2019</v>
      </c>
      <c r="F364" s="9">
        <f>IFERROR(__xludf.DUMMYFUNCTION("""COMPUTED_VALUE"""),750.0)</f>
        <v>750</v>
      </c>
      <c r="G364" s="9">
        <f>IFERROR(__xludf.DUMMYFUNCTION("""COMPUTED_VALUE"""),6.0)</f>
        <v>6</v>
      </c>
      <c r="H364" s="10">
        <f>IFERROR(__xludf.DUMMYFUNCTION("""COMPUTED_VALUE"""),2.0)</f>
        <v>2</v>
      </c>
      <c r="I364" s="11">
        <f>IFERROR(__xludf.DUMMYFUNCTION("""COMPUTED_VALUE"""),1054.0)</f>
        <v>1054</v>
      </c>
      <c r="J364" s="9" t="str">
        <f>IFERROR(__xludf.DUMMYFUNCTION("""COMPUTED_VALUE"""),"Multiple Stock Locations")</f>
        <v>Multiple Stock Locations</v>
      </c>
      <c r="K364" s="8"/>
      <c r="L364" s="12"/>
      <c r="M364" s="13"/>
      <c r="N364" s="13" t="str">
        <f>IFERROR(__xludf.DUMMYFUNCTION("IF(ISBLANK(M364),"""",M364*GOOGLEFINANCE(""USDGBP""))"),"")</f>
        <v/>
      </c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</row>
    <row r="365">
      <c r="A365" s="8" t="str">
        <f>IFERROR(__xludf.DUMMYFUNCTION("""COMPUTED_VALUE"""),"101400420200600750")</f>
        <v>101400420200600750</v>
      </c>
      <c r="B365" s="9" t="str">
        <f>IFERROR(__xludf.DUMMYFUNCTION("""COMPUTED_VALUE"""),"France")</f>
        <v>France</v>
      </c>
      <c r="C365" s="9" t="str">
        <f>IFERROR(__xludf.DUMMYFUNCTION("""COMPUTED_VALUE"""),"bordeaux")</f>
        <v>bordeaux</v>
      </c>
      <c r="D365" s="9" t="str">
        <f>IFERROR(__xludf.DUMMYFUNCTION("""COMPUTED_VALUE"""),"Le Petit Mouton de Mouton Rothschild, Pauillac")</f>
        <v>Le Petit Mouton de Mouton Rothschild, Pauillac</v>
      </c>
      <c r="E365" s="9">
        <f>IFERROR(__xludf.DUMMYFUNCTION("""COMPUTED_VALUE"""),2020.0)</f>
        <v>2020</v>
      </c>
      <c r="F365" s="9">
        <f>IFERROR(__xludf.DUMMYFUNCTION("""COMPUTED_VALUE"""),750.0)</f>
        <v>750</v>
      </c>
      <c r="G365" s="9">
        <f>IFERROR(__xludf.DUMMYFUNCTION("""COMPUTED_VALUE"""),6.0)</f>
        <v>6</v>
      </c>
      <c r="H365" s="10">
        <f>IFERROR(__xludf.DUMMYFUNCTION("""COMPUTED_VALUE"""),1.0)</f>
        <v>1</v>
      </c>
      <c r="I365" s="11">
        <f>IFERROR(__xludf.DUMMYFUNCTION("""COMPUTED_VALUE"""),1066.0)</f>
        <v>1066</v>
      </c>
      <c r="J365" s="9" t="str">
        <f>IFERROR(__xludf.DUMMYFUNCTION("""COMPUTED_VALUE"""),"Multiple Stock Locations")</f>
        <v>Multiple Stock Locations</v>
      </c>
      <c r="K365" s="8"/>
      <c r="L365" s="12"/>
      <c r="M365" s="13"/>
      <c r="N365" s="13" t="str">
        <f>IFERROR(__xludf.DUMMYFUNCTION("IF(ISBLANK(M365),"""",M365*GOOGLEFINANCE(""USDGBP""))"),"")</f>
        <v/>
      </c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</row>
    <row r="366">
      <c r="A366" s="8" t="str">
        <f>IFERROR(__xludf.DUMMYFUNCTION("""COMPUTED_VALUE"""),"140600520190300750")</f>
        <v>140600520190300750</v>
      </c>
      <c r="B366" s="9" t="str">
        <f>IFERROR(__xludf.DUMMYFUNCTION("""COMPUTED_VALUE"""),"France")</f>
        <v>France</v>
      </c>
      <c r="C366" s="9" t="str">
        <f>IFERROR(__xludf.DUMMYFUNCTION("""COMPUTED_VALUE"""),"bordeaux")</f>
        <v>bordeaux</v>
      </c>
      <c r="D366" s="9" t="str">
        <f>IFERROR(__xludf.DUMMYFUNCTION("""COMPUTED_VALUE"""),"Le Petit Cheval Blanc")</f>
        <v>Le Petit Cheval Blanc</v>
      </c>
      <c r="E366" s="9">
        <f>IFERROR(__xludf.DUMMYFUNCTION("""COMPUTED_VALUE"""),2019.0)</f>
        <v>2019</v>
      </c>
      <c r="F366" s="9">
        <f>IFERROR(__xludf.DUMMYFUNCTION("""COMPUTED_VALUE"""),750.0)</f>
        <v>750</v>
      </c>
      <c r="G366" s="9">
        <f>IFERROR(__xludf.DUMMYFUNCTION("""COMPUTED_VALUE"""),3.0)</f>
        <v>3</v>
      </c>
      <c r="H366" s="10">
        <f>IFERROR(__xludf.DUMMYFUNCTION("""COMPUTED_VALUE"""),5.0)</f>
        <v>5</v>
      </c>
      <c r="I366" s="11">
        <f>IFERROR(__xludf.DUMMYFUNCTION("""COMPUTED_VALUE"""),308.0)</f>
        <v>308</v>
      </c>
      <c r="J366" s="9" t="str">
        <f>IFERROR(__xludf.DUMMYFUNCTION("""COMPUTED_VALUE"""),"Multiple Stock Locations")</f>
        <v>Multiple Stock Locations</v>
      </c>
      <c r="K366" s="8"/>
      <c r="L366" s="12"/>
      <c r="M366" s="13"/>
      <c r="N366" s="13" t="str">
        <f>IFERROR(__xludf.DUMMYFUNCTION("IF(ISBLANK(M366),"""",M366*GOOGLEFINANCE(""USDGBP""))"),"")</f>
        <v/>
      </c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</row>
    <row r="367">
      <c r="A367" s="8" t="str">
        <f>IFERROR(__xludf.DUMMYFUNCTION("""COMPUTED_VALUE"""),"148548620200700750")</f>
        <v>148548620200700750</v>
      </c>
      <c r="B367" s="9" t="str">
        <f>IFERROR(__xludf.DUMMYFUNCTION("""COMPUTED_VALUE"""),"France")</f>
        <v>France</v>
      </c>
      <c r="C367" s="9" t="str">
        <f>IFERROR(__xludf.DUMMYFUNCTION("""COMPUTED_VALUE"""),"burgundy")</f>
        <v>burgundy</v>
      </c>
      <c r="D367" s="9" t="str">
        <f>IFERROR(__xludf.DUMMYFUNCTION("""COMPUTED_VALUE"""),"Olivier Bernstein, Grand Cru, Assortment Case")</f>
        <v>Olivier Bernstein, Grand Cru, Assortment Case</v>
      </c>
      <c r="E367" s="9">
        <f>IFERROR(__xludf.DUMMYFUNCTION("""COMPUTED_VALUE"""),2020.0)</f>
        <v>2020</v>
      </c>
      <c r="F367" s="9">
        <f>IFERROR(__xludf.DUMMYFUNCTION("""COMPUTED_VALUE"""),750.0)</f>
        <v>750</v>
      </c>
      <c r="G367" s="9">
        <f>IFERROR(__xludf.DUMMYFUNCTION("""COMPUTED_VALUE"""),7.0)</f>
        <v>7</v>
      </c>
      <c r="H367" s="10">
        <f>IFERROR(__xludf.DUMMYFUNCTION("""COMPUTED_VALUE"""),5.0)</f>
        <v>5</v>
      </c>
      <c r="I367" s="11">
        <f>IFERROR(__xludf.DUMMYFUNCTION("""COMPUTED_VALUE"""),5753.0)</f>
        <v>5753</v>
      </c>
      <c r="J367" s="9" t="str">
        <f>IFERROR(__xludf.DUMMYFUNCTION("""COMPUTED_VALUE"""),"Multiple Stock Locations")</f>
        <v>Multiple Stock Locations</v>
      </c>
      <c r="K367" s="8"/>
      <c r="L367" s="12"/>
      <c r="M367" s="13"/>
      <c r="N367" s="13" t="str">
        <f>IFERROR(__xludf.DUMMYFUNCTION("IF(ISBLANK(M367),"""",M367*GOOGLEFINANCE(""USDGBP""))"),"")</f>
        <v/>
      </c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</row>
    <row r="368">
      <c r="A368" s="8" t="str">
        <f>IFERROR(__xludf.DUMMYFUNCTION("""COMPUTED_VALUE"""),"102169120200600750")</f>
        <v>102169120200600750</v>
      </c>
      <c r="B368" s="9" t="str">
        <f>IFERROR(__xludf.DUMMYFUNCTION("""COMPUTED_VALUE"""),"France")</f>
        <v>France</v>
      </c>
      <c r="C368" s="9" t="str">
        <f>IFERROR(__xludf.DUMMYFUNCTION("""COMPUTED_VALUE"""),"burgundy")</f>
        <v>burgundy</v>
      </c>
      <c r="D368" s="9" t="str">
        <f>IFERROR(__xludf.DUMMYFUNCTION("""COMPUTED_VALUE"""),"Bouchard Pere et Fils, Corton Grand Cru")</f>
        <v>Bouchard Pere et Fils, Corton Grand Cru</v>
      </c>
      <c r="E368" s="9">
        <f>IFERROR(__xludf.DUMMYFUNCTION("""COMPUTED_VALUE"""),2020.0)</f>
        <v>2020</v>
      </c>
      <c r="F368" s="9">
        <f>IFERROR(__xludf.DUMMYFUNCTION("""COMPUTED_VALUE"""),750.0)</f>
        <v>750</v>
      </c>
      <c r="G368" s="9">
        <f>IFERROR(__xludf.DUMMYFUNCTION("""COMPUTED_VALUE"""),6.0)</f>
        <v>6</v>
      </c>
      <c r="H368" s="10">
        <f>IFERROR(__xludf.DUMMYFUNCTION("""COMPUTED_VALUE"""),1.0)</f>
        <v>1</v>
      </c>
      <c r="I368" s="11">
        <f>IFERROR(__xludf.DUMMYFUNCTION("""COMPUTED_VALUE"""),638.0)</f>
        <v>638</v>
      </c>
      <c r="J368" s="9" t="str">
        <f>IFERROR(__xludf.DUMMYFUNCTION("""COMPUTED_VALUE"""),"Multiple Stock Locations")</f>
        <v>Multiple Stock Locations</v>
      </c>
      <c r="K368" s="8"/>
      <c r="L368" s="12"/>
      <c r="M368" s="13"/>
      <c r="N368" s="13" t="str">
        <f>IFERROR(__xludf.DUMMYFUNCTION("IF(ISBLANK(M368),"""",M368*GOOGLEFINANCE(""USDGBP""))"),"")</f>
        <v/>
      </c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</row>
    <row r="369">
      <c r="A369" s="8" t="str">
        <f>IFERROR(__xludf.DUMMYFUNCTION("""COMPUTED_VALUE"""),"104764820190600750")</f>
        <v>104764820190600750</v>
      </c>
      <c r="B369" s="9" t="str">
        <f>IFERROR(__xludf.DUMMYFUNCTION("""COMPUTED_VALUE"""),"France")</f>
        <v>France</v>
      </c>
      <c r="C369" s="9" t="str">
        <f>IFERROR(__xludf.DUMMYFUNCTION("""COMPUTED_VALUE"""),"burgundy")</f>
        <v>burgundy</v>
      </c>
      <c r="D369" s="9" t="str">
        <f>IFERROR(__xludf.DUMMYFUNCTION("""COMPUTED_VALUE"""),"Clos de Tart, Clos de Tart Grand Cru")</f>
        <v>Clos de Tart, Clos de Tart Grand Cru</v>
      </c>
      <c r="E369" s="9">
        <f>IFERROR(__xludf.DUMMYFUNCTION("""COMPUTED_VALUE"""),2019.0)</f>
        <v>2019</v>
      </c>
      <c r="F369" s="9">
        <f>IFERROR(__xludf.DUMMYFUNCTION("""COMPUTED_VALUE"""),750.0)</f>
        <v>750</v>
      </c>
      <c r="G369" s="9">
        <f>IFERROR(__xludf.DUMMYFUNCTION("""COMPUTED_VALUE"""),6.0)</f>
        <v>6</v>
      </c>
      <c r="H369" s="10">
        <f>IFERROR(__xludf.DUMMYFUNCTION("""COMPUTED_VALUE"""),5.0)</f>
        <v>5</v>
      </c>
      <c r="I369" s="11">
        <f>IFERROR(__xludf.DUMMYFUNCTION("""COMPUTED_VALUE"""),3509.0)</f>
        <v>3509</v>
      </c>
      <c r="J369" s="9" t="str">
        <f>IFERROR(__xludf.DUMMYFUNCTION("""COMPUTED_VALUE"""),"Multiple Stock Locations")</f>
        <v>Multiple Stock Locations</v>
      </c>
      <c r="K369" s="8"/>
      <c r="L369" s="12"/>
      <c r="M369" s="13"/>
      <c r="N369" s="13" t="str">
        <f>IFERROR(__xludf.DUMMYFUNCTION("IF(ISBLANK(M369),"""",M369*GOOGLEFINANCE(""USDGBP""))"),"")</f>
        <v/>
      </c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</row>
    <row r="370">
      <c r="A370" s="8" t="str">
        <f>IFERROR(__xludf.DUMMYFUNCTION("""COMPUTED_VALUE"""),"102652420180600750")</f>
        <v>102652420180600750</v>
      </c>
      <c r="B370" s="9" t="str">
        <f>IFERROR(__xludf.DUMMYFUNCTION("""COMPUTED_VALUE"""),"France")</f>
        <v>France</v>
      </c>
      <c r="C370" s="9" t="str">
        <f>IFERROR(__xludf.DUMMYFUNCTION("""COMPUTED_VALUE"""),"burgundy")</f>
        <v>burgundy</v>
      </c>
      <c r="D370" s="9" t="str">
        <f>IFERROR(__xludf.DUMMYFUNCTION("""COMPUTED_VALUE"""),"Comte Armand, Pommard Premier Cru, Clos des Epeneaux")</f>
        <v>Comte Armand, Pommard Premier Cru, Clos des Epeneaux</v>
      </c>
      <c r="E370" s="9">
        <f>IFERROR(__xludf.DUMMYFUNCTION("""COMPUTED_VALUE"""),2018.0)</f>
        <v>2018</v>
      </c>
      <c r="F370" s="9">
        <f>IFERROR(__xludf.DUMMYFUNCTION("""COMPUTED_VALUE"""),750.0)</f>
        <v>750</v>
      </c>
      <c r="G370" s="9">
        <f>IFERROR(__xludf.DUMMYFUNCTION("""COMPUTED_VALUE"""),6.0)</f>
        <v>6</v>
      </c>
      <c r="H370" s="10">
        <f>IFERROR(__xludf.DUMMYFUNCTION("""COMPUTED_VALUE"""),2.0)</f>
        <v>2</v>
      </c>
      <c r="I370" s="11">
        <f>IFERROR(__xludf.DUMMYFUNCTION("""COMPUTED_VALUE"""),634.0)</f>
        <v>634</v>
      </c>
      <c r="J370" s="9" t="str">
        <f>IFERROR(__xludf.DUMMYFUNCTION("""COMPUTED_VALUE"""),"Multiple Stock Locations")</f>
        <v>Multiple Stock Locations</v>
      </c>
      <c r="K370" s="8"/>
      <c r="L370" s="12"/>
      <c r="M370" s="13"/>
      <c r="N370" s="13" t="str">
        <f>IFERROR(__xludf.DUMMYFUNCTION("IF(ISBLANK(M370),"""",M370*GOOGLEFINANCE(""USDGBP""))"),"")</f>
        <v/>
      </c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</row>
    <row r="371">
      <c r="A371" s="8" t="str">
        <f>IFERROR(__xludf.DUMMYFUNCTION("""COMPUTED_VALUE"""),"102652420200600750")</f>
        <v>102652420200600750</v>
      </c>
      <c r="B371" s="9" t="str">
        <f>IFERROR(__xludf.DUMMYFUNCTION("""COMPUTED_VALUE"""),"France")</f>
        <v>France</v>
      </c>
      <c r="C371" s="9" t="str">
        <f>IFERROR(__xludf.DUMMYFUNCTION("""COMPUTED_VALUE"""),"burgundy")</f>
        <v>burgundy</v>
      </c>
      <c r="D371" s="9" t="str">
        <f>IFERROR(__xludf.DUMMYFUNCTION("""COMPUTED_VALUE"""),"Comte Armand, Pommard Premier Cru, Clos des Epeneaux")</f>
        <v>Comte Armand, Pommard Premier Cru, Clos des Epeneaux</v>
      </c>
      <c r="E371" s="9">
        <f>IFERROR(__xludf.DUMMYFUNCTION("""COMPUTED_VALUE"""),2020.0)</f>
        <v>2020</v>
      </c>
      <c r="F371" s="9">
        <f>IFERROR(__xludf.DUMMYFUNCTION("""COMPUTED_VALUE"""),750.0)</f>
        <v>750</v>
      </c>
      <c r="G371" s="9">
        <f>IFERROR(__xludf.DUMMYFUNCTION("""COMPUTED_VALUE"""),6.0)</f>
        <v>6</v>
      </c>
      <c r="H371" s="10">
        <f>IFERROR(__xludf.DUMMYFUNCTION("""COMPUTED_VALUE"""),1.0)</f>
        <v>1</v>
      </c>
      <c r="I371" s="11">
        <f>IFERROR(__xludf.DUMMYFUNCTION("""COMPUTED_VALUE"""),621.0)</f>
        <v>621</v>
      </c>
      <c r="J371" s="9" t="str">
        <f>IFERROR(__xludf.DUMMYFUNCTION("""COMPUTED_VALUE"""),"Multiple Stock Locations")</f>
        <v>Multiple Stock Locations</v>
      </c>
      <c r="K371" s="8"/>
      <c r="L371" s="12"/>
      <c r="M371" s="13"/>
      <c r="N371" s="13" t="str">
        <f>IFERROR(__xludf.DUMMYFUNCTION("IF(ISBLANK(M371),"""",M371*GOOGLEFINANCE(""USDGBP""))"),"")</f>
        <v/>
      </c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</row>
    <row r="372">
      <c r="A372" s="8" t="str">
        <f>IFERROR(__xludf.DUMMYFUNCTION("""COMPUTED_VALUE"""),"103624220190600750")</f>
        <v>103624220190600750</v>
      </c>
      <c r="B372" s="9" t="str">
        <f>IFERROR(__xludf.DUMMYFUNCTION("""COMPUTED_VALUE"""),"France")</f>
        <v>France</v>
      </c>
      <c r="C372" s="9" t="str">
        <f>IFERROR(__xludf.DUMMYFUNCTION("""COMPUTED_VALUE"""),"burgundy")</f>
        <v>burgundy</v>
      </c>
      <c r="D372" s="9" t="str">
        <f>IFERROR(__xludf.DUMMYFUNCTION("""COMPUTED_VALUE"""),"Domaine Anne-Francoise Gros, Richebourg Grand Cru")</f>
        <v>Domaine Anne-Francoise Gros, Richebourg Grand Cru</v>
      </c>
      <c r="E372" s="9">
        <f>IFERROR(__xludf.DUMMYFUNCTION("""COMPUTED_VALUE"""),2019.0)</f>
        <v>2019</v>
      </c>
      <c r="F372" s="9">
        <f>IFERROR(__xludf.DUMMYFUNCTION("""COMPUTED_VALUE"""),750.0)</f>
        <v>750</v>
      </c>
      <c r="G372" s="9">
        <f>IFERROR(__xludf.DUMMYFUNCTION("""COMPUTED_VALUE"""),6.0)</f>
        <v>6</v>
      </c>
      <c r="H372" s="10">
        <f>IFERROR(__xludf.DUMMYFUNCTION("""COMPUTED_VALUE"""),3.0)</f>
        <v>3</v>
      </c>
      <c r="I372" s="11">
        <f>IFERROR(__xludf.DUMMYFUNCTION("""COMPUTED_VALUE"""),4397.0)</f>
        <v>4397</v>
      </c>
      <c r="J372" s="9" t="str">
        <f>IFERROR(__xludf.DUMMYFUNCTION("""COMPUTED_VALUE"""),"Multiple Stock Locations")</f>
        <v>Multiple Stock Locations</v>
      </c>
      <c r="K372" s="8"/>
      <c r="L372" s="12"/>
      <c r="M372" s="13"/>
      <c r="N372" s="13" t="str">
        <f>IFERROR(__xludf.DUMMYFUNCTION("IF(ISBLANK(M372),"""",M372*GOOGLEFINANCE(""USDGBP""))"),"")</f>
        <v/>
      </c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</row>
    <row r="373">
      <c r="A373" s="8" t="str">
        <f>IFERROR(__xludf.DUMMYFUNCTION("""COMPUTED_VALUE"""),"102677120180600750")</f>
        <v>102677120180600750</v>
      </c>
      <c r="B373" s="9" t="str">
        <f>IFERROR(__xludf.DUMMYFUNCTION("""COMPUTED_VALUE"""),"France")</f>
        <v>France</v>
      </c>
      <c r="C373" s="9" t="str">
        <f>IFERROR(__xludf.DUMMYFUNCTION("""COMPUTED_VALUE"""),"burgundy")</f>
        <v>burgundy</v>
      </c>
      <c r="D373" s="9" t="str">
        <f>IFERROR(__xludf.DUMMYFUNCTION("""COMPUTED_VALUE"""),"Domaine Comte Georges de Vogue, Bonnes Mares Grand Cru")</f>
        <v>Domaine Comte Georges de Vogue, Bonnes Mares Grand Cru</v>
      </c>
      <c r="E373" s="9">
        <f>IFERROR(__xludf.DUMMYFUNCTION("""COMPUTED_VALUE"""),2018.0)</f>
        <v>2018</v>
      </c>
      <c r="F373" s="9">
        <f>IFERROR(__xludf.DUMMYFUNCTION("""COMPUTED_VALUE"""),750.0)</f>
        <v>750</v>
      </c>
      <c r="G373" s="9">
        <f>IFERROR(__xludf.DUMMYFUNCTION("""COMPUTED_VALUE"""),6.0)</f>
        <v>6</v>
      </c>
      <c r="H373" s="10">
        <f>IFERROR(__xludf.DUMMYFUNCTION("""COMPUTED_VALUE"""),1.0)</f>
        <v>1</v>
      </c>
      <c r="I373" s="11">
        <f>IFERROR(__xludf.DUMMYFUNCTION("""COMPUTED_VALUE"""),3056.0)</f>
        <v>3056</v>
      </c>
      <c r="J373" s="9" t="str">
        <f>IFERROR(__xludf.DUMMYFUNCTION("""COMPUTED_VALUE"""),"Multiple Stock Locations")</f>
        <v>Multiple Stock Locations</v>
      </c>
      <c r="K373" s="8"/>
      <c r="L373" s="12"/>
      <c r="M373" s="13"/>
      <c r="N373" s="13" t="str">
        <f>IFERROR(__xludf.DUMMYFUNCTION("IF(ISBLANK(M373),"""",M373*GOOGLEFINANCE(""USDGBP""))"),"")</f>
        <v/>
      </c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</row>
    <row r="374">
      <c r="A374" s="8" t="str">
        <f>IFERROR(__xludf.DUMMYFUNCTION("""COMPUTED_VALUE"""),"102952520200600750")</f>
        <v>102952520200600750</v>
      </c>
      <c r="B374" s="9" t="str">
        <f>IFERROR(__xludf.DUMMYFUNCTION("""COMPUTED_VALUE"""),"France")</f>
        <v>France</v>
      </c>
      <c r="C374" s="9" t="str">
        <f>IFERROR(__xludf.DUMMYFUNCTION("""COMPUTED_VALUE"""),"burgundy")</f>
        <v>burgundy</v>
      </c>
      <c r="D374" s="9" t="str">
        <f>IFERROR(__xludf.DUMMYFUNCTION("""COMPUTED_VALUE"""),"Domaine Drouhin Laroze, Chapelle-Chambertin Grand Cru")</f>
        <v>Domaine Drouhin Laroze, Chapelle-Chambertin Grand Cru</v>
      </c>
      <c r="E374" s="9">
        <f>IFERROR(__xludf.DUMMYFUNCTION("""COMPUTED_VALUE"""),2020.0)</f>
        <v>2020</v>
      </c>
      <c r="F374" s="9">
        <f>IFERROR(__xludf.DUMMYFUNCTION("""COMPUTED_VALUE"""),750.0)</f>
        <v>750</v>
      </c>
      <c r="G374" s="9">
        <f>IFERROR(__xludf.DUMMYFUNCTION("""COMPUTED_VALUE"""),6.0)</f>
        <v>6</v>
      </c>
      <c r="H374" s="10">
        <f>IFERROR(__xludf.DUMMYFUNCTION("""COMPUTED_VALUE"""),1.0)</f>
        <v>1</v>
      </c>
      <c r="I374" s="11">
        <f>IFERROR(__xludf.DUMMYFUNCTION("""COMPUTED_VALUE"""),744.0)</f>
        <v>744</v>
      </c>
      <c r="J374" s="9" t="str">
        <f>IFERROR(__xludf.DUMMYFUNCTION("""COMPUTED_VALUE"""),"Multiple Stock Locations")</f>
        <v>Multiple Stock Locations</v>
      </c>
      <c r="K374" s="8"/>
      <c r="L374" s="12"/>
      <c r="M374" s="13"/>
      <c r="N374" s="13" t="str">
        <f>IFERROR(__xludf.DUMMYFUNCTION("IF(ISBLANK(M374),"""",M374*GOOGLEFINANCE(""USDGBP""))"),"")</f>
        <v/>
      </c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</row>
    <row r="375">
      <c r="A375" s="8" t="str">
        <f>IFERROR(__xludf.DUMMYFUNCTION("""COMPUTED_VALUE"""),"103134820150600750")</f>
        <v>103134820150600750</v>
      </c>
      <c r="B375" s="9" t="str">
        <f>IFERROR(__xludf.DUMMYFUNCTION("""COMPUTED_VALUE"""),"France")</f>
        <v>France</v>
      </c>
      <c r="C375" s="9" t="str">
        <f>IFERROR(__xludf.DUMMYFUNCTION("""COMPUTED_VALUE"""),"burgundy")</f>
        <v>burgundy</v>
      </c>
      <c r="D375" s="9" t="str">
        <f>IFERROR(__xludf.DUMMYFUNCTION("""COMPUTED_VALUE"""),"Domaine Faiveley, Clos de Vougeot Grand Cru")</f>
        <v>Domaine Faiveley, Clos de Vougeot Grand Cru</v>
      </c>
      <c r="E375" s="9">
        <f>IFERROR(__xludf.DUMMYFUNCTION("""COMPUTED_VALUE"""),2015.0)</f>
        <v>2015</v>
      </c>
      <c r="F375" s="9">
        <f>IFERROR(__xludf.DUMMYFUNCTION("""COMPUTED_VALUE"""),750.0)</f>
        <v>750</v>
      </c>
      <c r="G375" s="9">
        <f>IFERROR(__xludf.DUMMYFUNCTION("""COMPUTED_VALUE"""),6.0)</f>
        <v>6</v>
      </c>
      <c r="H375" s="10">
        <f>IFERROR(__xludf.DUMMYFUNCTION("""COMPUTED_VALUE"""),1.0)</f>
        <v>1</v>
      </c>
      <c r="I375" s="11">
        <f>IFERROR(__xludf.DUMMYFUNCTION("""COMPUTED_VALUE"""),907.0)</f>
        <v>907</v>
      </c>
      <c r="J375" s="9" t="str">
        <f>IFERROR(__xludf.DUMMYFUNCTION("""COMPUTED_VALUE"""),"Multiple Stock Locations")</f>
        <v>Multiple Stock Locations</v>
      </c>
      <c r="K375" s="8"/>
      <c r="L375" s="12"/>
      <c r="M375" s="13"/>
      <c r="N375" s="13" t="str">
        <f>IFERROR(__xludf.DUMMYFUNCTION("IF(ISBLANK(M375),"""",M375*GOOGLEFINANCE(""USDGBP""))"),"")</f>
        <v/>
      </c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</row>
    <row r="376">
      <c r="A376" s="8" t="str">
        <f>IFERROR(__xludf.DUMMYFUNCTION("""COMPUTED_VALUE"""),"144928220170600750")</f>
        <v>144928220170600750</v>
      </c>
      <c r="B376" s="9" t="str">
        <f>IFERROR(__xludf.DUMMYFUNCTION("""COMPUTED_VALUE"""),"France")</f>
        <v>France</v>
      </c>
      <c r="C376" s="9" t="str">
        <f>IFERROR(__xludf.DUMMYFUNCTION("""COMPUTED_VALUE"""),"burgundy")</f>
        <v>burgundy</v>
      </c>
      <c r="D376" s="9" t="str">
        <f>IFERROR(__xludf.DUMMYFUNCTION("""COMPUTED_VALUE"""),"Domaine Faiveley, Gevrey-Chambertin Premier Cru, Lavaut Saint-Jacques")</f>
        <v>Domaine Faiveley, Gevrey-Chambertin Premier Cru, Lavaut Saint-Jacques</v>
      </c>
      <c r="E376" s="9">
        <f>IFERROR(__xludf.DUMMYFUNCTION("""COMPUTED_VALUE"""),2017.0)</f>
        <v>2017</v>
      </c>
      <c r="F376" s="9">
        <f>IFERROR(__xludf.DUMMYFUNCTION("""COMPUTED_VALUE"""),750.0)</f>
        <v>750</v>
      </c>
      <c r="G376" s="9">
        <f>IFERROR(__xludf.DUMMYFUNCTION("""COMPUTED_VALUE"""),6.0)</f>
        <v>6</v>
      </c>
      <c r="H376" s="10">
        <f>IFERROR(__xludf.DUMMYFUNCTION("""COMPUTED_VALUE"""),3.0)</f>
        <v>3</v>
      </c>
      <c r="I376" s="11">
        <f>IFERROR(__xludf.DUMMYFUNCTION("""COMPUTED_VALUE"""),509.0)</f>
        <v>509</v>
      </c>
      <c r="J376" s="9" t="str">
        <f>IFERROR(__xludf.DUMMYFUNCTION("""COMPUTED_VALUE"""),"Multiple Stock Locations")</f>
        <v>Multiple Stock Locations</v>
      </c>
      <c r="K376" s="8"/>
      <c r="L376" s="12"/>
      <c r="M376" s="13"/>
      <c r="N376" s="13" t="str">
        <f>IFERROR(__xludf.DUMMYFUNCTION("IF(ISBLANK(M376),"""",M376*GOOGLEFINANCE(""USDGBP""))"),"")</f>
        <v/>
      </c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</row>
    <row r="377">
      <c r="A377" s="8" t="str">
        <f>IFERROR(__xludf.DUMMYFUNCTION("""COMPUTED_VALUE"""),"103140720180600750")</f>
        <v>103140720180600750</v>
      </c>
      <c r="B377" s="9" t="str">
        <f>IFERROR(__xludf.DUMMYFUNCTION("""COMPUTED_VALUE"""),"France")</f>
        <v>France</v>
      </c>
      <c r="C377" s="9" t="str">
        <f>IFERROR(__xludf.DUMMYFUNCTION("""COMPUTED_VALUE"""),"burgundy")</f>
        <v>burgundy</v>
      </c>
      <c r="D377" s="9" t="str">
        <f>IFERROR(__xludf.DUMMYFUNCTION("""COMPUTED_VALUE"""),"Domaine Faiveley, Gevrey-Chambertin Premier Cru, Les Cazetiers")</f>
        <v>Domaine Faiveley, Gevrey-Chambertin Premier Cru, Les Cazetiers</v>
      </c>
      <c r="E377" s="9">
        <f>IFERROR(__xludf.DUMMYFUNCTION("""COMPUTED_VALUE"""),2018.0)</f>
        <v>2018</v>
      </c>
      <c r="F377" s="9">
        <f>IFERROR(__xludf.DUMMYFUNCTION("""COMPUTED_VALUE"""),750.0)</f>
        <v>750</v>
      </c>
      <c r="G377" s="9">
        <f>IFERROR(__xludf.DUMMYFUNCTION("""COMPUTED_VALUE"""),6.0)</f>
        <v>6</v>
      </c>
      <c r="H377" s="10">
        <f>IFERROR(__xludf.DUMMYFUNCTION("""COMPUTED_VALUE"""),1.0)</f>
        <v>1</v>
      </c>
      <c r="I377" s="11">
        <f>IFERROR(__xludf.DUMMYFUNCTION("""COMPUTED_VALUE"""),495.0)</f>
        <v>495</v>
      </c>
      <c r="J377" s="9" t="str">
        <f>IFERROR(__xludf.DUMMYFUNCTION("""COMPUTED_VALUE"""),"Multiple Stock Locations")</f>
        <v>Multiple Stock Locations</v>
      </c>
      <c r="K377" s="8"/>
      <c r="L377" s="12"/>
      <c r="M377" s="13"/>
      <c r="N377" s="13" t="str">
        <f>IFERROR(__xludf.DUMMYFUNCTION("IF(ISBLANK(M377),"""",M377*GOOGLEFINANCE(""USDGBP""))"),"")</f>
        <v/>
      </c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</row>
    <row r="378">
      <c r="A378" s="8" t="str">
        <f>IFERROR(__xludf.DUMMYFUNCTION("""COMPUTED_VALUE"""),"103145220200600750")</f>
        <v>103145220200600750</v>
      </c>
      <c r="B378" s="9" t="str">
        <f>IFERROR(__xludf.DUMMYFUNCTION("""COMPUTED_VALUE"""),"France")</f>
        <v>France</v>
      </c>
      <c r="C378" s="9" t="str">
        <f>IFERROR(__xludf.DUMMYFUNCTION("""COMPUTED_VALUE"""),"burgundy")</f>
        <v>burgundy</v>
      </c>
      <c r="D378" s="9" t="str">
        <f>IFERROR(__xludf.DUMMYFUNCTION("""COMPUTED_VALUE"""),"Domaine Faiveley, Latricieres-Chambertin Grand Cru")</f>
        <v>Domaine Faiveley, Latricieres-Chambertin Grand Cru</v>
      </c>
      <c r="E378" s="9">
        <f>IFERROR(__xludf.DUMMYFUNCTION("""COMPUTED_VALUE"""),2020.0)</f>
        <v>2020</v>
      </c>
      <c r="F378" s="9">
        <f>IFERROR(__xludf.DUMMYFUNCTION("""COMPUTED_VALUE"""),750.0)</f>
        <v>750</v>
      </c>
      <c r="G378" s="9">
        <f>IFERROR(__xludf.DUMMYFUNCTION("""COMPUTED_VALUE"""),6.0)</f>
        <v>6</v>
      </c>
      <c r="H378" s="10">
        <f>IFERROR(__xludf.DUMMYFUNCTION("""COMPUTED_VALUE"""),1.0)</f>
        <v>1</v>
      </c>
      <c r="I378" s="11">
        <f>IFERROR(__xludf.DUMMYFUNCTION("""COMPUTED_VALUE"""),1381.0)</f>
        <v>1381</v>
      </c>
      <c r="J378" s="9" t="str">
        <f>IFERROR(__xludf.DUMMYFUNCTION("""COMPUTED_VALUE"""),"Multiple Stock Locations")</f>
        <v>Multiple Stock Locations</v>
      </c>
      <c r="K378" s="8"/>
      <c r="L378" s="12"/>
      <c r="M378" s="13"/>
      <c r="N378" s="13" t="str">
        <f>IFERROR(__xludf.DUMMYFUNCTION("IF(ISBLANK(M378),"""",M378*GOOGLEFINANCE(""USDGBP""))"),"")</f>
        <v/>
      </c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</row>
    <row r="379">
      <c r="A379" s="8" t="str">
        <f>IFERROR(__xludf.DUMMYFUNCTION("""COMPUTED_VALUE"""),"103146520160600750")</f>
        <v>103146520160600750</v>
      </c>
      <c r="B379" s="9" t="str">
        <f>IFERROR(__xludf.DUMMYFUNCTION("""COMPUTED_VALUE"""),"France")</f>
        <v>France</v>
      </c>
      <c r="C379" s="9" t="str">
        <f>IFERROR(__xludf.DUMMYFUNCTION("""COMPUTED_VALUE"""),"burgundy")</f>
        <v>burgundy</v>
      </c>
      <c r="D379" s="9" t="str">
        <f>IFERROR(__xludf.DUMMYFUNCTION("""COMPUTED_VALUE"""),"Domaine Faiveley, Mazis-Chambertin Grand Cru")</f>
        <v>Domaine Faiveley, Mazis-Chambertin Grand Cru</v>
      </c>
      <c r="E379" s="9">
        <f>IFERROR(__xludf.DUMMYFUNCTION("""COMPUTED_VALUE"""),2016.0)</f>
        <v>2016</v>
      </c>
      <c r="F379" s="9">
        <f>IFERROR(__xludf.DUMMYFUNCTION("""COMPUTED_VALUE"""),750.0)</f>
        <v>750</v>
      </c>
      <c r="G379" s="9">
        <f>IFERROR(__xludf.DUMMYFUNCTION("""COMPUTED_VALUE"""),6.0)</f>
        <v>6</v>
      </c>
      <c r="H379" s="10">
        <f>IFERROR(__xludf.DUMMYFUNCTION("""COMPUTED_VALUE"""),1.0)</f>
        <v>1</v>
      </c>
      <c r="I379" s="11">
        <f>IFERROR(__xludf.DUMMYFUNCTION("""COMPUTED_VALUE"""),1231.0)</f>
        <v>1231</v>
      </c>
      <c r="J379" s="9" t="str">
        <f>IFERROR(__xludf.DUMMYFUNCTION("""COMPUTED_VALUE"""),"Multiple Stock Locations")</f>
        <v>Multiple Stock Locations</v>
      </c>
      <c r="K379" s="8"/>
      <c r="L379" s="12"/>
      <c r="M379" s="13"/>
      <c r="N379" s="13" t="str">
        <f>IFERROR(__xludf.DUMMYFUNCTION("IF(ISBLANK(M379),"""",M379*GOOGLEFINANCE(""USDGBP""))"),"")</f>
        <v/>
      </c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</row>
    <row r="380">
      <c r="A380" s="8" t="str">
        <f>IFERROR(__xludf.DUMMYFUNCTION("""COMPUTED_VALUE"""),"103146520180600750")</f>
        <v>103146520180600750</v>
      </c>
      <c r="B380" s="9" t="str">
        <f>IFERROR(__xludf.DUMMYFUNCTION("""COMPUTED_VALUE"""),"France")</f>
        <v>France</v>
      </c>
      <c r="C380" s="9" t="str">
        <f>IFERROR(__xludf.DUMMYFUNCTION("""COMPUTED_VALUE"""),"burgundy")</f>
        <v>burgundy</v>
      </c>
      <c r="D380" s="9" t="str">
        <f>IFERROR(__xludf.DUMMYFUNCTION("""COMPUTED_VALUE"""),"Domaine Faiveley, Mazis-Chambertin Grand Cru")</f>
        <v>Domaine Faiveley, Mazis-Chambertin Grand Cru</v>
      </c>
      <c r="E380" s="9">
        <f>IFERROR(__xludf.DUMMYFUNCTION("""COMPUTED_VALUE"""),2018.0)</f>
        <v>2018</v>
      </c>
      <c r="F380" s="9">
        <f>IFERROR(__xludf.DUMMYFUNCTION("""COMPUTED_VALUE"""),750.0)</f>
        <v>750</v>
      </c>
      <c r="G380" s="9">
        <f>IFERROR(__xludf.DUMMYFUNCTION("""COMPUTED_VALUE"""),6.0)</f>
        <v>6</v>
      </c>
      <c r="H380" s="10">
        <f>IFERROR(__xludf.DUMMYFUNCTION("""COMPUTED_VALUE"""),1.0)</f>
        <v>1</v>
      </c>
      <c r="I380" s="11">
        <f>IFERROR(__xludf.DUMMYFUNCTION("""COMPUTED_VALUE"""),1052.0)</f>
        <v>1052</v>
      </c>
      <c r="J380" s="9" t="str">
        <f>IFERROR(__xludf.DUMMYFUNCTION("""COMPUTED_VALUE"""),"Multiple Stock Locations")</f>
        <v>Multiple Stock Locations</v>
      </c>
      <c r="K380" s="8"/>
      <c r="L380" s="12"/>
      <c r="M380" s="13"/>
      <c r="N380" s="13" t="str">
        <f>IFERROR(__xludf.DUMMYFUNCTION("IF(ISBLANK(M380),"""",M380*GOOGLEFINANCE(""USDGBP""))"),"")</f>
        <v/>
      </c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</row>
    <row r="381">
      <c r="A381" s="8" t="str">
        <f>IFERROR(__xludf.DUMMYFUNCTION("""COMPUTED_VALUE"""),"103153720180100750")</f>
        <v>103153720180100750</v>
      </c>
      <c r="B381" s="9" t="str">
        <f>IFERROR(__xludf.DUMMYFUNCTION("""COMPUTED_VALUE"""),"France")</f>
        <v>France</v>
      </c>
      <c r="C381" s="9" t="str">
        <f>IFERROR(__xludf.DUMMYFUNCTION("""COMPUTED_VALUE"""),"burgundy")</f>
        <v>burgundy</v>
      </c>
      <c r="D381" s="9" t="str">
        <f>IFERROR(__xludf.DUMMYFUNCTION("""COMPUTED_VALUE"""),"Domaine Faiveley, Musigny Grand Cru")</f>
        <v>Domaine Faiveley, Musigny Grand Cru</v>
      </c>
      <c r="E381" s="9">
        <f>IFERROR(__xludf.DUMMYFUNCTION("""COMPUTED_VALUE"""),2018.0)</f>
        <v>2018</v>
      </c>
      <c r="F381" s="9">
        <f>IFERROR(__xludf.DUMMYFUNCTION("""COMPUTED_VALUE"""),750.0)</f>
        <v>750</v>
      </c>
      <c r="G381" s="9">
        <f>IFERROR(__xludf.DUMMYFUNCTION("""COMPUTED_VALUE"""),1.0)</f>
        <v>1</v>
      </c>
      <c r="H381" s="10">
        <f>IFERROR(__xludf.DUMMYFUNCTION("""COMPUTED_VALUE"""),1.0)</f>
        <v>1</v>
      </c>
      <c r="I381" s="11">
        <f>IFERROR(__xludf.DUMMYFUNCTION("""COMPUTED_VALUE"""),3042.0)</f>
        <v>3042</v>
      </c>
      <c r="J381" s="9" t="str">
        <f>IFERROR(__xludf.DUMMYFUNCTION("""COMPUTED_VALUE"""),"Multiple Stock Locations")</f>
        <v>Multiple Stock Locations</v>
      </c>
      <c r="K381" s="8"/>
      <c r="L381" s="12"/>
      <c r="M381" s="13"/>
      <c r="N381" s="13" t="str">
        <f>IFERROR(__xludf.DUMMYFUNCTION("IF(ISBLANK(M381),"""",M381*GOOGLEFINANCE(""USDGBP""))"),"")</f>
        <v/>
      </c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</row>
    <row r="382">
      <c r="A382" s="8" t="str">
        <f>IFERROR(__xludf.DUMMYFUNCTION("""COMPUTED_VALUE"""),"102085420170600750")</f>
        <v>102085420170600750</v>
      </c>
      <c r="B382" s="9" t="str">
        <f>IFERROR(__xludf.DUMMYFUNCTION("""COMPUTED_VALUE"""),"France")</f>
        <v>France</v>
      </c>
      <c r="C382" s="9" t="str">
        <f>IFERROR(__xludf.DUMMYFUNCTION("""COMPUTED_VALUE"""),"burgundy")</f>
        <v>burgundy</v>
      </c>
      <c r="D382" s="9" t="str">
        <f>IFERROR(__xludf.DUMMYFUNCTION("""COMPUTED_VALUE"""),"Domaine Henri Boillot, Volnay Premier Cru, Fremiets")</f>
        <v>Domaine Henri Boillot, Volnay Premier Cru, Fremiets</v>
      </c>
      <c r="E382" s="9">
        <f>IFERROR(__xludf.DUMMYFUNCTION("""COMPUTED_VALUE"""),2017.0)</f>
        <v>2017</v>
      </c>
      <c r="F382" s="9">
        <f>IFERROR(__xludf.DUMMYFUNCTION("""COMPUTED_VALUE"""),750.0)</f>
        <v>750</v>
      </c>
      <c r="G382" s="9">
        <f>IFERROR(__xludf.DUMMYFUNCTION("""COMPUTED_VALUE"""),6.0)</f>
        <v>6</v>
      </c>
      <c r="H382" s="10">
        <f>IFERROR(__xludf.DUMMYFUNCTION("""COMPUTED_VALUE"""),3.0)</f>
        <v>3</v>
      </c>
      <c r="I382" s="11">
        <f>IFERROR(__xludf.DUMMYFUNCTION("""COMPUTED_VALUE"""),351.0)</f>
        <v>351</v>
      </c>
      <c r="J382" s="9" t="str">
        <f>IFERROR(__xludf.DUMMYFUNCTION("""COMPUTED_VALUE"""),"Multiple Stock Locations")</f>
        <v>Multiple Stock Locations</v>
      </c>
      <c r="K382" s="8"/>
      <c r="L382" s="12"/>
      <c r="M382" s="13"/>
      <c r="N382" s="13" t="str">
        <f>IFERROR(__xludf.DUMMYFUNCTION("IF(ISBLANK(M382),"""",M382*GOOGLEFINANCE(""USDGBP""))"),"")</f>
        <v/>
      </c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</row>
    <row r="383">
      <c r="A383" s="8" t="str">
        <f>IFERROR(__xludf.DUMMYFUNCTION("""COMPUTED_VALUE"""),"103559320180600750")</f>
        <v>103559320180600750</v>
      </c>
      <c r="B383" s="9" t="str">
        <f>IFERROR(__xludf.DUMMYFUNCTION("""COMPUTED_VALUE"""),"France")</f>
        <v>France</v>
      </c>
      <c r="C383" s="9" t="str">
        <f>IFERROR(__xludf.DUMMYFUNCTION("""COMPUTED_VALUE"""),"burgundy")</f>
        <v>burgundy</v>
      </c>
      <c r="D383" s="9" t="str">
        <f>IFERROR(__xludf.DUMMYFUNCTION("""COMPUTED_VALUE"""),"Domaine Jean Grivot, Echezeaux Grand Cru")</f>
        <v>Domaine Jean Grivot, Echezeaux Grand Cru</v>
      </c>
      <c r="E383" s="9">
        <f>IFERROR(__xludf.DUMMYFUNCTION("""COMPUTED_VALUE"""),2018.0)</f>
        <v>2018</v>
      </c>
      <c r="F383" s="9">
        <f>IFERROR(__xludf.DUMMYFUNCTION("""COMPUTED_VALUE"""),750.0)</f>
        <v>750</v>
      </c>
      <c r="G383" s="9">
        <f>IFERROR(__xludf.DUMMYFUNCTION("""COMPUTED_VALUE"""),6.0)</f>
        <v>6</v>
      </c>
      <c r="H383" s="10">
        <f>IFERROR(__xludf.DUMMYFUNCTION("""COMPUTED_VALUE"""),1.0)</f>
        <v>1</v>
      </c>
      <c r="I383" s="11">
        <f>IFERROR(__xludf.DUMMYFUNCTION("""COMPUTED_VALUE"""),2036.0)</f>
        <v>2036</v>
      </c>
      <c r="J383" s="9" t="str">
        <f>IFERROR(__xludf.DUMMYFUNCTION("""COMPUTED_VALUE"""),"Multiple Stock Locations")</f>
        <v>Multiple Stock Locations</v>
      </c>
      <c r="K383" s="8"/>
      <c r="L383" s="12"/>
      <c r="M383" s="13"/>
      <c r="N383" s="13" t="str">
        <f>IFERROR(__xludf.DUMMYFUNCTION("IF(ISBLANK(M383),"""",M383*GOOGLEFINANCE(""USDGBP""))"),"")</f>
        <v/>
      </c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</row>
    <row r="384">
      <c r="A384" s="8" t="str">
        <f>IFERROR(__xludf.DUMMYFUNCTION("""COMPUTED_VALUE"""),"102738720180600750")</f>
        <v>102738720180600750</v>
      </c>
      <c r="B384" s="9" t="str">
        <f>IFERROR(__xludf.DUMMYFUNCTION("""COMPUTED_VALUE"""),"France")</f>
        <v>France</v>
      </c>
      <c r="C384" s="9" t="str">
        <f>IFERROR(__xludf.DUMMYFUNCTION("""COMPUTED_VALUE"""),"burgundy")</f>
        <v>burgundy</v>
      </c>
      <c r="D384" s="9" t="str">
        <f>IFERROR(__xludf.DUMMYFUNCTION("""COMPUTED_VALUE"""),"Domaine Jean-Jacques Confuron, Romanee-Saint-Vivant Grand Cru")</f>
        <v>Domaine Jean-Jacques Confuron, Romanee-Saint-Vivant Grand Cru</v>
      </c>
      <c r="E384" s="9">
        <f>IFERROR(__xludf.DUMMYFUNCTION("""COMPUTED_VALUE"""),2018.0)</f>
        <v>2018</v>
      </c>
      <c r="F384" s="9">
        <f>IFERROR(__xludf.DUMMYFUNCTION("""COMPUTED_VALUE"""),750.0)</f>
        <v>750</v>
      </c>
      <c r="G384" s="9">
        <f>IFERROR(__xludf.DUMMYFUNCTION("""COMPUTED_VALUE"""),6.0)</f>
        <v>6</v>
      </c>
      <c r="H384" s="10">
        <f>IFERROR(__xludf.DUMMYFUNCTION("""COMPUTED_VALUE"""),1.0)</f>
        <v>1</v>
      </c>
      <c r="I384" s="11">
        <f>IFERROR(__xludf.DUMMYFUNCTION("""COMPUTED_VALUE"""),2687.0)</f>
        <v>2687</v>
      </c>
      <c r="J384" s="9" t="str">
        <f>IFERROR(__xludf.DUMMYFUNCTION("""COMPUTED_VALUE"""),"Multiple Stock Locations")</f>
        <v>Multiple Stock Locations</v>
      </c>
      <c r="K384" s="8"/>
      <c r="L384" s="12"/>
      <c r="M384" s="13"/>
      <c r="N384" s="13" t="str">
        <f>IFERROR(__xludf.DUMMYFUNCTION("IF(ISBLANK(M384),"""",M384*GOOGLEFINANCE(""USDGBP""))"),"")</f>
        <v/>
      </c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</row>
    <row r="385">
      <c r="A385" s="8" t="str">
        <f>IFERROR(__xludf.DUMMYFUNCTION("""COMPUTED_VALUE"""),"101837620180600750")</f>
        <v>101837620180600750</v>
      </c>
      <c r="B385" s="9" t="str">
        <f>IFERROR(__xludf.DUMMYFUNCTION("""COMPUTED_VALUE"""),"France")</f>
        <v>France</v>
      </c>
      <c r="C385" s="9" t="str">
        <f>IFERROR(__xludf.DUMMYFUNCTION("""COMPUTED_VALUE"""),"burgundy")</f>
        <v>burgundy</v>
      </c>
      <c r="D385" s="9" t="str">
        <f>IFERROR(__xludf.DUMMYFUNCTION("""COMPUTED_VALUE"""),"Domaine Marquis d'Angerville, Volnay Premier Cru, Clos des Ducs")</f>
        <v>Domaine Marquis d'Angerville, Volnay Premier Cru, Clos des Ducs</v>
      </c>
      <c r="E385" s="9">
        <f>IFERROR(__xludf.DUMMYFUNCTION("""COMPUTED_VALUE"""),2018.0)</f>
        <v>2018</v>
      </c>
      <c r="F385" s="9">
        <f>IFERROR(__xludf.DUMMYFUNCTION("""COMPUTED_VALUE"""),750.0)</f>
        <v>750</v>
      </c>
      <c r="G385" s="9">
        <f>IFERROR(__xludf.DUMMYFUNCTION("""COMPUTED_VALUE"""),6.0)</f>
        <v>6</v>
      </c>
      <c r="H385" s="10">
        <f>IFERROR(__xludf.DUMMYFUNCTION("""COMPUTED_VALUE"""),2.0)</f>
        <v>2</v>
      </c>
      <c r="I385" s="11">
        <f>IFERROR(__xludf.DUMMYFUNCTION("""COMPUTED_VALUE"""),1087.0)</f>
        <v>1087</v>
      </c>
      <c r="J385" s="9" t="str">
        <f>IFERROR(__xludf.DUMMYFUNCTION("""COMPUTED_VALUE"""),"Multiple Stock Locations")</f>
        <v>Multiple Stock Locations</v>
      </c>
      <c r="K385" s="8"/>
      <c r="L385" s="12"/>
      <c r="M385" s="13"/>
      <c r="N385" s="13" t="str">
        <f>IFERROR(__xludf.DUMMYFUNCTION("IF(ISBLANK(M385),"""",M385*GOOGLEFINANCE(""USDGBP""))"),"")</f>
        <v/>
      </c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</row>
    <row r="386">
      <c r="A386" s="8" t="str">
        <f>IFERROR(__xludf.DUMMYFUNCTION("""COMPUTED_VALUE"""),"105854920190600750")</f>
        <v>105854920190600750</v>
      </c>
      <c r="B386" s="9" t="str">
        <f>IFERROR(__xludf.DUMMYFUNCTION("""COMPUTED_VALUE"""),"France")</f>
        <v>France</v>
      </c>
      <c r="C386" s="9" t="str">
        <f>IFERROR(__xludf.DUMMYFUNCTION("""COMPUTED_VALUE"""),"burgundy")</f>
        <v>burgundy</v>
      </c>
      <c r="D386" s="9" t="str">
        <f>IFERROR(__xludf.DUMMYFUNCTION("""COMPUTED_VALUE"""),"Domaine Tortochot, Mazis-Chambertin Grand Cru")</f>
        <v>Domaine Tortochot, Mazis-Chambertin Grand Cru</v>
      </c>
      <c r="E386" s="9">
        <f>IFERROR(__xludf.DUMMYFUNCTION("""COMPUTED_VALUE"""),2019.0)</f>
        <v>2019</v>
      </c>
      <c r="F386" s="9">
        <f>IFERROR(__xludf.DUMMYFUNCTION("""COMPUTED_VALUE"""),750.0)</f>
        <v>750</v>
      </c>
      <c r="G386" s="9">
        <f>IFERROR(__xludf.DUMMYFUNCTION("""COMPUTED_VALUE"""),6.0)</f>
        <v>6</v>
      </c>
      <c r="H386" s="10">
        <f>IFERROR(__xludf.DUMMYFUNCTION("""COMPUTED_VALUE"""),2.0)</f>
        <v>2</v>
      </c>
      <c r="I386" s="11">
        <f>IFERROR(__xludf.DUMMYFUNCTION("""COMPUTED_VALUE"""),715.0)</f>
        <v>715</v>
      </c>
      <c r="J386" s="9" t="str">
        <f>IFERROR(__xludf.DUMMYFUNCTION("""COMPUTED_VALUE"""),"Multiple Stock Locations")</f>
        <v>Multiple Stock Locations</v>
      </c>
      <c r="K386" s="8"/>
      <c r="L386" s="12"/>
      <c r="M386" s="13"/>
      <c r="N386" s="13" t="str">
        <f>IFERROR(__xludf.DUMMYFUNCTION("IF(ISBLANK(M386),"""",M386*GOOGLEFINANCE(""USDGBP""))"),"")</f>
        <v/>
      </c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</row>
    <row r="387">
      <c r="A387" s="8" t="str">
        <f>IFERROR(__xludf.DUMMYFUNCTION("""COMPUTED_VALUE"""),"103814520200600750")</f>
        <v>103814520200600750</v>
      </c>
      <c r="B387" s="9" t="str">
        <f>IFERROR(__xludf.DUMMYFUNCTION("""COMPUTED_VALUE"""),"France")</f>
        <v>France</v>
      </c>
      <c r="C387" s="9" t="str">
        <f>IFERROR(__xludf.DUMMYFUNCTION("""COMPUTED_VALUE"""),"burgundy")</f>
        <v>burgundy</v>
      </c>
      <c r="D387" s="9" t="str">
        <f>IFERROR(__xludf.DUMMYFUNCTION("""COMPUTED_VALUE"""),"Domaine des Heritiers Louis Jadot, Corton Grand Cru, Les Pougets")</f>
        <v>Domaine des Heritiers Louis Jadot, Corton Grand Cru, Les Pougets</v>
      </c>
      <c r="E387" s="9">
        <f>IFERROR(__xludf.DUMMYFUNCTION("""COMPUTED_VALUE"""),2020.0)</f>
        <v>2020</v>
      </c>
      <c r="F387" s="9">
        <f>IFERROR(__xludf.DUMMYFUNCTION("""COMPUTED_VALUE"""),750.0)</f>
        <v>750</v>
      </c>
      <c r="G387" s="9">
        <f>IFERROR(__xludf.DUMMYFUNCTION("""COMPUTED_VALUE"""),6.0)</f>
        <v>6</v>
      </c>
      <c r="H387" s="10">
        <f>IFERROR(__xludf.DUMMYFUNCTION("""COMPUTED_VALUE"""),4.0)</f>
        <v>4</v>
      </c>
      <c r="I387" s="11">
        <f>IFERROR(__xludf.DUMMYFUNCTION("""COMPUTED_VALUE"""),517.0)</f>
        <v>517</v>
      </c>
      <c r="J387" s="9" t="str">
        <f>IFERROR(__xludf.DUMMYFUNCTION("""COMPUTED_VALUE"""),"Multiple Stock Locations")</f>
        <v>Multiple Stock Locations</v>
      </c>
      <c r="K387" s="8"/>
      <c r="L387" s="12"/>
      <c r="M387" s="13"/>
      <c r="N387" s="13" t="str">
        <f>IFERROR(__xludf.DUMMYFUNCTION("IF(ISBLANK(M387),"""",M387*GOOGLEFINANCE(""USDGBP""))"),"")</f>
        <v/>
      </c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</row>
    <row r="388">
      <c r="A388" s="8" t="str">
        <f>IFERROR(__xludf.DUMMYFUNCTION("""COMPUTED_VALUE"""),"104029020130600750")</f>
        <v>104029020130600750</v>
      </c>
      <c r="B388" s="9" t="str">
        <f>IFERROR(__xludf.DUMMYFUNCTION("""COMPUTED_VALUE"""),"France")</f>
        <v>France</v>
      </c>
      <c r="C388" s="9" t="str">
        <f>IFERROR(__xludf.DUMMYFUNCTION("""COMPUTED_VALUE"""),"burgundy")</f>
        <v>burgundy</v>
      </c>
      <c r="D388" s="9" t="str">
        <f>IFERROR(__xludf.DUMMYFUNCTION("""COMPUTED_VALUE"""),"Domaine des Lambrays, Clos des Lambrays Grand Cru")</f>
        <v>Domaine des Lambrays, Clos des Lambrays Grand Cru</v>
      </c>
      <c r="E388" s="9">
        <f>IFERROR(__xludf.DUMMYFUNCTION("""COMPUTED_VALUE"""),2013.0)</f>
        <v>2013</v>
      </c>
      <c r="F388" s="9">
        <f>IFERROR(__xludf.DUMMYFUNCTION("""COMPUTED_VALUE"""),750.0)</f>
        <v>750</v>
      </c>
      <c r="G388" s="9">
        <f>IFERROR(__xludf.DUMMYFUNCTION("""COMPUTED_VALUE"""),6.0)</f>
        <v>6</v>
      </c>
      <c r="H388" s="10">
        <f>IFERROR(__xludf.DUMMYFUNCTION("""COMPUTED_VALUE"""),3.0)</f>
        <v>3</v>
      </c>
      <c r="I388" s="11">
        <f>IFERROR(__xludf.DUMMYFUNCTION("""COMPUTED_VALUE"""),1433.0)</f>
        <v>1433</v>
      </c>
      <c r="J388" s="9" t="str">
        <f>IFERROR(__xludf.DUMMYFUNCTION("""COMPUTED_VALUE"""),"Multiple Stock Locations")</f>
        <v>Multiple Stock Locations</v>
      </c>
      <c r="K388" s="8"/>
      <c r="L388" s="12"/>
      <c r="M388" s="13"/>
      <c r="N388" s="13" t="str">
        <f>IFERROR(__xludf.DUMMYFUNCTION("IF(ISBLANK(M388),"""",M388*GOOGLEFINANCE(""USDGBP""))"),"")</f>
        <v/>
      </c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</row>
    <row r="389">
      <c r="A389" s="8" t="str">
        <f>IFERROR(__xludf.DUMMYFUNCTION("""COMPUTED_VALUE"""),"105669120191200750")</f>
        <v>105669120191200750</v>
      </c>
      <c r="B389" s="9" t="str">
        <f>IFERROR(__xludf.DUMMYFUNCTION("""COMPUTED_VALUE"""),"France")</f>
        <v>France</v>
      </c>
      <c r="C389" s="9" t="str">
        <f>IFERROR(__xludf.DUMMYFUNCTION("""COMPUTED_VALUE"""),"burgundy")</f>
        <v>burgundy</v>
      </c>
      <c r="D389" s="9" t="str">
        <f>IFERROR(__xludf.DUMMYFUNCTION("""COMPUTED_VALUE"""),"Emmanuel Rouget, Vosne-Romanee")</f>
        <v>Emmanuel Rouget, Vosne-Romanee</v>
      </c>
      <c r="E389" s="9">
        <f>IFERROR(__xludf.DUMMYFUNCTION("""COMPUTED_VALUE"""),2019.0)</f>
        <v>2019</v>
      </c>
      <c r="F389" s="9">
        <f>IFERROR(__xludf.DUMMYFUNCTION("""COMPUTED_VALUE"""),750.0)</f>
        <v>750</v>
      </c>
      <c r="G389" s="9">
        <f>IFERROR(__xludf.DUMMYFUNCTION("""COMPUTED_VALUE"""),12.0)</f>
        <v>12</v>
      </c>
      <c r="H389" s="10">
        <f>IFERROR(__xludf.DUMMYFUNCTION("""COMPUTED_VALUE"""),1.0)</f>
        <v>1</v>
      </c>
      <c r="I389" s="11">
        <f>IFERROR(__xludf.DUMMYFUNCTION("""COMPUTED_VALUE"""),5015.0)</f>
        <v>5015</v>
      </c>
      <c r="J389" s="9" t="str">
        <f>IFERROR(__xludf.DUMMYFUNCTION("""COMPUTED_VALUE"""),"Multiple Stock Locations")</f>
        <v>Multiple Stock Locations</v>
      </c>
      <c r="K389" s="8"/>
      <c r="L389" s="12"/>
      <c r="M389" s="13"/>
      <c r="N389" s="13" t="str">
        <f>IFERROR(__xludf.DUMMYFUNCTION("IF(ISBLANK(M389),"""",M389*GOOGLEFINANCE(""USDGBP""))"),"")</f>
        <v/>
      </c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</row>
    <row r="390">
      <c r="A390" s="8" t="str">
        <f>IFERROR(__xludf.DUMMYFUNCTION("""COMPUTED_VALUE"""),"154993720170300750")</f>
        <v>154993720170300750</v>
      </c>
      <c r="B390" s="9" t="str">
        <f>IFERROR(__xludf.DUMMYFUNCTION("""COMPUTED_VALUE"""),"France")</f>
        <v>France</v>
      </c>
      <c r="C390" s="9" t="str">
        <f>IFERROR(__xludf.DUMMYFUNCTION("""COMPUTED_VALUE"""),"burgundy")</f>
        <v>burgundy</v>
      </c>
      <c r="D390" s="9" t="str">
        <f>IFERROR(__xludf.DUMMYFUNCTION("""COMPUTED_VALUE"""),"Hubert Lignier, Griotte-Chambertin Grand Cru")</f>
        <v>Hubert Lignier, Griotte-Chambertin Grand Cru</v>
      </c>
      <c r="E390" s="9">
        <f>IFERROR(__xludf.DUMMYFUNCTION("""COMPUTED_VALUE"""),2017.0)</f>
        <v>2017</v>
      </c>
      <c r="F390" s="9">
        <f>IFERROR(__xludf.DUMMYFUNCTION("""COMPUTED_VALUE"""),750.0)</f>
        <v>750</v>
      </c>
      <c r="G390" s="9">
        <f>IFERROR(__xludf.DUMMYFUNCTION("""COMPUTED_VALUE"""),3.0)</f>
        <v>3</v>
      </c>
      <c r="H390" s="10">
        <f>IFERROR(__xludf.DUMMYFUNCTION("""COMPUTED_VALUE"""),2.0)</f>
        <v>2</v>
      </c>
      <c r="I390" s="11">
        <f>IFERROR(__xludf.DUMMYFUNCTION("""COMPUTED_VALUE"""),1369.0)</f>
        <v>1369</v>
      </c>
      <c r="J390" s="9" t="str">
        <f>IFERROR(__xludf.DUMMYFUNCTION("""COMPUTED_VALUE"""),"Multiple Stock Locations")</f>
        <v>Multiple Stock Locations</v>
      </c>
      <c r="K390" s="8"/>
      <c r="L390" s="12"/>
      <c r="M390" s="13"/>
      <c r="N390" s="13" t="str">
        <f>IFERROR(__xludf.DUMMYFUNCTION("IF(ISBLANK(M390),"""",M390*GOOGLEFINANCE(""USDGBP""))"),"")</f>
        <v/>
      </c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</row>
    <row r="391">
      <c r="A391" s="8" t="str">
        <f>IFERROR(__xludf.DUMMYFUNCTION("""COMPUTED_VALUE"""),"115692620190600750")</f>
        <v>115692620190600750</v>
      </c>
      <c r="B391" s="9" t="str">
        <f>IFERROR(__xludf.DUMMYFUNCTION("""COMPUTED_VALUE"""),"France")</f>
        <v>France</v>
      </c>
      <c r="C391" s="9" t="str">
        <f>IFERROR(__xludf.DUMMYFUNCTION("""COMPUTED_VALUE"""),"burgundy")</f>
        <v>burgundy</v>
      </c>
      <c r="D391" s="9" t="str">
        <f>IFERROR(__xludf.DUMMYFUNCTION("""COMPUTED_VALUE"""),"Hubert Lignier, Morey-Saint-Denis Premier Cru, Les Blanchards")</f>
        <v>Hubert Lignier, Morey-Saint-Denis Premier Cru, Les Blanchards</v>
      </c>
      <c r="E391" s="9">
        <f>IFERROR(__xludf.DUMMYFUNCTION("""COMPUTED_VALUE"""),2019.0)</f>
        <v>2019</v>
      </c>
      <c r="F391" s="9">
        <f>IFERROR(__xludf.DUMMYFUNCTION("""COMPUTED_VALUE"""),750.0)</f>
        <v>750</v>
      </c>
      <c r="G391" s="9">
        <f>IFERROR(__xludf.DUMMYFUNCTION("""COMPUTED_VALUE"""),6.0)</f>
        <v>6</v>
      </c>
      <c r="H391" s="10">
        <f>IFERROR(__xludf.DUMMYFUNCTION("""COMPUTED_VALUE"""),4.0)</f>
        <v>4</v>
      </c>
      <c r="I391" s="11">
        <f>IFERROR(__xludf.DUMMYFUNCTION("""COMPUTED_VALUE"""),498.0)</f>
        <v>498</v>
      </c>
      <c r="J391" s="9" t="str">
        <f>IFERROR(__xludf.DUMMYFUNCTION("""COMPUTED_VALUE"""),"Multiple Stock Locations")</f>
        <v>Multiple Stock Locations</v>
      </c>
      <c r="K391" s="8"/>
      <c r="L391" s="12"/>
      <c r="M391" s="13"/>
      <c r="N391" s="13" t="str">
        <f>IFERROR(__xludf.DUMMYFUNCTION("IF(ISBLANK(M391),"""",M391*GOOGLEFINANCE(""USDGBP""))"),"")</f>
        <v/>
      </c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</row>
    <row r="392">
      <c r="A392" s="8" t="str">
        <f>IFERROR(__xludf.DUMMYFUNCTION("""COMPUTED_VALUE"""),"104967120180600750")</f>
        <v>104967120180600750</v>
      </c>
      <c r="B392" s="9" t="str">
        <f>IFERROR(__xludf.DUMMYFUNCTION("""COMPUTED_VALUE"""),"France")</f>
        <v>France</v>
      </c>
      <c r="C392" s="9" t="str">
        <f>IFERROR(__xludf.DUMMYFUNCTION("""COMPUTED_VALUE"""),"burgundy")</f>
        <v>burgundy</v>
      </c>
      <c r="D392" s="9" t="str">
        <f>IFERROR(__xludf.DUMMYFUNCTION("""COMPUTED_VALUE"""),"Jacques-Frederic Mugnier, Nuits-Saint-Georges Premier Cru, Clos de la Marechale Rouge")</f>
        <v>Jacques-Frederic Mugnier, Nuits-Saint-Georges Premier Cru, Clos de la Marechale Rouge</v>
      </c>
      <c r="E392" s="9">
        <f>IFERROR(__xludf.DUMMYFUNCTION("""COMPUTED_VALUE"""),2018.0)</f>
        <v>2018</v>
      </c>
      <c r="F392" s="9">
        <f>IFERROR(__xludf.DUMMYFUNCTION("""COMPUTED_VALUE"""),750.0)</f>
        <v>750</v>
      </c>
      <c r="G392" s="9">
        <f>IFERROR(__xludf.DUMMYFUNCTION("""COMPUTED_VALUE"""),6.0)</f>
        <v>6</v>
      </c>
      <c r="H392" s="10">
        <f>IFERROR(__xludf.DUMMYFUNCTION("""COMPUTED_VALUE"""),6.0)</f>
        <v>6</v>
      </c>
      <c r="I392" s="11">
        <f>IFERROR(__xludf.DUMMYFUNCTION("""COMPUTED_VALUE"""),821.0)</f>
        <v>821</v>
      </c>
      <c r="J392" s="9" t="str">
        <f>IFERROR(__xludf.DUMMYFUNCTION("""COMPUTED_VALUE"""),"Multiple Stock Locations")</f>
        <v>Multiple Stock Locations</v>
      </c>
      <c r="K392" s="8"/>
      <c r="L392" s="12"/>
      <c r="M392" s="13"/>
      <c r="N392" s="13" t="str">
        <f>IFERROR(__xludf.DUMMYFUNCTION("IF(ISBLANK(M392),"""",M392*GOOGLEFINANCE(""USDGBP""))"),"")</f>
        <v/>
      </c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</row>
    <row r="393">
      <c r="A393" s="8" t="str">
        <f>IFERROR(__xludf.DUMMYFUNCTION("""COMPUTED_VALUE"""),"104967120200600750")</f>
        <v>104967120200600750</v>
      </c>
      <c r="B393" s="9" t="str">
        <f>IFERROR(__xludf.DUMMYFUNCTION("""COMPUTED_VALUE"""),"France")</f>
        <v>France</v>
      </c>
      <c r="C393" s="9" t="str">
        <f>IFERROR(__xludf.DUMMYFUNCTION("""COMPUTED_VALUE"""),"burgundy")</f>
        <v>burgundy</v>
      </c>
      <c r="D393" s="9" t="str">
        <f>IFERROR(__xludf.DUMMYFUNCTION("""COMPUTED_VALUE"""),"Jacques-Frederic Mugnier, Nuits-Saint-Georges Premier Cru, Clos de la Marechale Rouge")</f>
        <v>Jacques-Frederic Mugnier, Nuits-Saint-Georges Premier Cru, Clos de la Marechale Rouge</v>
      </c>
      <c r="E393" s="9">
        <f>IFERROR(__xludf.DUMMYFUNCTION("""COMPUTED_VALUE"""),2020.0)</f>
        <v>2020</v>
      </c>
      <c r="F393" s="9">
        <f>IFERROR(__xludf.DUMMYFUNCTION("""COMPUTED_VALUE"""),750.0)</f>
        <v>750</v>
      </c>
      <c r="G393" s="9">
        <f>IFERROR(__xludf.DUMMYFUNCTION("""COMPUTED_VALUE"""),6.0)</f>
        <v>6</v>
      </c>
      <c r="H393" s="10">
        <f>IFERROR(__xludf.DUMMYFUNCTION("""COMPUTED_VALUE"""),1.0)</f>
        <v>1</v>
      </c>
      <c r="I393" s="11">
        <f>IFERROR(__xludf.DUMMYFUNCTION("""COMPUTED_VALUE"""),806.0)</f>
        <v>806</v>
      </c>
      <c r="J393" s="9" t="str">
        <f>IFERROR(__xludf.DUMMYFUNCTION("""COMPUTED_VALUE"""),"Multiple Stock Locations")</f>
        <v>Multiple Stock Locations</v>
      </c>
      <c r="K393" s="8"/>
      <c r="L393" s="12"/>
      <c r="M393" s="13"/>
      <c r="N393" s="13" t="str">
        <f>IFERROR(__xludf.DUMMYFUNCTION("IF(ISBLANK(M393),"""",M393*GOOGLEFINANCE(""USDGBP""))"),"")</f>
        <v/>
      </c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</row>
    <row r="394">
      <c r="A394" s="8" t="str">
        <f>IFERROR(__xludf.DUMMYFUNCTION("""COMPUTED_VALUE"""),"102902020190600750")</f>
        <v>102902020190600750</v>
      </c>
      <c r="B394" s="9" t="str">
        <f>IFERROR(__xludf.DUMMYFUNCTION("""COMPUTED_VALUE"""),"France")</f>
        <v>France</v>
      </c>
      <c r="C394" s="9" t="str">
        <f>IFERROR(__xludf.DUMMYFUNCTION("""COMPUTED_VALUE"""),"burgundy")</f>
        <v>burgundy</v>
      </c>
      <c r="D394" s="9" t="str">
        <f>IFERROR(__xludf.DUMMYFUNCTION("""COMPUTED_VALUE"""),"Joseph Drouhin, Clos de Vougeot Grand Cru")</f>
        <v>Joseph Drouhin, Clos de Vougeot Grand Cru</v>
      </c>
      <c r="E394" s="9">
        <f>IFERROR(__xludf.DUMMYFUNCTION("""COMPUTED_VALUE"""),2019.0)</f>
        <v>2019</v>
      </c>
      <c r="F394" s="9">
        <f>IFERROR(__xludf.DUMMYFUNCTION("""COMPUTED_VALUE"""),750.0)</f>
        <v>750</v>
      </c>
      <c r="G394" s="9">
        <f>IFERROR(__xludf.DUMMYFUNCTION("""COMPUTED_VALUE"""),6.0)</f>
        <v>6</v>
      </c>
      <c r="H394" s="10">
        <f>IFERROR(__xludf.DUMMYFUNCTION("""COMPUTED_VALUE"""),9.0)</f>
        <v>9</v>
      </c>
      <c r="I394" s="11">
        <f>IFERROR(__xludf.DUMMYFUNCTION("""COMPUTED_VALUE"""),1076.0)</f>
        <v>1076</v>
      </c>
      <c r="J394" s="9" t="str">
        <f>IFERROR(__xludf.DUMMYFUNCTION("""COMPUTED_VALUE"""),"Multiple Stock Locations")</f>
        <v>Multiple Stock Locations</v>
      </c>
      <c r="K394" s="8"/>
      <c r="L394" s="12"/>
      <c r="M394" s="13"/>
      <c r="N394" s="13" t="str">
        <f>IFERROR(__xludf.DUMMYFUNCTION("IF(ISBLANK(M394),"""",M394*GOOGLEFINANCE(""USDGBP""))"),"")</f>
        <v/>
      </c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</row>
    <row r="395">
      <c r="A395" s="8" t="str">
        <f>IFERROR(__xludf.DUMMYFUNCTION("""COMPUTED_VALUE"""),"102903320190600750")</f>
        <v>102903320190600750</v>
      </c>
      <c r="B395" s="9" t="str">
        <f>IFERROR(__xludf.DUMMYFUNCTION("""COMPUTED_VALUE"""),"France")</f>
        <v>France</v>
      </c>
      <c r="C395" s="9" t="str">
        <f>IFERROR(__xludf.DUMMYFUNCTION("""COMPUTED_VALUE"""),"burgundy")</f>
        <v>burgundy</v>
      </c>
      <c r="D395" s="9" t="str">
        <f>IFERROR(__xludf.DUMMYFUNCTION("""COMPUTED_VALUE"""),"Joseph Drouhin, Corton Grand Cru")</f>
        <v>Joseph Drouhin, Corton Grand Cru</v>
      </c>
      <c r="E395" s="9">
        <f>IFERROR(__xludf.DUMMYFUNCTION("""COMPUTED_VALUE"""),2019.0)</f>
        <v>2019</v>
      </c>
      <c r="F395" s="9">
        <f>IFERROR(__xludf.DUMMYFUNCTION("""COMPUTED_VALUE"""),750.0)</f>
        <v>750</v>
      </c>
      <c r="G395" s="9">
        <f>IFERROR(__xludf.DUMMYFUNCTION("""COMPUTED_VALUE"""),6.0)</f>
        <v>6</v>
      </c>
      <c r="H395" s="10">
        <f>IFERROR(__xludf.DUMMYFUNCTION("""COMPUTED_VALUE"""),1.0)</f>
        <v>1</v>
      </c>
      <c r="I395" s="11">
        <f>IFERROR(__xludf.DUMMYFUNCTION("""COMPUTED_VALUE"""),1042.0)</f>
        <v>1042</v>
      </c>
      <c r="J395" s="9" t="str">
        <f>IFERROR(__xludf.DUMMYFUNCTION("""COMPUTED_VALUE"""),"Multiple Stock Locations")</f>
        <v>Multiple Stock Locations</v>
      </c>
      <c r="K395" s="8"/>
      <c r="L395" s="12"/>
      <c r="M395" s="13"/>
      <c r="N395" s="13" t="str">
        <f>IFERROR(__xludf.DUMMYFUNCTION("IF(ISBLANK(M395),"""",M395*GOOGLEFINANCE(""USDGBP""))"),"")</f>
        <v/>
      </c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</row>
    <row r="396">
      <c r="A396" s="8" t="str">
        <f>IFERROR(__xludf.DUMMYFUNCTION("""COMPUTED_VALUE"""),"103808620190600750")</f>
        <v>103808620190600750</v>
      </c>
      <c r="B396" s="9" t="str">
        <f>IFERROR(__xludf.DUMMYFUNCTION("""COMPUTED_VALUE"""),"France")</f>
        <v>France</v>
      </c>
      <c r="C396" s="9" t="str">
        <f>IFERROR(__xludf.DUMMYFUNCTION("""COMPUTED_VALUE"""),"burgundy")</f>
        <v>burgundy</v>
      </c>
      <c r="D396" s="9" t="str">
        <f>IFERROR(__xludf.DUMMYFUNCTION("""COMPUTED_VALUE"""),"Maison Louis Jadot, Clos de Vougeot Grand Cru")</f>
        <v>Maison Louis Jadot, Clos de Vougeot Grand Cru</v>
      </c>
      <c r="E396" s="9">
        <f>IFERROR(__xludf.DUMMYFUNCTION("""COMPUTED_VALUE"""),2019.0)</f>
        <v>2019</v>
      </c>
      <c r="F396" s="9">
        <f>IFERROR(__xludf.DUMMYFUNCTION("""COMPUTED_VALUE"""),750.0)</f>
        <v>750</v>
      </c>
      <c r="G396" s="9">
        <f>IFERROR(__xludf.DUMMYFUNCTION("""COMPUTED_VALUE"""),6.0)</f>
        <v>6</v>
      </c>
      <c r="H396" s="10">
        <f>IFERROR(__xludf.DUMMYFUNCTION("""COMPUTED_VALUE"""),1.0)</f>
        <v>1</v>
      </c>
      <c r="I396" s="11">
        <f>IFERROR(__xludf.DUMMYFUNCTION("""COMPUTED_VALUE"""),808.0)</f>
        <v>808</v>
      </c>
      <c r="J396" s="9" t="str">
        <f>IFERROR(__xludf.DUMMYFUNCTION("""COMPUTED_VALUE"""),"Multiple Stock Locations")</f>
        <v>Multiple Stock Locations</v>
      </c>
      <c r="K396" s="8"/>
      <c r="L396" s="12"/>
      <c r="M396" s="13"/>
      <c r="N396" s="13" t="str">
        <f>IFERROR(__xludf.DUMMYFUNCTION("IF(ISBLANK(M396),"""",M396*GOOGLEFINANCE(""USDGBP""))"),"")</f>
        <v/>
      </c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</row>
    <row r="397">
      <c r="A397" s="8" t="str">
        <f>IFERROR(__xludf.DUMMYFUNCTION("""COMPUTED_VALUE"""),"101978020210300750")</f>
        <v>101978020210300750</v>
      </c>
      <c r="B397" s="9" t="str">
        <f>IFERROR(__xludf.DUMMYFUNCTION("""COMPUTED_VALUE"""),"France")</f>
        <v>France</v>
      </c>
      <c r="C397" s="9" t="str">
        <f>IFERROR(__xludf.DUMMYFUNCTION("""COMPUTED_VALUE"""),"burgundy")</f>
        <v>burgundy</v>
      </c>
      <c r="D397" s="9" t="str">
        <f>IFERROR(__xludf.DUMMYFUNCTION("""COMPUTED_VALUE"""),"Olivier Bernstein, Mazis-Chambertin Grand Cru")</f>
        <v>Olivier Bernstein, Mazis-Chambertin Grand Cru</v>
      </c>
      <c r="E397" s="9">
        <f>IFERROR(__xludf.DUMMYFUNCTION("""COMPUTED_VALUE"""),2021.0)</f>
        <v>2021</v>
      </c>
      <c r="F397" s="9">
        <f>IFERROR(__xludf.DUMMYFUNCTION("""COMPUTED_VALUE"""),750.0)</f>
        <v>750</v>
      </c>
      <c r="G397" s="9">
        <f>IFERROR(__xludf.DUMMYFUNCTION("""COMPUTED_VALUE"""),3.0)</f>
        <v>3</v>
      </c>
      <c r="H397" s="10">
        <f>IFERROR(__xludf.DUMMYFUNCTION("""COMPUTED_VALUE"""),1.0)</f>
        <v>1</v>
      </c>
      <c r="I397" s="11">
        <f>IFERROR(__xludf.DUMMYFUNCTION("""COMPUTED_VALUE"""),3034.0)</f>
        <v>3034</v>
      </c>
      <c r="J397" s="9" t="str">
        <f>IFERROR(__xludf.DUMMYFUNCTION("""COMPUTED_VALUE"""),"Multiple Stock Locations")</f>
        <v>Multiple Stock Locations</v>
      </c>
      <c r="K397" s="8"/>
      <c r="L397" s="12"/>
      <c r="M397" s="13"/>
      <c r="N397" s="13" t="str">
        <f>IFERROR(__xludf.DUMMYFUNCTION("IF(ISBLANK(M397),"""",M397*GOOGLEFINANCE(""USDGBP""))"),"")</f>
        <v/>
      </c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</row>
    <row r="398">
      <c r="A398" s="8" t="str">
        <f>IFERROR(__xludf.DUMMYFUNCTION("""COMPUTED_VALUE"""),"103593920210600750")</f>
        <v>103593920210600750</v>
      </c>
      <c r="B398" s="9" t="str">
        <f>IFERROR(__xludf.DUMMYFUNCTION("""COMPUTED_VALUE"""),"France")</f>
        <v>France</v>
      </c>
      <c r="C398" s="9" t="str">
        <f>IFERROR(__xludf.DUMMYFUNCTION("""COMPUTED_VALUE"""),"burgundy")</f>
        <v>burgundy</v>
      </c>
      <c r="D398" s="9" t="str">
        <f>IFERROR(__xludf.DUMMYFUNCTION("""COMPUTED_VALUE"""),"Robert Groffier, Chambolle-Musigny Premier Cru, Les Amoureuses")</f>
        <v>Robert Groffier, Chambolle-Musigny Premier Cru, Les Amoureuses</v>
      </c>
      <c r="E398" s="9">
        <f>IFERROR(__xludf.DUMMYFUNCTION("""COMPUTED_VALUE"""),2021.0)</f>
        <v>2021</v>
      </c>
      <c r="F398" s="9">
        <f>IFERROR(__xludf.DUMMYFUNCTION("""COMPUTED_VALUE"""),750.0)</f>
        <v>750</v>
      </c>
      <c r="G398" s="9">
        <f>IFERROR(__xludf.DUMMYFUNCTION("""COMPUTED_VALUE"""),6.0)</f>
        <v>6</v>
      </c>
      <c r="H398" s="10">
        <f>IFERROR(__xludf.DUMMYFUNCTION("""COMPUTED_VALUE"""),1.0)</f>
        <v>1</v>
      </c>
      <c r="I398" s="11">
        <f>IFERROR(__xludf.DUMMYFUNCTION("""COMPUTED_VALUE"""),4736.0)</f>
        <v>4736</v>
      </c>
      <c r="J398" s="9" t="str">
        <f>IFERROR(__xludf.DUMMYFUNCTION("""COMPUTED_VALUE"""),"Multiple Stock Locations")</f>
        <v>Multiple Stock Locations</v>
      </c>
      <c r="K398" s="8"/>
      <c r="L398" s="12"/>
      <c r="M398" s="13"/>
      <c r="N398" s="13" t="str">
        <f>IFERROR(__xludf.DUMMYFUNCTION("IF(ISBLANK(M398),"""",M398*GOOGLEFINANCE(""USDGBP""))"),"")</f>
        <v/>
      </c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</row>
    <row r="399">
      <c r="A399" s="8" t="str">
        <f>IFERROR(__xludf.DUMMYFUNCTION("""COMPUTED_VALUE"""),"103595520200600750")</f>
        <v>103595520200600750</v>
      </c>
      <c r="B399" s="9" t="str">
        <f>IFERROR(__xludf.DUMMYFUNCTION("""COMPUTED_VALUE"""),"France")</f>
        <v>France</v>
      </c>
      <c r="C399" s="9" t="str">
        <f>IFERROR(__xludf.DUMMYFUNCTION("""COMPUTED_VALUE"""),"burgundy")</f>
        <v>burgundy</v>
      </c>
      <c r="D399" s="9" t="str">
        <f>IFERROR(__xludf.DUMMYFUNCTION("""COMPUTED_VALUE"""),"Robert Groffier, Chambolle-Musigny Premier Cru, Les Sentiers")</f>
        <v>Robert Groffier, Chambolle-Musigny Premier Cru, Les Sentiers</v>
      </c>
      <c r="E399" s="9">
        <f>IFERROR(__xludf.DUMMYFUNCTION("""COMPUTED_VALUE"""),2020.0)</f>
        <v>2020</v>
      </c>
      <c r="F399" s="9">
        <f>IFERROR(__xludf.DUMMYFUNCTION("""COMPUTED_VALUE"""),750.0)</f>
        <v>750</v>
      </c>
      <c r="G399" s="9">
        <f>IFERROR(__xludf.DUMMYFUNCTION("""COMPUTED_VALUE"""),6.0)</f>
        <v>6</v>
      </c>
      <c r="H399" s="10">
        <f>IFERROR(__xludf.DUMMYFUNCTION("""COMPUTED_VALUE"""),1.0)</f>
        <v>1</v>
      </c>
      <c r="I399" s="11">
        <f>IFERROR(__xludf.DUMMYFUNCTION("""COMPUTED_VALUE"""),1167.0)</f>
        <v>1167</v>
      </c>
      <c r="J399" s="9" t="str">
        <f>IFERROR(__xludf.DUMMYFUNCTION("""COMPUTED_VALUE"""),"Multiple Stock Locations")</f>
        <v>Multiple Stock Locations</v>
      </c>
      <c r="K399" s="8"/>
      <c r="L399" s="12"/>
      <c r="M399" s="13"/>
      <c r="N399" s="13" t="str">
        <f>IFERROR(__xludf.DUMMYFUNCTION("IF(ISBLANK(M399),"""",M399*GOOGLEFINANCE(""USDGBP""))"),"")</f>
        <v/>
      </c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</row>
    <row r="400">
      <c r="A400" s="8" t="str">
        <f>IFERROR(__xludf.DUMMYFUNCTION("""COMPUTED_VALUE"""),"106780820180600750")</f>
        <v>106780820180600750</v>
      </c>
      <c r="B400" s="9" t="str">
        <f>IFERROR(__xludf.DUMMYFUNCTION("""COMPUTED_VALUE"""),"France")</f>
        <v>France</v>
      </c>
      <c r="C400" s="9" t="str">
        <f>IFERROR(__xludf.DUMMYFUNCTION("""COMPUTED_VALUE"""),"burgundy")</f>
        <v>burgundy</v>
      </c>
      <c r="D400" s="9" t="str">
        <f>IFERROR(__xludf.DUMMYFUNCTION("""COMPUTED_VALUE"""),"Arnaud Ente, Meursault Premier Cru, Les Gouttes d'Or")</f>
        <v>Arnaud Ente, Meursault Premier Cru, Les Gouttes d'Or</v>
      </c>
      <c r="E400" s="9">
        <f>IFERROR(__xludf.DUMMYFUNCTION("""COMPUTED_VALUE"""),2018.0)</f>
        <v>2018</v>
      </c>
      <c r="F400" s="9">
        <f>IFERROR(__xludf.DUMMYFUNCTION("""COMPUTED_VALUE"""),750.0)</f>
        <v>750</v>
      </c>
      <c r="G400" s="9">
        <f>IFERROR(__xludf.DUMMYFUNCTION("""COMPUTED_VALUE"""),6.0)</f>
        <v>6</v>
      </c>
      <c r="H400" s="10">
        <f>IFERROR(__xludf.DUMMYFUNCTION("""COMPUTED_VALUE"""),2.0)</f>
        <v>2</v>
      </c>
      <c r="I400" s="11">
        <f>IFERROR(__xludf.DUMMYFUNCTION("""COMPUTED_VALUE"""),6968.0)</f>
        <v>6968</v>
      </c>
      <c r="J400" s="9" t="str">
        <f>IFERROR(__xludf.DUMMYFUNCTION("""COMPUTED_VALUE"""),"Multiple Stock Locations")</f>
        <v>Multiple Stock Locations</v>
      </c>
      <c r="K400" s="8"/>
      <c r="L400" s="12"/>
      <c r="M400" s="13"/>
      <c r="N400" s="13" t="str">
        <f>IFERROR(__xludf.DUMMYFUNCTION("IF(ISBLANK(M400),"""",M400*GOOGLEFINANCE(""USDGBP""))"),"")</f>
        <v/>
      </c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</row>
    <row r="401">
      <c r="A401" s="8" t="str">
        <f>IFERROR(__xludf.DUMMYFUNCTION("""COMPUTED_VALUE"""),"106177620180600750")</f>
        <v>106177620180600750</v>
      </c>
      <c r="B401" s="9" t="str">
        <f>IFERROR(__xludf.DUMMYFUNCTION("""COMPUTED_VALUE"""),"France")</f>
        <v>France</v>
      </c>
      <c r="C401" s="9" t="str">
        <f>IFERROR(__xludf.DUMMYFUNCTION("""COMPUTED_VALUE"""),"burgundy")</f>
        <v>burgundy</v>
      </c>
      <c r="D401" s="9" t="str">
        <f>IFERROR(__xludf.DUMMYFUNCTION("""COMPUTED_VALUE"""),"Domaine Bonneau du Martray, Corton-Charlemagne Grand Cru")</f>
        <v>Domaine Bonneau du Martray, Corton-Charlemagne Grand Cru</v>
      </c>
      <c r="E401" s="9">
        <f>IFERROR(__xludf.DUMMYFUNCTION("""COMPUTED_VALUE"""),2018.0)</f>
        <v>2018</v>
      </c>
      <c r="F401" s="9">
        <f>IFERROR(__xludf.DUMMYFUNCTION("""COMPUTED_VALUE"""),750.0)</f>
        <v>750</v>
      </c>
      <c r="G401" s="9">
        <f>IFERROR(__xludf.DUMMYFUNCTION("""COMPUTED_VALUE"""),6.0)</f>
        <v>6</v>
      </c>
      <c r="H401" s="10">
        <f>IFERROR(__xludf.DUMMYFUNCTION("""COMPUTED_VALUE"""),2.0)</f>
        <v>2</v>
      </c>
      <c r="I401" s="11">
        <f>IFERROR(__xludf.DUMMYFUNCTION("""COMPUTED_VALUE"""),2020.0)</f>
        <v>2020</v>
      </c>
      <c r="J401" s="9" t="str">
        <f>IFERROR(__xludf.DUMMYFUNCTION("""COMPUTED_VALUE"""),"Multiple Stock Locations")</f>
        <v>Multiple Stock Locations</v>
      </c>
      <c r="K401" s="8"/>
      <c r="L401" s="12"/>
      <c r="M401" s="13"/>
      <c r="N401" s="13" t="str">
        <f>IFERROR(__xludf.DUMMYFUNCTION("IF(ISBLANK(M401),"""",M401*GOOGLEFINANCE(""USDGBP""))"),"")</f>
        <v/>
      </c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</row>
    <row r="402">
      <c r="A402" s="8" t="str">
        <f>IFERROR(__xludf.DUMMYFUNCTION("""COMPUTED_VALUE"""),"107336820140600750")</f>
        <v>107336820140600750</v>
      </c>
      <c r="B402" s="9" t="str">
        <f>IFERROR(__xludf.DUMMYFUNCTION("""COMPUTED_VALUE"""),"France")</f>
        <v>France</v>
      </c>
      <c r="C402" s="9" t="str">
        <f>IFERROR(__xludf.DUMMYFUNCTION("""COMPUTED_VALUE"""),"burgundy")</f>
        <v>burgundy</v>
      </c>
      <c r="D402" s="9" t="str">
        <f>IFERROR(__xludf.DUMMYFUNCTION("""COMPUTED_VALUE"""),"Domaine Leflaive, Batard-Montrachet Grand Cru")</f>
        <v>Domaine Leflaive, Batard-Montrachet Grand Cru</v>
      </c>
      <c r="E402" s="9">
        <f>IFERROR(__xludf.DUMMYFUNCTION("""COMPUTED_VALUE"""),2014.0)</f>
        <v>2014</v>
      </c>
      <c r="F402" s="9">
        <f>IFERROR(__xludf.DUMMYFUNCTION("""COMPUTED_VALUE"""),750.0)</f>
        <v>750</v>
      </c>
      <c r="G402" s="9">
        <f>IFERROR(__xludf.DUMMYFUNCTION("""COMPUTED_VALUE"""),6.0)</f>
        <v>6</v>
      </c>
      <c r="H402" s="10">
        <f>IFERROR(__xludf.DUMMYFUNCTION("""COMPUTED_VALUE"""),1.0)</f>
        <v>1</v>
      </c>
      <c r="I402" s="11">
        <f>IFERROR(__xludf.DUMMYFUNCTION("""COMPUTED_VALUE"""),6224.0)</f>
        <v>6224</v>
      </c>
      <c r="J402" s="9" t="str">
        <f>IFERROR(__xludf.DUMMYFUNCTION("""COMPUTED_VALUE"""),"Multiple Stock Locations")</f>
        <v>Multiple Stock Locations</v>
      </c>
      <c r="K402" s="8"/>
      <c r="L402" s="12"/>
      <c r="M402" s="13"/>
      <c r="N402" s="13" t="str">
        <f>IFERROR(__xludf.DUMMYFUNCTION("IF(ISBLANK(M402),"""",M402*GOOGLEFINANCE(""USDGBP""))"),"")</f>
        <v/>
      </c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</row>
    <row r="403">
      <c r="A403" s="8" t="str">
        <f>IFERROR(__xludf.DUMMYFUNCTION("""COMPUTED_VALUE"""),"107350220190600750")</f>
        <v>107350220190600750</v>
      </c>
      <c r="B403" s="9" t="str">
        <f>IFERROR(__xludf.DUMMYFUNCTION("""COMPUTED_VALUE"""),"France")</f>
        <v>France</v>
      </c>
      <c r="C403" s="9" t="str">
        <f>IFERROR(__xludf.DUMMYFUNCTION("""COMPUTED_VALUE"""),"burgundy")</f>
        <v>burgundy</v>
      </c>
      <c r="D403" s="9" t="str">
        <f>IFERROR(__xludf.DUMMYFUNCTION("""COMPUTED_VALUE"""),"Domaine Leflaive, Puligny-Montrachet Premier Cru, Les Folatieres")</f>
        <v>Domaine Leflaive, Puligny-Montrachet Premier Cru, Les Folatieres</v>
      </c>
      <c r="E403" s="9">
        <f>IFERROR(__xludf.DUMMYFUNCTION("""COMPUTED_VALUE"""),2019.0)</f>
        <v>2019</v>
      </c>
      <c r="F403" s="9">
        <f>IFERROR(__xludf.DUMMYFUNCTION("""COMPUTED_VALUE"""),750.0)</f>
        <v>750</v>
      </c>
      <c r="G403" s="9">
        <f>IFERROR(__xludf.DUMMYFUNCTION("""COMPUTED_VALUE"""),6.0)</f>
        <v>6</v>
      </c>
      <c r="H403" s="10">
        <f>IFERROR(__xludf.DUMMYFUNCTION("""COMPUTED_VALUE"""),1.0)</f>
        <v>1</v>
      </c>
      <c r="I403" s="11">
        <f>IFERROR(__xludf.DUMMYFUNCTION("""COMPUTED_VALUE"""),2945.0)</f>
        <v>2945</v>
      </c>
      <c r="J403" s="9" t="str">
        <f>IFERROR(__xludf.DUMMYFUNCTION("""COMPUTED_VALUE"""),"Multiple Stock Locations")</f>
        <v>Multiple Stock Locations</v>
      </c>
      <c r="K403" s="8"/>
      <c r="L403" s="12"/>
      <c r="M403" s="13"/>
      <c r="N403" s="13" t="str">
        <f>IFERROR(__xludf.DUMMYFUNCTION("IF(ISBLANK(M403),"""",M403*GOOGLEFINANCE(""USDGBP""))"),"")</f>
        <v/>
      </c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</row>
    <row r="404">
      <c r="A404" s="8" t="str">
        <f>IFERROR(__xludf.DUMMYFUNCTION("""COMPUTED_VALUE"""),"108161720180600750")</f>
        <v>108161720180600750</v>
      </c>
      <c r="B404" s="9" t="str">
        <f>IFERROR(__xludf.DUMMYFUNCTION("""COMPUTED_VALUE"""),"France")</f>
        <v>France</v>
      </c>
      <c r="C404" s="9" t="str">
        <f>IFERROR(__xludf.DUMMYFUNCTION("""COMPUTED_VALUE"""),"burgundy")</f>
        <v>burgundy</v>
      </c>
      <c r="D404" s="9" t="str">
        <f>IFERROR(__xludf.DUMMYFUNCTION("""COMPUTED_VALUE"""),"Domaine de la Vougeraie, Vougeot Premier Cru, Le Clos Blanc de Vougeot")</f>
        <v>Domaine de la Vougeraie, Vougeot Premier Cru, Le Clos Blanc de Vougeot</v>
      </c>
      <c r="E404" s="9">
        <f>IFERROR(__xludf.DUMMYFUNCTION("""COMPUTED_VALUE"""),2018.0)</f>
        <v>2018</v>
      </c>
      <c r="F404" s="9">
        <f>IFERROR(__xludf.DUMMYFUNCTION("""COMPUTED_VALUE"""),750.0)</f>
        <v>750</v>
      </c>
      <c r="G404" s="9">
        <f>IFERROR(__xludf.DUMMYFUNCTION("""COMPUTED_VALUE"""),6.0)</f>
        <v>6</v>
      </c>
      <c r="H404" s="10">
        <f>IFERROR(__xludf.DUMMYFUNCTION("""COMPUTED_VALUE"""),7.0)</f>
        <v>7</v>
      </c>
      <c r="I404" s="11">
        <f>IFERROR(__xludf.DUMMYFUNCTION("""COMPUTED_VALUE"""),554.0)</f>
        <v>554</v>
      </c>
      <c r="J404" s="9" t="str">
        <f>IFERROR(__xludf.DUMMYFUNCTION("""COMPUTED_VALUE"""),"Multiple Stock Locations")</f>
        <v>Multiple Stock Locations</v>
      </c>
      <c r="K404" s="8"/>
      <c r="L404" s="12"/>
      <c r="M404" s="13"/>
      <c r="N404" s="13" t="str">
        <f>IFERROR(__xludf.DUMMYFUNCTION("IF(ISBLANK(M404),"""",M404*GOOGLEFINANCE(""USDGBP""))"),"")</f>
        <v/>
      </c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</row>
    <row r="405">
      <c r="A405" s="8" t="str">
        <f>IFERROR(__xludf.DUMMYFUNCTION("""COMPUTED_VALUE"""),"106742020190600750")</f>
        <v>106742020190600750</v>
      </c>
      <c r="B405" s="9" t="str">
        <f>IFERROR(__xludf.DUMMYFUNCTION("""COMPUTED_VALUE"""),"France")</f>
        <v>France</v>
      </c>
      <c r="C405" s="9" t="str">
        <f>IFERROR(__xludf.DUMMYFUNCTION("""COMPUTED_VALUE"""),"burgundy")</f>
        <v>burgundy</v>
      </c>
      <c r="D405" s="9" t="str">
        <f>IFERROR(__xludf.DUMMYFUNCTION("""COMPUTED_VALUE"""),"Joseph Drouhin, Montrachet Grand Cru, Marquis de Laguiche")</f>
        <v>Joseph Drouhin, Montrachet Grand Cru, Marquis de Laguiche</v>
      </c>
      <c r="E405" s="9">
        <f>IFERROR(__xludf.DUMMYFUNCTION("""COMPUTED_VALUE"""),2019.0)</f>
        <v>2019</v>
      </c>
      <c r="F405" s="9">
        <f>IFERROR(__xludf.DUMMYFUNCTION("""COMPUTED_VALUE"""),750.0)</f>
        <v>750</v>
      </c>
      <c r="G405" s="9">
        <f>IFERROR(__xludf.DUMMYFUNCTION("""COMPUTED_VALUE"""),6.0)</f>
        <v>6</v>
      </c>
      <c r="H405" s="10">
        <f>IFERROR(__xludf.DUMMYFUNCTION("""COMPUTED_VALUE"""),5.0)</f>
        <v>5</v>
      </c>
      <c r="I405" s="11">
        <f>IFERROR(__xludf.DUMMYFUNCTION("""COMPUTED_VALUE"""),4383.0)</f>
        <v>4383</v>
      </c>
      <c r="J405" s="9" t="str">
        <f>IFERROR(__xludf.DUMMYFUNCTION("""COMPUTED_VALUE"""),"Multiple Stock Locations")</f>
        <v>Multiple Stock Locations</v>
      </c>
      <c r="K405" s="8"/>
      <c r="L405" s="12"/>
      <c r="M405" s="13"/>
      <c r="N405" s="13" t="str">
        <f>IFERROR(__xludf.DUMMYFUNCTION("IF(ISBLANK(M405),"""",M405*GOOGLEFINANCE(""USDGBP""))"),"")</f>
        <v/>
      </c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</row>
    <row r="406">
      <c r="A406" s="8" t="str">
        <f>IFERROR(__xludf.DUMMYFUNCTION("""COMPUTED_VALUE"""),"118654320180600750")</f>
        <v>118654320180600750</v>
      </c>
      <c r="B406" s="9" t="str">
        <f>IFERROR(__xludf.DUMMYFUNCTION("""COMPUTED_VALUE"""),"United States")</f>
        <v>United States</v>
      </c>
      <c r="C406" s="9" t="str">
        <f>IFERROR(__xludf.DUMMYFUNCTION("""COMPUTED_VALUE"""),"california")</f>
        <v>california</v>
      </c>
      <c r="D406" s="9" t="str">
        <f>IFERROR(__xludf.DUMMYFUNCTION("""COMPUTED_VALUE"""),"Continuum, Napa Valley")</f>
        <v>Continuum, Napa Valley</v>
      </c>
      <c r="E406" s="9">
        <f>IFERROR(__xludf.DUMMYFUNCTION("""COMPUTED_VALUE"""),2018.0)</f>
        <v>2018</v>
      </c>
      <c r="F406" s="9">
        <f>IFERROR(__xludf.DUMMYFUNCTION("""COMPUTED_VALUE"""),750.0)</f>
        <v>750</v>
      </c>
      <c r="G406" s="9">
        <f>IFERROR(__xludf.DUMMYFUNCTION("""COMPUTED_VALUE"""),6.0)</f>
        <v>6</v>
      </c>
      <c r="H406" s="10">
        <f>IFERROR(__xludf.DUMMYFUNCTION("""COMPUTED_VALUE"""),22.0)</f>
        <v>22</v>
      </c>
      <c r="I406" s="11">
        <f>IFERROR(__xludf.DUMMYFUNCTION("""COMPUTED_VALUE"""),1259.0)</f>
        <v>1259</v>
      </c>
      <c r="J406" s="9" t="str">
        <f>IFERROR(__xludf.DUMMYFUNCTION("""COMPUTED_VALUE"""),"Multiple Stock Locations")</f>
        <v>Multiple Stock Locations</v>
      </c>
      <c r="K406" s="8"/>
      <c r="L406" s="12"/>
      <c r="M406" s="13"/>
      <c r="N406" s="13" t="str">
        <f>IFERROR(__xludf.DUMMYFUNCTION("IF(ISBLANK(M406),"""",M406*GOOGLEFINANCE(""USDGBP""))"),"")</f>
        <v/>
      </c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</row>
    <row r="407">
      <c r="A407" s="8" t="str">
        <f>IFERROR(__xludf.DUMMYFUNCTION("""COMPUTED_VALUE"""),"118654320190600750")</f>
        <v>118654320190600750</v>
      </c>
      <c r="B407" s="9" t="str">
        <f>IFERROR(__xludf.DUMMYFUNCTION("""COMPUTED_VALUE"""),"United States")</f>
        <v>United States</v>
      </c>
      <c r="C407" s="9" t="str">
        <f>IFERROR(__xludf.DUMMYFUNCTION("""COMPUTED_VALUE"""),"california")</f>
        <v>california</v>
      </c>
      <c r="D407" s="9" t="str">
        <f>IFERROR(__xludf.DUMMYFUNCTION("""COMPUTED_VALUE"""),"Continuum, Napa Valley")</f>
        <v>Continuum, Napa Valley</v>
      </c>
      <c r="E407" s="9">
        <f>IFERROR(__xludf.DUMMYFUNCTION("""COMPUTED_VALUE"""),2019.0)</f>
        <v>2019</v>
      </c>
      <c r="F407" s="9">
        <f>IFERROR(__xludf.DUMMYFUNCTION("""COMPUTED_VALUE"""),750.0)</f>
        <v>750</v>
      </c>
      <c r="G407" s="9">
        <f>IFERROR(__xludf.DUMMYFUNCTION("""COMPUTED_VALUE"""),6.0)</f>
        <v>6</v>
      </c>
      <c r="H407" s="10">
        <f>IFERROR(__xludf.DUMMYFUNCTION("""COMPUTED_VALUE"""),4.0)</f>
        <v>4</v>
      </c>
      <c r="I407" s="11">
        <f>IFERROR(__xludf.DUMMYFUNCTION("""COMPUTED_VALUE"""),1360.0)</f>
        <v>1360</v>
      </c>
      <c r="J407" s="9" t="str">
        <f>IFERROR(__xludf.DUMMYFUNCTION("""COMPUTED_VALUE"""),"Multiple Stock Locations")</f>
        <v>Multiple Stock Locations</v>
      </c>
      <c r="K407" s="8"/>
      <c r="L407" s="12"/>
      <c r="M407" s="13"/>
      <c r="N407" s="13" t="str">
        <f>IFERROR(__xludf.DUMMYFUNCTION("IF(ISBLANK(M407),"""",M407*GOOGLEFINANCE(""USDGBP""))"),"")</f>
        <v/>
      </c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</row>
    <row r="408">
      <c r="A408" s="8" t="str">
        <f>IFERROR(__xludf.DUMMYFUNCTION("""COMPUTED_VALUE"""),"112275020180600750")</f>
        <v>112275020180600750</v>
      </c>
      <c r="B408" s="9" t="str">
        <f>IFERROR(__xludf.DUMMYFUNCTION("""COMPUTED_VALUE"""),"United States")</f>
        <v>United States</v>
      </c>
      <c r="C408" s="9" t="str">
        <f>IFERROR(__xludf.DUMMYFUNCTION("""COMPUTED_VALUE"""),"california")</f>
        <v>california</v>
      </c>
      <c r="D408" s="9" t="str">
        <f>IFERROR(__xludf.DUMMYFUNCTION("""COMPUTED_VALUE"""),"Dominus, Napa Valley")</f>
        <v>Dominus, Napa Valley</v>
      </c>
      <c r="E408" s="9">
        <f>IFERROR(__xludf.DUMMYFUNCTION("""COMPUTED_VALUE"""),2018.0)</f>
        <v>2018</v>
      </c>
      <c r="F408" s="9">
        <f>IFERROR(__xludf.DUMMYFUNCTION("""COMPUTED_VALUE"""),750.0)</f>
        <v>750</v>
      </c>
      <c r="G408" s="9">
        <f>IFERROR(__xludf.DUMMYFUNCTION("""COMPUTED_VALUE"""),6.0)</f>
        <v>6</v>
      </c>
      <c r="H408" s="10">
        <f>IFERROR(__xludf.DUMMYFUNCTION("""COMPUTED_VALUE"""),14.0)</f>
        <v>14</v>
      </c>
      <c r="I408" s="11">
        <f>IFERROR(__xludf.DUMMYFUNCTION("""COMPUTED_VALUE"""),1472.0)</f>
        <v>1472</v>
      </c>
      <c r="J408" s="9" t="str">
        <f>IFERROR(__xludf.DUMMYFUNCTION("""COMPUTED_VALUE"""),"Multiple Stock Locations")</f>
        <v>Multiple Stock Locations</v>
      </c>
      <c r="K408" s="8"/>
      <c r="L408" s="12"/>
      <c r="M408" s="13"/>
      <c r="N408" s="13" t="str">
        <f>IFERROR(__xludf.DUMMYFUNCTION("IF(ISBLANK(M408),"""",M408*GOOGLEFINANCE(""USDGBP""))"),"")</f>
        <v/>
      </c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</row>
    <row r="409">
      <c r="A409" s="8" t="str">
        <f>IFERROR(__xludf.DUMMYFUNCTION("""COMPUTED_VALUE"""),"112275020190600750")</f>
        <v>112275020190600750</v>
      </c>
      <c r="B409" s="9" t="str">
        <f>IFERROR(__xludf.DUMMYFUNCTION("""COMPUTED_VALUE"""),"United States")</f>
        <v>United States</v>
      </c>
      <c r="C409" s="9" t="str">
        <f>IFERROR(__xludf.DUMMYFUNCTION("""COMPUTED_VALUE"""),"california")</f>
        <v>california</v>
      </c>
      <c r="D409" s="9" t="str">
        <f>IFERROR(__xludf.DUMMYFUNCTION("""COMPUTED_VALUE"""),"Dominus, Napa Valley")</f>
        <v>Dominus, Napa Valley</v>
      </c>
      <c r="E409" s="9">
        <f>IFERROR(__xludf.DUMMYFUNCTION("""COMPUTED_VALUE"""),2019.0)</f>
        <v>2019</v>
      </c>
      <c r="F409" s="9">
        <f>IFERROR(__xludf.DUMMYFUNCTION("""COMPUTED_VALUE"""),750.0)</f>
        <v>750</v>
      </c>
      <c r="G409" s="9">
        <f>IFERROR(__xludf.DUMMYFUNCTION("""COMPUTED_VALUE"""),6.0)</f>
        <v>6</v>
      </c>
      <c r="H409" s="10">
        <f>IFERROR(__xludf.DUMMYFUNCTION("""COMPUTED_VALUE"""),2.0)</f>
        <v>2</v>
      </c>
      <c r="I409" s="11">
        <f>IFERROR(__xludf.DUMMYFUNCTION("""COMPUTED_VALUE"""),1455.0)</f>
        <v>1455</v>
      </c>
      <c r="J409" s="9" t="str">
        <f>IFERROR(__xludf.DUMMYFUNCTION("""COMPUTED_VALUE"""),"Multiple Stock Locations")</f>
        <v>Multiple Stock Locations</v>
      </c>
      <c r="K409" s="8"/>
      <c r="L409" s="12"/>
      <c r="M409" s="13"/>
      <c r="N409" s="13" t="str">
        <f>IFERROR(__xludf.DUMMYFUNCTION("IF(ISBLANK(M409),"""",M409*GOOGLEFINANCE(""USDGBP""))"),"")</f>
        <v/>
      </c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</row>
    <row r="410">
      <c r="A410" s="8" t="str">
        <f>IFERROR(__xludf.DUMMYFUNCTION("""COMPUTED_VALUE"""),"112143420170300750")</f>
        <v>112143420170300750</v>
      </c>
      <c r="B410" s="9" t="str">
        <f>IFERROR(__xludf.DUMMYFUNCTION("""COMPUTED_VALUE"""),"United States")</f>
        <v>United States</v>
      </c>
      <c r="C410" s="9" t="str">
        <f>IFERROR(__xludf.DUMMYFUNCTION("""COMPUTED_VALUE"""),"california")</f>
        <v>california</v>
      </c>
      <c r="D410" s="9" t="str">
        <f>IFERROR(__xludf.DUMMYFUNCTION("""COMPUTED_VALUE"""),"Eisele Vineyard, Cabernet Sauvignon, Napa Valley")</f>
        <v>Eisele Vineyard, Cabernet Sauvignon, Napa Valley</v>
      </c>
      <c r="E410" s="9">
        <f>IFERROR(__xludf.DUMMYFUNCTION("""COMPUTED_VALUE"""),2017.0)</f>
        <v>2017</v>
      </c>
      <c r="F410" s="9">
        <f>IFERROR(__xludf.DUMMYFUNCTION("""COMPUTED_VALUE"""),750.0)</f>
        <v>750</v>
      </c>
      <c r="G410" s="9">
        <f>IFERROR(__xludf.DUMMYFUNCTION("""COMPUTED_VALUE"""),3.0)</f>
        <v>3</v>
      </c>
      <c r="H410" s="10">
        <f>IFERROR(__xludf.DUMMYFUNCTION("""COMPUTED_VALUE"""),14.0)</f>
        <v>14</v>
      </c>
      <c r="I410" s="11">
        <f>IFERROR(__xludf.DUMMYFUNCTION("""COMPUTED_VALUE"""),905.0)</f>
        <v>905</v>
      </c>
      <c r="J410" s="9" t="str">
        <f>IFERROR(__xludf.DUMMYFUNCTION("""COMPUTED_VALUE"""),"Multiple Stock Locations")</f>
        <v>Multiple Stock Locations</v>
      </c>
      <c r="K410" s="8"/>
      <c r="L410" s="12"/>
      <c r="M410" s="13"/>
      <c r="N410" s="13" t="str">
        <f>IFERROR(__xludf.DUMMYFUNCTION("IF(ISBLANK(M410),"""",M410*GOOGLEFINANCE(""USDGBP""))"),"")</f>
        <v/>
      </c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</row>
    <row r="411">
      <c r="A411" s="8" t="str">
        <f>IFERROR(__xludf.DUMMYFUNCTION("""COMPUTED_VALUE"""),"112220020180300750")</f>
        <v>112220020180300750</v>
      </c>
      <c r="B411" s="9" t="str">
        <f>IFERROR(__xludf.DUMMYFUNCTION("""COMPUTED_VALUE"""),"United States")</f>
        <v>United States</v>
      </c>
      <c r="C411" s="9" t="str">
        <f>IFERROR(__xludf.DUMMYFUNCTION("""COMPUTED_VALUE"""),"california")</f>
        <v>california</v>
      </c>
      <c r="D411" s="9" t="str">
        <f>IFERROR(__xludf.DUMMYFUNCTION("""COMPUTED_VALUE"""),"Harlan Estate, Napa Valley")</f>
        <v>Harlan Estate, Napa Valley</v>
      </c>
      <c r="E411" s="9">
        <f>IFERROR(__xludf.DUMMYFUNCTION("""COMPUTED_VALUE"""),2018.0)</f>
        <v>2018</v>
      </c>
      <c r="F411" s="9">
        <f>IFERROR(__xludf.DUMMYFUNCTION("""COMPUTED_VALUE"""),750.0)</f>
        <v>750</v>
      </c>
      <c r="G411" s="9">
        <f>IFERROR(__xludf.DUMMYFUNCTION("""COMPUTED_VALUE"""),3.0)</f>
        <v>3</v>
      </c>
      <c r="H411" s="10">
        <f>IFERROR(__xludf.DUMMYFUNCTION("""COMPUTED_VALUE"""),5.0)</f>
        <v>5</v>
      </c>
      <c r="I411" s="11">
        <f>IFERROR(__xludf.DUMMYFUNCTION("""COMPUTED_VALUE"""),3740.0)</f>
        <v>3740</v>
      </c>
      <c r="J411" s="9" t="str">
        <f>IFERROR(__xludf.DUMMYFUNCTION("""COMPUTED_VALUE"""),"Multiple Stock Locations")</f>
        <v>Multiple Stock Locations</v>
      </c>
      <c r="K411" s="8"/>
      <c r="L411" s="12"/>
      <c r="M411" s="13"/>
      <c r="N411" s="13" t="str">
        <f>IFERROR(__xludf.DUMMYFUNCTION("IF(ISBLANK(M411),"""",M411*GOOGLEFINANCE(""USDGBP""))"),"")</f>
        <v/>
      </c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</row>
    <row r="412">
      <c r="A412" s="8" t="str">
        <f>IFERROR(__xludf.DUMMYFUNCTION("""COMPUTED_VALUE"""),"112298120180600750")</f>
        <v>112298120180600750</v>
      </c>
      <c r="B412" s="9" t="str">
        <f>IFERROR(__xludf.DUMMYFUNCTION("""COMPUTED_VALUE"""),"United States")</f>
        <v>United States</v>
      </c>
      <c r="C412" s="9" t="str">
        <f>IFERROR(__xludf.DUMMYFUNCTION("""COMPUTED_VALUE"""),"california")</f>
        <v>california</v>
      </c>
      <c r="D412" s="9" t="str">
        <f>IFERROR(__xludf.DUMMYFUNCTION("""COMPUTED_VALUE"""),"Joseph Phelps, Insignia, Napa Valley")</f>
        <v>Joseph Phelps, Insignia, Napa Valley</v>
      </c>
      <c r="E412" s="9">
        <f>IFERROR(__xludf.DUMMYFUNCTION("""COMPUTED_VALUE"""),2018.0)</f>
        <v>2018</v>
      </c>
      <c r="F412" s="9">
        <f>IFERROR(__xludf.DUMMYFUNCTION("""COMPUTED_VALUE"""),750.0)</f>
        <v>750</v>
      </c>
      <c r="G412" s="9">
        <f>IFERROR(__xludf.DUMMYFUNCTION("""COMPUTED_VALUE"""),6.0)</f>
        <v>6</v>
      </c>
      <c r="H412" s="10">
        <f>IFERROR(__xludf.DUMMYFUNCTION("""COMPUTED_VALUE"""),26.0)</f>
        <v>26</v>
      </c>
      <c r="I412" s="11">
        <f>IFERROR(__xludf.DUMMYFUNCTION("""COMPUTED_VALUE"""),1131.0)</f>
        <v>1131</v>
      </c>
      <c r="J412" s="9" t="str">
        <f>IFERROR(__xludf.DUMMYFUNCTION("""COMPUTED_VALUE"""),"Multiple Stock Locations")</f>
        <v>Multiple Stock Locations</v>
      </c>
      <c r="K412" s="8"/>
      <c r="L412" s="12"/>
      <c r="M412" s="13"/>
      <c r="N412" s="13" t="str">
        <f>IFERROR(__xludf.DUMMYFUNCTION("IF(ISBLANK(M412),"""",M412*GOOGLEFINANCE(""USDGBP""))"),"")</f>
        <v/>
      </c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</row>
    <row r="413">
      <c r="A413" s="8" t="str">
        <f>IFERROR(__xludf.DUMMYFUNCTION("""COMPUTED_VALUE"""),"142674420180300750")</f>
        <v>142674420180300750</v>
      </c>
      <c r="B413" s="9" t="str">
        <f>IFERROR(__xludf.DUMMYFUNCTION("""COMPUTED_VALUE"""),"United States")</f>
        <v>United States</v>
      </c>
      <c r="C413" s="9" t="str">
        <f>IFERROR(__xludf.DUMMYFUNCTION("""COMPUTED_VALUE"""),"california")</f>
        <v>california</v>
      </c>
      <c r="D413" s="9" t="str">
        <f>IFERROR(__xludf.DUMMYFUNCTION("""COMPUTED_VALUE"""),"Memento Mori, Cabernet Sauvignon, Napa Valley")</f>
        <v>Memento Mori, Cabernet Sauvignon, Napa Valley</v>
      </c>
      <c r="E413" s="9">
        <f>IFERROR(__xludf.DUMMYFUNCTION("""COMPUTED_VALUE"""),2018.0)</f>
        <v>2018</v>
      </c>
      <c r="F413" s="9">
        <f>IFERROR(__xludf.DUMMYFUNCTION("""COMPUTED_VALUE"""),750.0)</f>
        <v>750</v>
      </c>
      <c r="G413" s="9">
        <f>IFERROR(__xludf.DUMMYFUNCTION("""COMPUTED_VALUE"""),3.0)</f>
        <v>3</v>
      </c>
      <c r="H413" s="10">
        <f>IFERROR(__xludf.DUMMYFUNCTION("""COMPUTED_VALUE"""),7.0)</f>
        <v>7</v>
      </c>
      <c r="I413" s="11">
        <f>IFERROR(__xludf.DUMMYFUNCTION("""COMPUTED_VALUE"""),840.0)</f>
        <v>840</v>
      </c>
      <c r="J413" s="9" t="str">
        <f>IFERROR(__xludf.DUMMYFUNCTION("""COMPUTED_VALUE"""),"Multiple Stock Locations")</f>
        <v>Multiple Stock Locations</v>
      </c>
      <c r="K413" s="8"/>
      <c r="L413" s="12"/>
      <c r="M413" s="13"/>
      <c r="N413" s="13" t="str">
        <f>IFERROR(__xludf.DUMMYFUNCTION("IF(ISBLANK(M413),"""",M413*GOOGLEFINANCE(""USDGBP""))"),"")</f>
        <v/>
      </c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</row>
    <row r="414">
      <c r="A414" s="8" t="str">
        <f>IFERROR(__xludf.DUMMYFUNCTION("""COMPUTED_VALUE"""),"112266220130600750")</f>
        <v>112266220130600750</v>
      </c>
      <c r="B414" s="9" t="str">
        <f>IFERROR(__xludf.DUMMYFUNCTION("""COMPUTED_VALUE"""),"United States")</f>
        <v>United States</v>
      </c>
      <c r="C414" s="9" t="str">
        <f>IFERROR(__xludf.DUMMYFUNCTION("""COMPUTED_VALUE"""),"california")</f>
        <v>california</v>
      </c>
      <c r="D414" s="9" t="str">
        <f>IFERROR(__xludf.DUMMYFUNCTION("""COMPUTED_VALUE"""),"Opus One, Napa Valley")</f>
        <v>Opus One, Napa Valley</v>
      </c>
      <c r="E414" s="9">
        <f>IFERROR(__xludf.DUMMYFUNCTION("""COMPUTED_VALUE"""),2013.0)</f>
        <v>2013</v>
      </c>
      <c r="F414" s="9">
        <f>IFERROR(__xludf.DUMMYFUNCTION("""COMPUTED_VALUE"""),750.0)</f>
        <v>750</v>
      </c>
      <c r="G414" s="9">
        <f>IFERROR(__xludf.DUMMYFUNCTION("""COMPUTED_VALUE"""),6.0)</f>
        <v>6</v>
      </c>
      <c r="H414" s="10">
        <f>IFERROR(__xludf.DUMMYFUNCTION("""COMPUTED_VALUE"""),1.0)</f>
        <v>1</v>
      </c>
      <c r="I414" s="11">
        <f>IFERROR(__xludf.DUMMYFUNCTION("""COMPUTED_VALUE"""),1998.0)</f>
        <v>1998</v>
      </c>
      <c r="J414" s="9" t="str">
        <f>IFERROR(__xludf.DUMMYFUNCTION("""COMPUTED_VALUE"""),"Multiple Stock Locations")</f>
        <v>Multiple Stock Locations</v>
      </c>
      <c r="K414" s="8"/>
      <c r="L414" s="12"/>
      <c r="M414" s="13"/>
      <c r="N414" s="13" t="str">
        <f>IFERROR(__xludf.DUMMYFUNCTION("IF(ISBLANK(M414),"""",M414*GOOGLEFINANCE(""USDGBP""))"),"")</f>
        <v/>
      </c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</row>
    <row r="415">
      <c r="A415" s="8" t="str">
        <f>IFERROR(__xludf.DUMMYFUNCTION("""COMPUTED_VALUE"""),"112266220160301500")</f>
        <v>112266220160301500</v>
      </c>
      <c r="B415" s="9" t="str">
        <f>IFERROR(__xludf.DUMMYFUNCTION("""COMPUTED_VALUE"""),"United States")</f>
        <v>United States</v>
      </c>
      <c r="C415" s="9" t="str">
        <f>IFERROR(__xludf.DUMMYFUNCTION("""COMPUTED_VALUE"""),"california")</f>
        <v>california</v>
      </c>
      <c r="D415" s="9" t="str">
        <f>IFERROR(__xludf.DUMMYFUNCTION("""COMPUTED_VALUE"""),"Opus One, Napa Valley")</f>
        <v>Opus One, Napa Valley</v>
      </c>
      <c r="E415" s="9">
        <f>IFERROR(__xludf.DUMMYFUNCTION("""COMPUTED_VALUE"""),2016.0)</f>
        <v>2016</v>
      </c>
      <c r="F415" s="9">
        <f>IFERROR(__xludf.DUMMYFUNCTION("""COMPUTED_VALUE"""),1500.0)</f>
        <v>1500</v>
      </c>
      <c r="G415" s="9">
        <f>IFERROR(__xludf.DUMMYFUNCTION("""COMPUTED_VALUE"""),3.0)</f>
        <v>3</v>
      </c>
      <c r="H415" s="10">
        <f>IFERROR(__xludf.DUMMYFUNCTION("""COMPUTED_VALUE"""),1.0)</f>
        <v>1</v>
      </c>
      <c r="I415" s="11">
        <f>IFERROR(__xludf.DUMMYFUNCTION("""COMPUTED_VALUE"""),1600.0)</f>
        <v>1600</v>
      </c>
      <c r="J415" s="9" t="str">
        <f>IFERROR(__xludf.DUMMYFUNCTION("""COMPUTED_VALUE"""),"Multiple Stock Locations")</f>
        <v>Multiple Stock Locations</v>
      </c>
      <c r="K415" s="8"/>
      <c r="L415" s="12"/>
      <c r="M415" s="13"/>
      <c r="N415" s="13" t="str">
        <f>IFERROR(__xludf.DUMMYFUNCTION("IF(ISBLANK(M415),"""",M415*GOOGLEFINANCE(""USDGBP""))"),"")</f>
        <v/>
      </c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</row>
    <row r="416">
      <c r="A416" s="8" t="str">
        <f>IFERROR(__xludf.DUMMYFUNCTION("""COMPUTED_VALUE"""),"112266220170600750")</f>
        <v>112266220170600750</v>
      </c>
      <c r="B416" s="9" t="str">
        <f>IFERROR(__xludf.DUMMYFUNCTION("""COMPUTED_VALUE"""),"United States")</f>
        <v>United States</v>
      </c>
      <c r="C416" s="9" t="str">
        <f>IFERROR(__xludf.DUMMYFUNCTION("""COMPUTED_VALUE"""),"california")</f>
        <v>california</v>
      </c>
      <c r="D416" s="9" t="str">
        <f>IFERROR(__xludf.DUMMYFUNCTION("""COMPUTED_VALUE"""),"Opus One, Napa Valley")</f>
        <v>Opus One, Napa Valley</v>
      </c>
      <c r="E416" s="9">
        <f>IFERROR(__xludf.DUMMYFUNCTION("""COMPUTED_VALUE"""),2017.0)</f>
        <v>2017</v>
      </c>
      <c r="F416" s="9">
        <f>IFERROR(__xludf.DUMMYFUNCTION("""COMPUTED_VALUE"""),750.0)</f>
        <v>750</v>
      </c>
      <c r="G416" s="9">
        <f>IFERROR(__xludf.DUMMYFUNCTION("""COMPUTED_VALUE"""),6.0)</f>
        <v>6</v>
      </c>
      <c r="H416" s="10">
        <f>IFERROR(__xludf.DUMMYFUNCTION("""COMPUTED_VALUE"""),3.0)</f>
        <v>3</v>
      </c>
      <c r="I416" s="11">
        <f>IFERROR(__xludf.DUMMYFUNCTION("""COMPUTED_VALUE"""),1696.0)</f>
        <v>1696</v>
      </c>
      <c r="J416" s="9" t="str">
        <f>IFERROR(__xludf.DUMMYFUNCTION("""COMPUTED_VALUE"""),"Multiple Stock Locations")</f>
        <v>Multiple Stock Locations</v>
      </c>
      <c r="K416" s="8"/>
      <c r="L416" s="12"/>
      <c r="M416" s="13"/>
      <c r="N416" s="13" t="str">
        <f>IFERROR(__xludf.DUMMYFUNCTION("IF(ISBLANK(M416),"""",M416*GOOGLEFINANCE(""USDGBP""))"),"")</f>
        <v/>
      </c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</row>
    <row r="417">
      <c r="A417" s="8" t="str">
        <f>IFERROR(__xludf.DUMMYFUNCTION("""COMPUTED_VALUE"""),"136674120140300750")</f>
        <v>136674120140300750</v>
      </c>
      <c r="B417" s="9" t="str">
        <f>IFERROR(__xludf.DUMMYFUNCTION("""COMPUTED_VALUE"""),"United States")</f>
        <v>United States</v>
      </c>
      <c r="C417" s="9" t="str">
        <f>IFERROR(__xludf.DUMMYFUNCTION("""COMPUTED_VALUE"""),"california")</f>
        <v>california</v>
      </c>
      <c r="D417" s="9" t="str">
        <f>IFERROR(__xludf.DUMMYFUNCTION("""COMPUTED_VALUE"""),"Promontory, Napa Valley")</f>
        <v>Promontory, Napa Valley</v>
      </c>
      <c r="E417" s="9">
        <f>IFERROR(__xludf.DUMMYFUNCTION("""COMPUTED_VALUE"""),2014.0)</f>
        <v>2014</v>
      </c>
      <c r="F417" s="9">
        <f>IFERROR(__xludf.DUMMYFUNCTION("""COMPUTED_VALUE"""),750.0)</f>
        <v>750</v>
      </c>
      <c r="G417" s="9">
        <f>IFERROR(__xludf.DUMMYFUNCTION("""COMPUTED_VALUE"""),3.0)</f>
        <v>3</v>
      </c>
      <c r="H417" s="10">
        <f>IFERROR(__xludf.DUMMYFUNCTION("""COMPUTED_VALUE"""),8.0)</f>
        <v>8</v>
      </c>
      <c r="I417" s="11">
        <f>IFERROR(__xludf.DUMMYFUNCTION("""COMPUTED_VALUE"""),1979.0)</f>
        <v>1979</v>
      </c>
      <c r="J417" s="9" t="str">
        <f>IFERROR(__xludf.DUMMYFUNCTION("""COMPUTED_VALUE"""),"Multiple Stock Locations")</f>
        <v>Multiple Stock Locations</v>
      </c>
      <c r="K417" s="8"/>
      <c r="L417" s="12"/>
      <c r="M417" s="13"/>
      <c r="N417" s="13" t="str">
        <f>IFERROR(__xludf.DUMMYFUNCTION("IF(ISBLANK(M417),"""",M417*GOOGLEFINANCE(""USDGBP""))"),"")</f>
        <v/>
      </c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</row>
    <row r="418">
      <c r="A418" s="8" t="str">
        <f>IFERROR(__xludf.DUMMYFUNCTION("""COMPUTED_VALUE"""),"136674120140101500")</f>
        <v>136674120140101500</v>
      </c>
      <c r="B418" s="9" t="str">
        <f>IFERROR(__xludf.DUMMYFUNCTION("""COMPUTED_VALUE"""),"United States")</f>
        <v>United States</v>
      </c>
      <c r="C418" s="9" t="str">
        <f>IFERROR(__xludf.DUMMYFUNCTION("""COMPUTED_VALUE"""),"california")</f>
        <v>california</v>
      </c>
      <c r="D418" s="9" t="str">
        <f>IFERROR(__xludf.DUMMYFUNCTION("""COMPUTED_VALUE"""),"Promontory, Napa Valley")</f>
        <v>Promontory, Napa Valley</v>
      </c>
      <c r="E418" s="9">
        <f>IFERROR(__xludf.DUMMYFUNCTION("""COMPUTED_VALUE"""),2014.0)</f>
        <v>2014</v>
      </c>
      <c r="F418" s="9">
        <f>IFERROR(__xludf.DUMMYFUNCTION("""COMPUTED_VALUE"""),1500.0)</f>
        <v>1500</v>
      </c>
      <c r="G418" s="9">
        <f>IFERROR(__xludf.DUMMYFUNCTION("""COMPUTED_VALUE"""),1.0)</f>
        <v>1</v>
      </c>
      <c r="H418" s="10">
        <f>IFERROR(__xludf.DUMMYFUNCTION("""COMPUTED_VALUE"""),1.0)</f>
        <v>1</v>
      </c>
      <c r="I418" s="11">
        <f>IFERROR(__xludf.DUMMYFUNCTION("""COMPUTED_VALUE"""),1457.0)</f>
        <v>1457</v>
      </c>
      <c r="J418" s="9" t="str">
        <f>IFERROR(__xludf.DUMMYFUNCTION("""COMPUTED_VALUE"""),"Multiple Stock Locations")</f>
        <v>Multiple Stock Locations</v>
      </c>
      <c r="K418" s="8"/>
      <c r="L418" s="12"/>
      <c r="M418" s="13"/>
      <c r="N418" s="13" t="str">
        <f>IFERROR(__xludf.DUMMYFUNCTION("IF(ISBLANK(M418),"""",M418*GOOGLEFINANCE(""USDGBP""))"),"")</f>
        <v/>
      </c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</row>
    <row r="419">
      <c r="A419" s="8" t="str">
        <f>IFERROR(__xludf.DUMMYFUNCTION("""COMPUTED_VALUE"""),"112316420190300750")</f>
        <v>112316420190300750</v>
      </c>
      <c r="B419" s="9" t="str">
        <f>IFERROR(__xludf.DUMMYFUNCTION("""COMPUTED_VALUE"""),"United States")</f>
        <v>United States</v>
      </c>
      <c r="C419" s="9" t="str">
        <f>IFERROR(__xludf.DUMMYFUNCTION("""COMPUTED_VALUE"""),"california")</f>
        <v>california</v>
      </c>
      <c r="D419" s="9" t="str">
        <f>IFERROR(__xludf.DUMMYFUNCTION("""COMPUTED_VALUE"""),"Ridge, California Cabernet Sauvignon Monte Bello, Santa Cruz Mountains")</f>
        <v>Ridge, California Cabernet Sauvignon Monte Bello, Santa Cruz Mountains</v>
      </c>
      <c r="E419" s="9">
        <f>IFERROR(__xludf.DUMMYFUNCTION("""COMPUTED_VALUE"""),2019.0)</f>
        <v>2019</v>
      </c>
      <c r="F419" s="9">
        <f>IFERROR(__xludf.DUMMYFUNCTION("""COMPUTED_VALUE"""),750.0)</f>
        <v>750</v>
      </c>
      <c r="G419" s="9">
        <f>IFERROR(__xludf.DUMMYFUNCTION("""COMPUTED_VALUE"""),3.0)</f>
        <v>3</v>
      </c>
      <c r="H419" s="10">
        <f>IFERROR(__xludf.DUMMYFUNCTION("""COMPUTED_VALUE"""),3.0)</f>
        <v>3</v>
      </c>
      <c r="I419" s="11">
        <f>IFERROR(__xludf.DUMMYFUNCTION("""COMPUTED_VALUE"""),472.0)</f>
        <v>472</v>
      </c>
      <c r="J419" s="9" t="str">
        <f>IFERROR(__xludf.DUMMYFUNCTION("""COMPUTED_VALUE"""),"Multiple Stock Locations")</f>
        <v>Multiple Stock Locations</v>
      </c>
      <c r="K419" s="8"/>
      <c r="L419" s="12"/>
      <c r="M419" s="13"/>
      <c r="N419" s="13" t="str">
        <f>IFERROR(__xludf.DUMMYFUNCTION("IF(ISBLANK(M419),"""",M419*GOOGLEFINANCE(""USDGBP""))"),"")</f>
        <v/>
      </c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</row>
    <row r="420">
      <c r="A420" s="8" t="str">
        <f>IFERROR(__xludf.DUMMYFUNCTION("""COMPUTED_VALUE"""),"179631520160300750")</f>
        <v>179631520160300750</v>
      </c>
      <c r="B420" s="9" t="str">
        <f>IFERROR(__xludf.DUMMYFUNCTION("""COMPUTED_VALUE"""),"United States")</f>
        <v>United States</v>
      </c>
      <c r="C420" s="9" t="str">
        <f>IFERROR(__xludf.DUMMYFUNCTION("""COMPUTED_VALUE"""),"california")</f>
        <v>california</v>
      </c>
      <c r="D420" s="9" t="str">
        <f>IFERROR(__xludf.DUMMYFUNCTION("""COMPUTED_VALUE"""),"Tesseron, Pym Rae, Napa Valley")</f>
        <v>Tesseron, Pym Rae, Napa Valley</v>
      </c>
      <c r="E420" s="9">
        <f>IFERROR(__xludf.DUMMYFUNCTION("""COMPUTED_VALUE"""),2016.0)</f>
        <v>2016</v>
      </c>
      <c r="F420" s="9">
        <f>IFERROR(__xludf.DUMMYFUNCTION("""COMPUTED_VALUE"""),750.0)</f>
        <v>750</v>
      </c>
      <c r="G420" s="9">
        <f>IFERROR(__xludf.DUMMYFUNCTION("""COMPUTED_VALUE"""),3.0)</f>
        <v>3</v>
      </c>
      <c r="H420" s="10">
        <f>IFERROR(__xludf.DUMMYFUNCTION("""COMPUTED_VALUE"""),16.0)</f>
        <v>16</v>
      </c>
      <c r="I420" s="11">
        <f>IFERROR(__xludf.DUMMYFUNCTION("""COMPUTED_VALUE"""),635.0)</f>
        <v>635</v>
      </c>
      <c r="J420" s="9" t="str">
        <f>IFERROR(__xludf.DUMMYFUNCTION("""COMPUTED_VALUE"""),"Multiple Stock Locations")</f>
        <v>Multiple Stock Locations</v>
      </c>
      <c r="K420" s="8"/>
      <c r="L420" s="12"/>
      <c r="M420" s="13"/>
      <c r="N420" s="13" t="str">
        <f>IFERROR(__xludf.DUMMYFUNCTION("IF(ISBLANK(M420),"""",M420*GOOGLEFINANCE(""USDGBP""))"),"")</f>
        <v/>
      </c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</row>
    <row r="421">
      <c r="A421" s="8" t="str">
        <f>IFERROR(__xludf.DUMMYFUNCTION("""COMPUTED_VALUE"""),"179631520170300750")</f>
        <v>179631520170300750</v>
      </c>
      <c r="B421" s="9" t="str">
        <f>IFERROR(__xludf.DUMMYFUNCTION("""COMPUTED_VALUE"""),"United States")</f>
        <v>United States</v>
      </c>
      <c r="C421" s="9" t="str">
        <f>IFERROR(__xludf.DUMMYFUNCTION("""COMPUTED_VALUE"""),"california")</f>
        <v>california</v>
      </c>
      <c r="D421" s="9" t="str">
        <f>IFERROR(__xludf.DUMMYFUNCTION("""COMPUTED_VALUE"""),"Tesseron, Pym Rae, Napa Valley")</f>
        <v>Tesseron, Pym Rae, Napa Valley</v>
      </c>
      <c r="E421" s="9">
        <f>IFERROR(__xludf.DUMMYFUNCTION("""COMPUTED_VALUE"""),2017.0)</f>
        <v>2017</v>
      </c>
      <c r="F421" s="9">
        <f>IFERROR(__xludf.DUMMYFUNCTION("""COMPUTED_VALUE"""),750.0)</f>
        <v>750</v>
      </c>
      <c r="G421" s="9">
        <f>IFERROR(__xludf.DUMMYFUNCTION("""COMPUTED_VALUE"""),3.0)</f>
        <v>3</v>
      </c>
      <c r="H421" s="10">
        <f>IFERROR(__xludf.DUMMYFUNCTION("""COMPUTED_VALUE"""),27.0)</f>
        <v>27</v>
      </c>
      <c r="I421" s="11">
        <f>IFERROR(__xludf.DUMMYFUNCTION("""COMPUTED_VALUE"""),644.0)</f>
        <v>644</v>
      </c>
      <c r="J421" s="9" t="str">
        <f>IFERROR(__xludf.DUMMYFUNCTION("""COMPUTED_VALUE"""),"Multiple Stock Locations")</f>
        <v>Multiple Stock Locations</v>
      </c>
      <c r="K421" s="8"/>
      <c r="L421" s="12"/>
      <c r="M421" s="13"/>
      <c r="N421" s="13" t="str">
        <f>IFERROR(__xludf.DUMMYFUNCTION("IF(ISBLANK(M421),"""",M421*GOOGLEFINANCE(""USDGBP""))"),"")</f>
        <v/>
      </c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</row>
    <row r="422">
      <c r="A422" s="8" t="str">
        <f>IFERROR(__xludf.DUMMYFUNCTION("""COMPUTED_VALUE"""),"141473220150300750")</f>
        <v>141473220150300750</v>
      </c>
      <c r="B422" s="9" t="str">
        <f>IFERROR(__xludf.DUMMYFUNCTION("""COMPUTED_VALUE"""),"United States")</f>
        <v>United States</v>
      </c>
      <c r="C422" s="9" t="str">
        <f>IFERROR(__xludf.DUMMYFUNCTION("""COMPUTED_VALUE"""),"california")</f>
        <v>california</v>
      </c>
      <c r="D422" s="9" t="str">
        <f>IFERROR(__xludf.DUMMYFUNCTION("""COMPUTED_VALUE"""),"Verite, Assortment Case, Sonoma County")</f>
        <v>Verite, Assortment Case, Sonoma County</v>
      </c>
      <c r="E422" s="9">
        <f>IFERROR(__xludf.DUMMYFUNCTION("""COMPUTED_VALUE"""),2015.0)</f>
        <v>2015</v>
      </c>
      <c r="F422" s="9">
        <f>IFERROR(__xludf.DUMMYFUNCTION("""COMPUTED_VALUE"""),750.0)</f>
        <v>750</v>
      </c>
      <c r="G422" s="9">
        <f>IFERROR(__xludf.DUMMYFUNCTION("""COMPUTED_VALUE"""),3.0)</f>
        <v>3</v>
      </c>
      <c r="H422" s="10">
        <f>IFERROR(__xludf.DUMMYFUNCTION("""COMPUTED_VALUE"""),10.0)</f>
        <v>10</v>
      </c>
      <c r="I422" s="11">
        <f>IFERROR(__xludf.DUMMYFUNCTION("""COMPUTED_VALUE"""),766.0)</f>
        <v>766</v>
      </c>
      <c r="J422" s="9" t="str">
        <f>IFERROR(__xludf.DUMMYFUNCTION("""COMPUTED_VALUE"""),"Multiple Stock Locations")</f>
        <v>Multiple Stock Locations</v>
      </c>
      <c r="K422" s="8"/>
      <c r="L422" s="12"/>
      <c r="M422" s="13"/>
      <c r="N422" s="13" t="str">
        <f>IFERROR(__xludf.DUMMYFUNCTION("IF(ISBLANK(M422),"""",M422*GOOGLEFINANCE(""USDGBP""))"),"")</f>
        <v/>
      </c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</row>
    <row r="423">
      <c r="A423" s="8" t="str">
        <f>IFERROR(__xludf.DUMMYFUNCTION("""COMPUTED_VALUE"""),"141473220160300750")</f>
        <v>141473220160300750</v>
      </c>
      <c r="B423" s="9" t="str">
        <f>IFERROR(__xludf.DUMMYFUNCTION("""COMPUTED_VALUE"""),"United States")</f>
        <v>United States</v>
      </c>
      <c r="C423" s="9" t="str">
        <f>IFERROR(__xludf.DUMMYFUNCTION("""COMPUTED_VALUE"""),"california")</f>
        <v>california</v>
      </c>
      <c r="D423" s="9" t="str">
        <f>IFERROR(__xludf.DUMMYFUNCTION("""COMPUTED_VALUE"""),"Verite, Assortment Case, Sonoma County")</f>
        <v>Verite, Assortment Case, Sonoma County</v>
      </c>
      <c r="E423" s="9">
        <f>IFERROR(__xludf.DUMMYFUNCTION("""COMPUTED_VALUE"""),2016.0)</f>
        <v>2016</v>
      </c>
      <c r="F423" s="9">
        <f>IFERROR(__xludf.DUMMYFUNCTION("""COMPUTED_VALUE"""),750.0)</f>
        <v>750</v>
      </c>
      <c r="G423" s="9">
        <f>IFERROR(__xludf.DUMMYFUNCTION("""COMPUTED_VALUE"""),3.0)</f>
        <v>3</v>
      </c>
      <c r="H423" s="10">
        <f>IFERROR(__xludf.DUMMYFUNCTION("""COMPUTED_VALUE"""),8.0)</f>
        <v>8</v>
      </c>
      <c r="I423" s="11">
        <f>IFERROR(__xludf.DUMMYFUNCTION("""COMPUTED_VALUE"""),719.0)</f>
        <v>719</v>
      </c>
      <c r="J423" s="9" t="str">
        <f>IFERROR(__xludf.DUMMYFUNCTION("""COMPUTED_VALUE"""),"Multiple Stock Locations")</f>
        <v>Multiple Stock Locations</v>
      </c>
      <c r="K423" s="8"/>
      <c r="L423" s="12"/>
      <c r="M423" s="13"/>
      <c r="N423" s="13" t="str">
        <f>IFERROR(__xludf.DUMMYFUNCTION("IF(ISBLANK(M423),"""",M423*GOOGLEFINANCE(""USDGBP""))"),"")</f>
        <v/>
      </c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</row>
    <row r="424">
      <c r="A424" s="8" t="str">
        <f>IFERROR(__xludf.DUMMYFUNCTION("""COMPUTED_VALUE"""),"141473220180300750")</f>
        <v>141473220180300750</v>
      </c>
      <c r="B424" s="9" t="str">
        <f>IFERROR(__xludf.DUMMYFUNCTION("""COMPUTED_VALUE"""),"United States")</f>
        <v>United States</v>
      </c>
      <c r="C424" s="9" t="str">
        <f>IFERROR(__xludf.DUMMYFUNCTION("""COMPUTED_VALUE"""),"california")</f>
        <v>california</v>
      </c>
      <c r="D424" s="9" t="str">
        <f>IFERROR(__xludf.DUMMYFUNCTION("""COMPUTED_VALUE"""),"Verite, Assortment Case, Sonoma County")</f>
        <v>Verite, Assortment Case, Sonoma County</v>
      </c>
      <c r="E424" s="9">
        <f>IFERROR(__xludf.DUMMYFUNCTION("""COMPUTED_VALUE"""),2018.0)</f>
        <v>2018</v>
      </c>
      <c r="F424" s="9">
        <f>IFERROR(__xludf.DUMMYFUNCTION("""COMPUTED_VALUE"""),750.0)</f>
        <v>750</v>
      </c>
      <c r="G424" s="9">
        <f>IFERROR(__xludf.DUMMYFUNCTION("""COMPUTED_VALUE"""),3.0)</f>
        <v>3</v>
      </c>
      <c r="H424" s="10">
        <f>IFERROR(__xludf.DUMMYFUNCTION("""COMPUTED_VALUE"""),5.0)</f>
        <v>5</v>
      </c>
      <c r="I424" s="11">
        <f>IFERROR(__xludf.DUMMYFUNCTION("""COMPUTED_VALUE"""),840.0)</f>
        <v>840</v>
      </c>
      <c r="J424" s="9" t="str">
        <f>IFERROR(__xludf.DUMMYFUNCTION("""COMPUTED_VALUE"""),"Multiple Stock Locations")</f>
        <v>Multiple Stock Locations</v>
      </c>
      <c r="K424" s="8"/>
      <c r="L424" s="12"/>
      <c r="M424" s="13"/>
      <c r="N424" s="13" t="str">
        <f>IFERROR(__xludf.DUMMYFUNCTION("IF(ISBLANK(M424),"""",M424*GOOGLEFINANCE(""USDGBP""))"),"")</f>
        <v/>
      </c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</row>
    <row r="425">
      <c r="A425" s="8" t="str">
        <f>IFERROR(__xludf.DUMMYFUNCTION("""COMPUTED_VALUE"""),"112135920090300750")</f>
        <v>112135920090300750</v>
      </c>
      <c r="B425" s="9" t="str">
        <f>IFERROR(__xludf.DUMMYFUNCTION("""COMPUTED_VALUE"""),"Spain")</f>
        <v>Spain</v>
      </c>
      <c r="C425" s="9" t="str">
        <f>IFERROR(__xludf.DUMMYFUNCTION("""COMPUTED_VALUE"""),"castilla y leon")</f>
        <v>castilla y leon</v>
      </c>
      <c r="D425" s="9" t="str">
        <f>IFERROR(__xludf.DUMMYFUNCTION("""COMPUTED_VALUE"""),"Vega Sicilia, Unico, Ribera del Duero")</f>
        <v>Vega Sicilia, Unico, Ribera del Duero</v>
      </c>
      <c r="E425" s="9">
        <f>IFERROR(__xludf.DUMMYFUNCTION("""COMPUTED_VALUE"""),2009.0)</f>
        <v>2009</v>
      </c>
      <c r="F425" s="9">
        <f>IFERROR(__xludf.DUMMYFUNCTION("""COMPUTED_VALUE"""),750.0)</f>
        <v>750</v>
      </c>
      <c r="G425" s="9">
        <f>IFERROR(__xludf.DUMMYFUNCTION("""COMPUTED_VALUE"""),3.0)</f>
        <v>3</v>
      </c>
      <c r="H425" s="10">
        <f>IFERROR(__xludf.DUMMYFUNCTION("""COMPUTED_VALUE"""),2.0)</f>
        <v>2</v>
      </c>
      <c r="I425" s="11">
        <f>IFERROR(__xludf.DUMMYFUNCTION("""COMPUTED_VALUE"""),918.0)</f>
        <v>918</v>
      </c>
      <c r="J425" s="9" t="str">
        <f>IFERROR(__xludf.DUMMYFUNCTION("""COMPUTED_VALUE"""),"Multiple Stock Locations")</f>
        <v>Multiple Stock Locations</v>
      </c>
      <c r="K425" s="8"/>
      <c r="L425" s="12"/>
      <c r="M425" s="13"/>
      <c r="N425" s="13" t="str">
        <f>IFERROR(__xludf.DUMMYFUNCTION("IF(ISBLANK(M425),"""",M425*GOOGLEFINANCE(""USDGBP""))"),"")</f>
        <v/>
      </c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</row>
    <row r="426">
      <c r="A426" s="8" t="str">
        <f>IFERROR(__xludf.DUMMYFUNCTION("""COMPUTED_VALUE"""),"112135920100300750")</f>
        <v>112135920100300750</v>
      </c>
      <c r="B426" s="9" t="str">
        <f>IFERROR(__xludf.DUMMYFUNCTION("""COMPUTED_VALUE"""),"Spain")</f>
        <v>Spain</v>
      </c>
      <c r="C426" s="9" t="str">
        <f>IFERROR(__xludf.DUMMYFUNCTION("""COMPUTED_VALUE"""),"castilla y leon")</f>
        <v>castilla y leon</v>
      </c>
      <c r="D426" s="9" t="str">
        <f>IFERROR(__xludf.DUMMYFUNCTION("""COMPUTED_VALUE"""),"Vega Sicilia, Unico, Ribera del Duero")</f>
        <v>Vega Sicilia, Unico, Ribera del Duero</v>
      </c>
      <c r="E426" s="9">
        <f>IFERROR(__xludf.DUMMYFUNCTION("""COMPUTED_VALUE"""),2010.0)</f>
        <v>2010</v>
      </c>
      <c r="F426" s="9">
        <f>IFERROR(__xludf.DUMMYFUNCTION("""COMPUTED_VALUE"""),750.0)</f>
        <v>750</v>
      </c>
      <c r="G426" s="9">
        <f>IFERROR(__xludf.DUMMYFUNCTION("""COMPUTED_VALUE"""),3.0)</f>
        <v>3</v>
      </c>
      <c r="H426" s="10">
        <f>IFERROR(__xludf.DUMMYFUNCTION("""COMPUTED_VALUE"""),6.0)</f>
        <v>6</v>
      </c>
      <c r="I426" s="11">
        <f>IFERROR(__xludf.DUMMYFUNCTION("""COMPUTED_VALUE"""),991.0)</f>
        <v>991</v>
      </c>
      <c r="J426" s="9" t="str">
        <f>IFERROR(__xludf.DUMMYFUNCTION("""COMPUTED_VALUE"""),"Multiple Stock Locations")</f>
        <v>Multiple Stock Locations</v>
      </c>
      <c r="K426" s="8"/>
      <c r="L426" s="12"/>
      <c r="M426" s="13"/>
      <c r="N426" s="13" t="str">
        <f>IFERROR(__xludf.DUMMYFUNCTION("IF(ISBLANK(M426),"""",M426*GOOGLEFINANCE(""USDGBP""))"),"")</f>
        <v/>
      </c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</row>
    <row r="427">
      <c r="A427" s="8" t="str">
        <f>IFERROR(__xludf.DUMMYFUNCTION("""COMPUTED_VALUE"""),"112135920110300750")</f>
        <v>112135920110300750</v>
      </c>
      <c r="B427" s="9" t="str">
        <f>IFERROR(__xludf.DUMMYFUNCTION("""COMPUTED_VALUE"""),"Spain")</f>
        <v>Spain</v>
      </c>
      <c r="C427" s="9" t="str">
        <f>IFERROR(__xludf.DUMMYFUNCTION("""COMPUTED_VALUE"""),"castilla y leon")</f>
        <v>castilla y leon</v>
      </c>
      <c r="D427" s="9" t="str">
        <f>IFERROR(__xludf.DUMMYFUNCTION("""COMPUTED_VALUE"""),"Vega Sicilia, Unico, Ribera del Duero")</f>
        <v>Vega Sicilia, Unico, Ribera del Duero</v>
      </c>
      <c r="E427" s="9">
        <f>IFERROR(__xludf.DUMMYFUNCTION("""COMPUTED_VALUE"""),2011.0)</f>
        <v>2011</v>
      </c>
      <c r="F427" s="9">
        <f>IFERROR(__xludf.DUMMYFUNCTION("""COMPUTED_VALUE"""),750.0)</f>
        <v>750</v>
      </c>
      <c r="G427" s="9">
        <f>IFERROR(__xludf.DUMMYFUNCTION("""COMPUTED_VALUE"""),3.0)</f>
        <v>3</v>
      </c>
      <c r="H427" s="10">
        <f>IFERROR(__xludf.DUMMYFUNCTION("""COMPUTED_VALUE"""),3.0)</f>
        <v>3</v>
      </c>
      <c r="I427" s="11">
        <f>IFERROR(__xludf.DUMMYFUNCTION("""COMPUTED_VALUE"""),915.0)</f>
        <v>915</v>
      </c>
      <c r="J427" s="9" t="str">
        <f>IFERROR(__xludf.DUMMYFUNCTION("""COMPUTED_VALUE"""),"Multiple Stock Locations")</f>
        <v>Multiple Stock Locations</v>
      </c>
      <c r="K427" s="8"/>
      <c r="L427" s="12"/>
      <c r="M427" s="13"/>
      <c r="N427" s="13" t="str">
        <f>IFERROR(__xludf.DUMMYFUNCTION("IF(ISBLANK(M427),"""",M427*GOOGLEFINANCE(""USDGBP""))"),"")</f>
        <v/>
      </c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</row>
    <row r="428">
      <c r="A428" s="8" t="str">
        <f>IFERROR(__xludf.DUMMYFUNCTION("""COMPUTED_VALUE"""),"112135920120300750")</f>
        <v>112135920120300750</v>
      </c>
      <c r="B428" s="9" t="str">
        <f>IFERROR(__xludf.DUMMYFUNCTION("""COMPUTED_VALUE"""),"Spain")</f>
        <v>Spain</v>
      </c>
      <c r="C428" s="9" t="str">
        <f>IFERROR(__xludf.DUMMYFUNCTION("""COMPUTED_VALUE"""),"castilla y leon")</f>
        <v>castilla y leon</v>
      </c>
      <c r="D428" s="9" t="str">
        <f>IFERROR(__xludf.DUMMYFUNCTION("""COMPUTED_VALUE"""),"Vega Sicilia, Unico, Ribera del Duero")</f>
        <v>Vega Sicilia, Unico, Ribera del Duero</v>
      </c>
      <c r="E428" s="9">
        <f>IFERROR(__xludf.DUMMYFUNCTION("""COMPUTED_VALUE"""),2012.0)</f>
        <v>2012</v>
      </c>
      <c r="F428" s="9">
        <f>IFERROR(__xludf.DUMMYFUNCTION("""COMPUTED_VALUE"""),750.0)</f>
        <v>750</v>
      </c>
      <c r="G428" s="9">
        <f>IFERROR(__xludf.DUMMYFUNCTION("""COMPUTED_VALUE"""),3.0)</f>
        <v>3</v>
      </c>
      <c r="H428" s="10">
        <f>IFERROR(__xludf.DUMMYFUNCTION("""COMPUTED_VALUE"""),7.0)</f>
        <v>7</v>
      </c>
      <c r="I428" s="11">
        <f>IFERROR(__xludf.DUMMYFUNCTION("""COMPUTED_VALUE"""),876.0)</f>
        <v>876</v>
      </c>
      <c r="J428" s="9" t="str">
        <f>IFERROR(__xludf.DUMMYFUNCTION("""COMPUTED_VALUE"""),"Multiple Stock Locations")</f>
        <v>Multiple Stock Locations</v>
      </c>
      <c r="K428" s="8"/>
      <c r="L428" s="12"/>
      <c r="M428" s="13"/>
      <c r="N428" s="13" t="str">
        <f>IFERROR(__xludf.DUMMYFUNCTION("IF(ISBLANK(M428),"""",M428*GOOGLEFINANCE(""USDGBP""))"),"")</f>
        <v/>
      </c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</row>
    <row r="429">
      <c r="A429" s="8" t="str">
        <f>IFERROR(__xludf.DUMMYFUNCTION("""COMPUTED_VALUE"""),"108324620180600750")</f>
        <v>108324620180600750</v>
      </c>
      <c r="B429" s="9" t="str">
        <f>IFERROR(__xludf.DUMMYFUNCTION("""COMPUTED_VALUE"""),"Chile")</f>
        <v>Chile</v>
      </c>
      <c r="C429" s="9" t="str">
        <f>IFERROR(__xludf.DUMMYFUNCTION("""COMPUTED_VALUE"""),"central valley")</f>
        <v>central valley</v>
      </c>
      <c r="D429" s="9" t="str">
        <f>IFERROR(__xludf.DUMMYFUNCTION("""COMPUTED_VALUE"""),"Rothschild &amp; Concha Y Toro, Almaviva, Maipo Valley")</f>
        <v>Rothschild &amp; Concha Y Toro, Almaviva, Maipo Valley</v>
      </c>
      <c r="E429" s="9">
        <f>IFERROR(__xludf.DUMMYFUNCTION("""COMPUTED_VALUE"""),2018.0)</f>
        <v>2018</v>
      </c>
      <c r="F429" s="9">
        <f>IFERROR(__xludf.DUMMYFUNCTION("""COMPUTED_VALUE"""),750.0)</f>
        <v>750</v>
      </c>
      <c r="G429" s="9">
        <f>IFERROR(__xludf.DUMMYFUNCTION("""COMPUTED_VALUE"""),6.0)</f>
        <v>6</v>
      </c>
      <c r="H429" s="10">
        <f>IFERROR(__xludf.DUMMYFUNCTION("""COMPUTED_VALUE"""),7.0)</f>
        <v>7</v>
      </c>
      <c r="I429" s="11">
        <f>IFERROR(__xludf.DUMMYFUNCTION("""COMPUTED_VALUE"""),715.0)</f>
        <v>715</v>
      </c>
      <c r="J429" s="9" t="str">
        <f>IFERROR(__xludf.DUMMYFUNCTION("""COMPUTED_VALUE"""),"Multiple Stock Locations")</f>
        <v>Multiple Stock Locations</v>
      </c>
      <c r="K429" s="8"/>
      <c r="L429" s="12"/>
      <c r="M429" s="13"/>
      <c r="N429" s="13" t="str">
        <f>IFERROR(__xludf.DUMMYFUNCTION("IF(ISBLANK(M429),"""",M429*GOOGLEFINANCE(""USDGBP""))"),"")</f>
        <v/>
      </c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</row>
    <row r="430">
      <c r="A430" s="8" t="str">
        <f>IFERROR(__xludf.DUMMYFUNCTION("""COMPUTED_VALUE"""),"133306420190600750")</f>
        <v>133306420190600750</v>
      </c>
      <c r="B430" s="9" t="str">
        <f>IFERROR(__xludf.DUMMYFUNCTION("""COMPUTED_VALUE"""),"France")</f>
        <v>France</v>
      </c>
      <c r="C430" s="9" t="str">
        <f>IFERROR(__xludf.DUMMYFUNCTION("""COMPUTED_VALUE"""),"champagne")</f>
        <v>champagne</v>
      </c>
      <c r="D430" s="9" t="str">
        <f>IFERROR(__xludf.DUMMYFUNCTION("""COMPUTED_VALUE"""),"Egly-Ouriet, Ambonnay Rouge Cuvee des Grands Cotes, Coteaux Champenois")</f>
        <v>Egly-Ouriet, Ambonnay Rouge Cuvee des Grands Cotes, Coteaux Champenois</v>
      </c>
      <c r="E430" s="9">
        <f>IFERROR(__xludf.DUMMYFUNCTION("""COMPUTED_VALUE"""),2019.0)</f>
        <v>2019</v>
      </c>
      <c r="F430" s="9">
        <f>IFERROR(__xludf.DUMMYFUNCTION("""COMPUTED_VALUE"""),750.0)</f>
        <v>750</v>
      </c>
      <c r="G430" s="9">
        <f>IFERROR(__xludf.DUMMYFUNCTION("""COMPUTED_VALUE"""),6.0)</f>
        <v>6</v>
      </c>
      <c r="H430" s="10">
        <f>IFERROR(__xludf.DUMMYFUNCTION("""COMPUTED_VALUE"""),1.0)</f>
        <v>1</v>
      </c>
      <c r="I430" s="11">
        <f>IFERROR(__xludf.DUMMYFUNCTION("""COMPUTED_VALUE"""),1220.0)</f>
        <v>1220</v>
      </c>
      <c r="J430" s="9" t="str">
        <f>IFERROR(__xludf.DUMMYFUNCTION("""COMPUTED_VALUE"""),"Multiple Stock Locations")</f>
        <v>Multiple Stock Locations</v>
      </c>
      <c r="K430" s="8"/>
      <c r="L430" s="12"/>
      <c r="M430" s="13"/>
      <c r="N430" s="13" t="str">
        <f>IFERROR(__xludf.DUMMYFUNCTION("IF(ISBLANK(M430),"""",M430*GOOGLEFINANCE(""USDGBP""))"),"")</f>
        <v/>
      </c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</row>
    <row r="431">
      <c r="A431" s="8" t="str">
        <f>IFERROR(__xludf.DUMMYFUNCTION("""COMPUTED_VALUE"""),"148124420060600750")</f>
        <v>148124420060600750</v>
      </c>
      <c r="B431" s="9" t="str">
        <f>IFERROR(__xludf.DUMMYFUNCTION("""COMPUTED_VALUE"""),"France")</f>
        <v>France</v>
      </c>
      <c r="C431" s="9" t="str">
        <f>IFERROR(__xludf.DUMMYFUNCTION("""COMPUTED_VALUE"""),"champagne")</f>
        <v>champagne</v>
      </c>
      <c r="D431" s="9" t="str">
        <f>IFERROR(__xludf.DUMMYFUNCTION("""COMPUTED_VALUE"""),"Billecart-Salmon, Elisabeth Salmon Brut Rose")</f>
        <v>Billecart-Salmon, Elisabeth Salmon Brut Rose</v>
      </c>
      <c r="E431" s="9">
        <f>IFERROR(__xludf.DUMMYFUNCTION("""COMPUTED_VALUE"""),2006.0)</f>
        <v>2006</v>
      </c>
      <c r="F431" s="9">
        <f>IFERROR(__xludf.DUMMYFUNCTION("""COMPUTED_VALUE"""),750.0)</f>
        <v>750</v>
      </c>
      <c r="G431" s="9">
        <f>IFERROR(__xludf.DUMMYFUNCTION("""COMPUTED_VALUE"""),6.0)</f>
        <v>6</v>
      </c>
      <c r="H431" s="10">
        <f>IFERROR(__xludf.DUMMYFUNCTION("""COMPUTED_VALUE"""),1.0)</f>
        <v>1</v>
      </c>
      <c r="I431" s="11">
        <f>IFERROR(__xludf.DUMMYFUNCTION("""COMPUTED_VALUE"""),963.0)</f>
        <v>963</v>
      </c>
      <c r="J431" s="9" t="str">
        <f>IFERROR(__xludf.DUMMYFUNCTION("""COMPUTED_VALUE"""),"Multiple Stock Locations")</f>
        <v>Multiple Stock Locations</v>
      </c>
      <c r="K431" s="8"/>
      <c r="L431" s="12"/>
      <c r="M431" s="13"/>
      <c r="N431" s="13" t="str">
        <f>IFERROR(__xludf.DUMMYFUNCTION("IF(ISBLANK(M431),"""",M431*GOOGLEFINANCE(""USDGBP""))"),"")</f>
        <v/>
      </c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</row>
    <row r="432">
      <c r="A432" s="8" t="str">
        <f>IFERROR(__xludf.DUMMYFUNCTION("""COMPUTED_VALUE"""),"131438020090600750")</f>
        <v>131438020090600750</v>
      </c>
      <c r="B432" s="9" t="str">
        <f>IFERROR(__xludf.DUMMYFUNCTION("""COMPUTED_VALUE"""),"France")</f>
        <v>France</v>
      </c>
      <c r="C432" s="9" t="str">
        <f>IFERROR(__xludf.DUMMYFUNCTION("""COMPUTED_VALUE"""),"champagne")</f>
        <v>champagne</v>
      </c>
      <c r="D432" s="9" t="str">
        <f>IFERROR(__xludf.DUMMYFUNCTION("""COMPUTED_VALUE"""),"Taittinger, Comtes de Champagne Rose")</f>
        <v>Taittinger, Comtes de Champagne Rose</v>
      </c>
      <c r="E432" s="9">
        <f>IFERROR(__xludf.DUMMYFUNCTION("""COMPUTED_VALUE"""),2009.0)</f>
        <v>2009</v>
      </c>
      <c r="F432" s="9">
        <f>IFERROR(__xludf.DUMMYFUNCTION("""COMPUTED_VALUE"""),750.0)</f>
        <v>750</v>
      </c>
      <c r="G432" s="9">
        <f>IFERROR(__xludf.DUMMYFUNCTION("""COMPUTED_VALUE"""),6.0)</f>
        <v>6</v>
      </c>
      <c r="H432" s="10">
        <f>IFERROR(__xludf.DUMMYFUNCTION("""COMPUTED_VALUE"""),3.0)</f>
        <v>3</v>
      </c>
      <c r="I432" s="11">
        <f>IFERROR(__xludf.DUMMYFUNCTION("""COMPUTED_VALUE"""),1083.0)</f>
        <v>1083</v>
      </c>
      <c r="J432" s="9" t="str">
        <f>IFERROR(__xludf.DUMMYFUNCTION("""COMPUTED_VALUE"""),"Multiple Stock Locations")</f>
        <v>Multiple Stock Locations</v>
      </c>
      <c r="K432" s="8"/>
      <c r="L432" s="12"/>
      <c r="M432" s="13"/>
      <c r="N432" s="13" t="str">
        <f>IFERROR(__xludf.DUMMYFUNCTION("IF(ISBLANK(M432),"""",M432*GOOGLEFINANCE(""USDGBP""))"),"")</f>
        <v/>
      </c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</row>
    <row r="433">
      <c r="A433" s="8" t="str">
        <f>IFERROR(__xludf.DUMMYFUNCTION("""COMPUTED_VALUE"""),"119612820130600750")</f>
        <v>119612820130600750</v>
      </c>
      <c r="B433" s="9" t="str">
        <f>IFERROR(__xludf.DUMMYFUNCTION("""COMPUTED_VALUE"""),"France")</f>
        <v>France</v>
      </c>
      <c r="C433" s="9" t="str">
        <f>IFERROR(__xludf.DUMMYFUNCTION("""COMPUTED_VALUE"""),"champagne")</f>
        <v>champagne</v>
      </c>
      <c r="D433" s="9" t="str">
        <f>IFERROR(__xludf.DUMMYFUNCTION("""COMPUTED_VALUE"""),"Agrapart &amp; Fils, Avizoise Blanc de Blancs Extra Brut Grand Cru, Avize")</f>
        <v>Agrapart &amp; Fils, Avizoise Blanc de Blancs Extra Brut Grand Cru, Avize</v>
      </c>
      <c r="E433" s="9">
        <f>IFERROR(__xludf.DUMMYFUNCTION("""COMPUTED_VALUE"""),2013.0)</f>
        <v>2013</v>
      </c>
      <c r="F433" s="9">
        <f>IFERROR(__xludf.DUMMYFUNCTION("""COMPUTED_VALUE"""),750.0)</f>
        <v>750</v>
      </c>
      <c r="G433" s="9">
        <f>IFERROR(__xludf.DUMMYFUNCTION("""COMPUTED_VALUE"""),6.0)</f>
        <v>6</v>
      </c>
      <c r="H433" s="10">
        <f>IFERROR(__xludf.DUMMYFUNCTION("""COMPUTED_VALUE"""),1.0)</f>
        <v>1</v>
      </c>
      <c r="I433" s="11">
        <f>IFERROR(__xludf.DUMMYFUNCTION("""COMPUTED_VALUE"""),731.0)</f>
        <v>731</v>
      </c>
      <c r="J433" s="9" t="str">
        <f>IFERROR(__xludf.DUMMYFUNCTION("""COMPUTED_VALUE"""),"Multiple Stock Locations")</f>
        <v>Multiple Stock Locations</v>
      </c>
      <c r="K433" s="8"/>
      <c r="L433" s="12"/>
      <c r="M433" s="13"/>
      <c r="N433" s="13" t="str">
        <f>IFERROR(__xludf.DUMMYFUNCTION("IF(ISBLANK(M433),"""",M433*GOOGLEFINANCE(""USDGBP""))"),"")</f>
        <v/>
      </c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</row>
    <row r="434">
      <c r="A434" s="8" t="str">
        <f>IFERROR(__xludf.DUMMYFUNCTION("""COMPUTED_VALUE"""),"119612820140600750")</f>
        <v>119612820140600750</v>
      </c>
      <c r="B434" s="9" t="str">
        <f>IFERROR(__xludf.DUMMYFUNCTION("""COMPUTED_VALUE"""),"France")</f>
        <v>France</v>
      </c>
      <c r="C434" s="9" t="str">
        <f>IFERROR(__xludf.DUMMYFUNCTION("""COMPUTED_VALUE"""),"champagne")</f>
        <v>champagne</v>
      </c>
      <c r="D434" s="9" t="str">
        <f>IFERROR(__xludf.DUMMYFUNCTION("""COMPUTED_VALUE"""),"Agrapart &amp; Fils, Avizoise Blanc de Blancs Extra Brut Grand Cru, Avize")</f>
        <v>Agrapart &amp; Fils, Avizoise Blanc de Blancs Extra Brut Grand Cru, Avize</v>
      </c>
      <c r="E434" s="9">
        <f>IFERROR(__xludf.DUMMYFUNCTION("""COMPUTED_VALUE"""),2014.0)</f>
        <v>2014</v>
      </c>
      <c r="F434" s="9">
        <f>IFERROR(__xludf.DUMMYFUNCTION("""COMPUTED_VALUE"""),750.0)</f>
        <v>750</v>
      </c>
      <c r="G434" s="9">
        <f>IFERROR(__xludf.DUMMYFUNCTION("""COMPUTED_VALUE"""),6.0)</f>
        <v>6</v>
      </c>
      <c r="H434" s="10">
        <f>IFERROR(__xludf.DUMMYFUNCTION("""COMPUTED_VALUE"""),1.0)</f>
        <v>1</v>
      </c>
      <c r="I434" s="11">
        <f>IFERROR(__xludf.DUMMYFUNCTION("""COMPUTED_VALUE"""),714.0)</f>
        <v>714</v>
      </c>
      <c r="J434" s="9" t="str">
        <f>IFERROR(__xludf.DUMMYFUNCTION("""COMPUTED_VALUE"""),"Multiple Stock Locations")</f>
        <v>Multiple Stock Locations</v>
      </c>
      <c r="K434" s="8"/>
      <c r="L434" s="12"/>
      <c r="M434" s="13"/>
      <c r="N434" s="13" t="str">
        <f>IFERROR(__xludf.DUMMYFUNCTION("IF(ISBLANK(M434),"""",M434*GOOGLEFINANCE(""USDGBP""))"),"")</f>
        <v/>
      </c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</row>
    <row r="435">
      <c r="A435" s="8" t="str">
        <f>IFERROR(__xludf.DUMMYFUNCTION("""COMPUTED_VALUE"""),"119614420140600750")</f>
        <v>119614420140600750</v>
      </c>
      <c r="B435" s="9" t="str">
        <f>IFERROR(__xludf.DUMMYFUNCTION("""COMPUTED_VALUE"""),"France")</f>
        <v>France</v>
      </c>
      <c r="C435" s="9" t="str">
        <f>IFERROR(__xludf.DUMMYFUNCTION("""COMPUTED_VALUE"""),"champagne")</f>
        <v>champagne</v>
      </c>
      <c r="D435" s="9" t="str">
        <f>IFERROR(__xludf.DUMMYFUNCTION("""COMPUTED_VALUE"""),"Agrapart &amp; Fils, Mineral Blanc de Blancs Extra Brut Grand Cru")</f>
        <v>Agrapart &amp; Fils, Mineral Blanc de Blancs Extra Brut Grand Cru</v>
      </c>
      <c r="E435" s="9">
        <f>IFERROR(__xludf.DUMMYFUNCTION("""COMPUTED_VALUE"""),2014.0)</f>
        <v>2014</v>
      </c>
      <c r="F435" s="9">
        <f>IFERROR(__xludf.DUMMYFUNCTION("""COMPUTED_VALUE"""),750.0)</f>
        <v>750</v>
      </c>
      <c r="G435" s="9">
        <f>IFERROR(__xludf.DUMMYFUNCTION("""COMPUTED_VALUE"""),6.0)</f>
        <v>6</v>
      </c>
      <c r="H435" s="10">
        <f>IFERROR(__xludf.DUMMYFUNCTION("""COMPUTED_VALUE"""),1.0)</f>
        <v>1</v>
      </c>
      <c r="I435" s="11">
        <f>IFERROR(__xludf.DUMMYFUNCTION("""COMPUTED_VALUE"""),593.0)</f>
        <v>593</v>
      </c>
      <c r="J435" s="9" t="str">
        <f>IFERROR(__xludf.DUMMYFUNCTION("""COMPUTED_VALUE"""),"Multiple Stock Locations")</f>
        <v>Multiple Stock Locations</v>
      </c>
      <c r="K435" s="8"/>
      <c r="L435" s="12"/>
      <c r="M435" s="13"/>
      <c r="N435" s="13" t="str">
        <f>IFERROR(__xludf.DUMMYFUNCTION("IF(ISBLANK(M435),"""",M435*GOOGLEFINANCE(""USDGBP""))"),"")</f>
        <v/>
      </c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</row>
    <row r="436">
      <c r="A436" s="8" t="str">
        <f>IFERROR(__xludf.DUMMYFUNCTION("""COMPUTED_VALUE"""),"131669020060300750")</f>
        <v>131669020060300750</v>
      </c>
      <c r="B436" s="9" t="str">
        <f>IFERROR(__xludf.DUMMYFUNCTION("""COMPUTED_VALUE"""),"France")</f>
        <v>France</v>
      </c>
      <c r="C436" s="9" t="str">
        <f>IFERROR(__xludf.DUMMYFUNCTION("""COMPUTED_VALUE"""),"champagne")</f>
        <v>champagne</v>
      </c>
      <c r="D436" s="9" t="str">
        <f>IFERROR(__xludf.DUMMYFUNCTION("""COMPUTED_VALUE"""),"Billecart-Salmon, Le Clos Saint-Hilaire")</f>
        <v>Billecart-Salmon, Le Clos Saint-Hilaire</v>
      </c>
      <c r="E436" s="9">
        <f>IFERROR(__xludf.DUMMYFUNCTION("""COMPUTED_VALUE"""),2006.0)</f>
        <v>2006</v>
      </c>
      <c r="F436" s="9">
        <f>IFERROR(__xludf.DUMMYFUNCTION("""COMPUTED_VALUE"""),750.0)</f>
        <v>750</v>
      </c>
      <c r="G436" s="9">
        <f>IFERROR(__xludf.DUMMYFUNCTION("""COMPUTED_VALUE"""),3.0)</f>
        <v>3</v>
      </c>
      <c r="H436" s="10">
        <f>IFERROR(__xludf.DUMMYFUNCTION("""COMPUTED_VALUE"""),1.0)</f>
        <v>1</v>
      </c>
      <c r="I436" s="11">
        <f>IFERROR(__xludf.DUMMYFUNCTION("""COMPUTED_VALUE"""),948.0)</f>
        <v>948</v>
      </c>
      <c r="J436" s="9" t="str">
        <f>IFERROR(__xludf.DUMMYFUNCTION("""COMPUTED_VALUE"""),"Multiple Stock Locations")</f>
        <v>Multiple Stock Locations</v>
      </c>
      <c r="K436" s="8"/>
      <c r="L436" s="12"/>
      <c r="M436" s="13"/>
      <c r="N436" s="13" t="str">
        <f>IFERROR(__xludf.DUMMYFUNCTION("IF(ISBLANK(M436),"""",M436*GOOGLEFINANCE(""USDGBP""))"),"")</f>
        <v/>
      </c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</row>
    <row r="437">
      <c r="A437" s="8" t="str">
        <f>IFERROR(__xludf.DUMMYFUNCTION("""COMPUTED_VALUE"""),"108177620020600750")</f>
        <v>108177620020600750</v>
      </c>
      <c r="B437" s="9" t="str">
        <f>IFERROR(__xludf.DUMMYFUNCTION("""COMPUTED_VALUE"""),"France")</f>
        <v>France</v>
      </c>
      <c r="C437" s="9" t="str">
        <f>IFERROR(__xludf.DUMMYFUNCTION("""COMPUTED_VALUE"""),"champagne")</f>
        <v>champagne</v>
      </c>
      <c r="D437" s="9" t="str">
        <f>IFERROR(__xludf.DUMMYFUNCTION("""COMPUTED_VALUE"""),"Billecart-Salmon, Nicolas Francois")</f>
        <v>Billecart-Salmon, Nicolas Francois</v>
      </c>
      <c r="E437" s="9">
        <f>IFERROR(__xludf.DUMMYFUNCTION("""COMPUTED_VALUE"""),2002.0)</f>
        <v>2002</v>
      </c>
      <c r="F437" s="9">
        <f>IFERROR(__xludf.DUMMYFUNCTION("""COMPUTED_VALUE"""),750.0)</f>
        <v>750</v>
      </c>
      <c r="G437" s="9">
        <f>IFERROR(__xludf.DUMMYFUNCTION("""COMPUTED_VALUE"""),6.0)</f>
        <v>6</v>
      </c>
      <c r="H437" s="10">
        <f>IFERROR(__xludf.DUMMYFUNCTION("""COMPUTED_VALUE"""),3.0)</f>
        <v>3</v>
      </c>
      <c r="I437" s="11">
        <f>IFERROR(__xludf.DUMMYFUNCTION("""COMPUTED_VALUE"""),822.0)</f>
        <v>822</v>
      </c>
      <c r="J437" s="9" t="str">
        <f>IFERROR(__xludf.DUMMYFUNCTION("""COMPUTED_VALUE"""),"Multiple Stock Locations")</f>
        <v>Multiple Stock Locations</v>
      </c>
      <c r="K437" s="8"/>
      <c r="L437" s="12"/>
      <c r="M437" s="13"/>
      <c r="N437" s="13" t="str">
        <f>IFERROR(__xludf.DUMMYFUNCTION("IF(ISBLANK(M437),"""",M437*GOOGLEFINANCE(""USDGBP""))"),"")</f>
        <v/>
      </c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</row>
    <row r="438">
      <c r="A438" s="8" t="str">
        <f>IFERROR(__xludf.DUMMYFUNCTION("""COMPUTED_VALUE"""),"108178920120600750")</f>
        <v>108178920120600750</v>
      </c>
      <c r="B438" s="9" t="str">
        <f>IFERROR(__xludf.DUMMYFUNCTION("""COMPUTED_VALUE"""),"France")</f>
        <v>France</v>
      </c>
      <c r="C438" s="9" t="str">
        <f>IFERROR(__xludf.DUMMYFUNCTION("""COMPUTED_VALUE"""),"champagne")</f>
        <v>champagne</v>
      </c>
      <c r="D438" s="9" t="str">
        <f>IFERROR(__xludf.DUMMYFUNCTION("""COMPUTED_VALUE"""),"Bollinger, La Grande Annee")</f>
        <v>Bollinger, La Grande Annee</v>
      </c>
      <c r="E438" s="9">
        <f>IFERROR(__xludf.DUMMYFUNCTION("""COMPUTED_VALUE"""),2012.0)</f>
        <v>2012</v>
      </c>
      <c r="F438" s="9">
        <f>IFERROR(__xludf.DUMMYFUNCTION("""COMPUTED_VALUE"""),750.0)</f>
        <v>750</v>
      </c>
      <c r="G438" s="9">
        <f>IFERROR(__xludf.DUMMYFUNCTION("""COMPUTED_VALUE"""),6.0)</f>
        <v>6</v>
      </c>
      <c r="H438" s="10">
        <f>IFERROR(__xludf.DUMMYFUNCTION("""COMPUTED_VALUE"""),55.0)</f>
        <v>55</v>
      </c>
      <c r="I438" s="11">
        <f>IFERROR(__xludf.DUMMYFUNCTION("""COMPUTED_VALUE"""),588.0)</f>
        <v>588</v>
      </c>
      <c r="J438" s="9" t="str">
        <f>IFERROR(__xludf.DUMMYFUNCTION("""COMPUTED_VALUE"""),"Multiple Stock Locations")</f>
        <v>Multiple Stock Locations</v>
      </c>
      <c r="K438" s="8"/>
      <c r="L438" s="12"/>
      <c r="M438" s="13"/>
      <c r="N438" s="13" t="str">
        <f>IFERROR(__xludf.DUMMYFUNCTION("IF(ISBLANK(M438),"""",M438*GOOGLEFINANCE(""USDGBP""))"),"")</f>
        <v/>
      </c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</row>
    <row r="439">
      <c r="A439" s="8" t="str">
        <f>IFERROR(__xludf.DUMMYFUNCTION("""COMPUTED_VALUE"""),"108178920140600750")</f>
        <v>108178920140600750</v>
      </c>
      <c r="B439" s="9" t="str">
        <f>IFERROR(__xludf.DUMMYFUNCTION("""COMPUTED_VALUE"""),"France")</f>
        <v>France</v>
      </c>
      <c r="C439" s="9" t="str">
        <f>IFERROR(__xludf.DUMMYFUNCTION("""COMPUTED_VALUE"""),"champagne")</f>
        <v>champagne</v>
      </c>
      <c r="D439" s="9" t="str">
        <f>IFERROR(__xludf.DUMMYFUNCTION("""COMPUTED_VALUE"""),"Bollinger, La Grande Annee")</f>
        <v>Bollinger, La Grande Annee</v>
      </c>
      <c r="E439" s="9">
        <f>IFERROR(__xludf.DUMMYFUNCTION("""COMPUTED_VALUE"""),2014.0)</f>
        <v>2014</v>
      </c>
      <c r="F439" s="9">
        <f>IFERROR(__xludf.DUMMYFUNCTION("""COMPUTED_VALUE"""),750.0)</f>
        <v>750</v>
      </c>
      <c r="G439" s="9">
        <f>IFERROR(__xludf.DUMMYFUNCTION("""COMPUTED_VALUE"""),6.0)</f>
        <v>6</v>
      </c>
      <c r="H439" s="10">
        <f>IFERROR(__xludf.DUMMYFUNCTION("""COMPUTED_VALUE"""),3.0)</f>
        <v>3</v>
      </c>
      <c r="I439" s="11">
        <f>IFERROR(__xludf.DUMMYFUNCTION("""COMPUTED_VALUE"""),551.0)</f>
        <v>551</v>
      </c>
      <c r="J439" s="9" t="str">
        <f>IFERROR(__xludf.DUMMYFUNCTION("""COMPUTED_VALUE"""),"Multiple Stock Locations")</f>
        <v>Multiple Stock Locations</v>
      </c>
      <c r="K439" s="8"/>
      <c r="L439" s="12"/>
      <c r="M439" s="13"/>
      <c r="N439" s="13" t="str">
        <f>IFERROR(__xludf.DUMMYFUNCTION("IF(ISBLANK(M439),"""",M439*GOOGLEFINANCE(""USDGBP""))"),"")</f>
        <v/>
      </c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</row>
    <row r="440">
      <c r="A440" s="8" t="str">
        <f>IFERROR(__xludf.DUMMYFUNCTION("""COMPUTED_VALUE"""),"108180620070600750")</f>
        <v>108180620070600750</v>
      </c>
      <c r="B440" s="9" t="str">
        <f>IFERROR(__xludf.DUMMYFUNCTION("""COMPUTED_VALUE"""),"France")</f>
        <v>France</v>
      </c>
      <c r="C440" s="9" t="str">
        <f>IFERROR(__xludf.DUMMYFUNCTION("""COMPUTED_VALUE"""),"champagne")</f>
        <v>champagne</v>
      </c>
      <c r="D440" s="9" t="str">
        <f>IFERROR(__xludf.DUMMYFUNCTION("""COMPUTED_VALUE"""),"Bollinger, R.D., Champagne")</f>
        <v>Bollinger, R.D., Champagne</v>
      </c>
      <c r="E440" s="9">
        <f>IFERROR(__xludf.DUMMYFUNCTION("""COMPUTED_VALUE"""),2007.0)</f>
        <v>2007</v>
      </c>
      <c r="F440" s="9">
        <f>IFERROR(__xludf.DUMMYFUNCTION("""COMPUTED_VALUE"""),750.0)</f>
        <v>750</v>
      </c>
      <c r="G440" s="9">
        <f>IFERROR(__xludf.DUMMYFUNCTION("""COMPUTED_VALUE"""),6.0)</f>
        <v>6</v>
      </c>
      <c r="H440" s="10">
        <f>IFERROR(__xludf.DUMMYFUNCTION("""COMPUTED_VALUE"""),9.0)</f>
        <v>9</v>
      </c>
      <c r="I440" s="11">
        <f>IFERROR(__xludf.DUMMYFUNCTION("""COMPUTED_VALUE"""),851.0)</f>
        <v>851</v>
      </c>
      <c r="J440" s="9" t="str">
        <f>IFERROR(__xludf.DUMMYFUNCTION("""COMPUTED_VALUE"""),"Multiple Stock Locations")</f>
        <v>Multiple Stock Locations</v>
      </c>
      <c r="K440" s="8"/>
      <c r="L440" s="12"/>
      <c r="M440" s="13"/>
      <c r="N440" s="13" t="str">
        <f>IFERROR(__xludf.DUMMYFUNCTION("IF(ISBLANK(M440),"""",M440*GOOGLEFINANCE(""USDGBP""))"),"")</f>
        <v/>
      </c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</row>
    <row r="441">
      <c r="A441" s="8" t="str">
        <f>IFERROR(__xludf.DUMMYFUNCTION("""COMPUTED_VALUE"""),"108265620120600750")</f>
        <v>108265620120600750</v>
      </c>
      <c r="B441" s="9" t="str">
        <f>IFERROR(__xludf.DUMMYFUNCTION("""COMPUTED_VALUE"""),"France")</f>
        <v>France</v>
      </c>
      <c r="C441" s="9" t="str">
        <f>IFERROR(__xludf.DUMMYFUNCTION("""COMPUTED_VALUE"""),"champagne")</f>
        <v>champagne</v>
      </c>
      <c r="D441" s="9" t="str">
        <f>IFERROR(__xludf.DUMMYFUNCTION("""COMPUTED_VALUE"""),"Dom Perignon")</f>
        <v>Dom Perignon</v>
      </c>
      <c r="E441" s="9">
        <f>IFERROR(__xludf.DUMMYFUNCTION("""COMPUTED_VALUE"""),2012.0)</f>
        <v>2012</v>
      </c>
      <c r="F441" s="9">
        <f>IFERROR(__xludf.DUMMYFUNCTION("""COMPUTED_VALUE"""),750.0)</f>
        <v>750</v>
      </c>
      <c r="G441" s="9">
        <f>IFERROR(__xludf.DUMMYFUNCTION("""COMPUTED_VALUE"""),6.0)</f>
        <v>6</v>
      </c>
      <c r="H441" s="10">
        <f>IFERROR(__xludf.DUMMYFUNCTION("""COMPUTED_VALUE"""),1.0)</f>
        <v>1</v>
      </c>
      <c r="I441" s="11">
        <f>IFERROR(__xludf.DUMMYFUNCTION("""COMPUTED_VALUE"""),921.0)</f>
        <v>921</v>
      </c>
      <c r="J441" s="9" t="str">
        <f>IFERROR(__xludf.DUMMYFUNCTION("""COMPUTED_VALUE"""),"Multiple Stock Locations")</f>
        <v>Multiple Stock Locations</v>
      </c>
      <c r="K441" s="8"/>
      <c r="L441" s="12"/>
      <c r="M441" s="13"/>
      <c r="N441" s="13" t="str">
        <f>IFERROR(__xludf.DUMMYFUNCTION("IF(ISBLANK(M441),"""",M441*GOOGLEFINANCE(""USDGBP""))"),"")</f>
        <v/>
      </c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</row>
    <row r="442">
      <c r="A442" s="8" t="str">
        <f>IFERROR(__xludf.DUMMYFUNCTION("""COMPUTED_VALUE"""),"127735920030300750")</f>
        <v>127735920030300750</v>
      </c>
      <c r="B442" s="9" t="str">
        <f>IFERROR(__xludf.DUMMYFUNCTION("""COMPUTED_VALUE"""),"France")</f>
        <v>France</v>
      </c>
      <c r="C442" s="9" t="str">
        <f>IFERROR(__xludf.DUMMYFUNCTION("""COMPUTED_VALUE"""),"champagne")</f>
        <v>champagne</v>
      </c>
      <c r="D442" s="9" t="str">
        <f>IFERROR(__xludf.DUMMYFUNCTION("""COMPUTED_VALUE"""),"Dom Perignon, P2")</f>
        <v>Dom Perignon, P2</v>
      </c>
      <c r="E442" s="9">
        <f>IFERROR(__xludf.DUMMYFUNCTION("""COMPUTED_VALUE"""),2003.0)</f>
        <v>2003</v>
      </c>
      <c r="F442" s="9">
        <f>IFERROR(__xludf.DUMMYFUNCTION("""COMPUTED_VALUE"""),750.0)</f>
        <v>750</v>
      </c>
      <c r="G442" s="9">
        <f>IFERROR(__xludf.DUMMYFUNCTION("""COMPUTED_VALUE"""),3.0)</f>
        <v>3</v>
      </c>
      <c r="H442" s="10">
        <f>IFERROR(__xludf.DUMMYFUNCTION("""COMPUTED_VALUE"""),1.0)</f>
        <v>1</v>
      </c>
      <c r="I442" s="11">
        <f>IFERROR(__xludf.DUMMYFUNCTION("""COMPUTED_VALUE"""),884.0)</f>
        <v>884</v>
      </c>
      <c r="J442" s="9" t="str">
        <f>IFERROR(__xludf.DUMMYFUNCTION("""COMPUTED_VALUE"""),"Multiple Stock Locations")</f>
        <v>Multiple Stock Locations</v>
      </c>
      <c r="K442" s="8"/>
      <c r="L442" s="12"/>
      <c r="M442" s="13"/>
      <c r="N442" s="13" t="str">
        <f>IFERROR(__xludf.DUMMYFUNCTION("IF(ISBLANK(M442),"""",M442*GOOGLEFINANCE(""USDGBP""))"),"")</f>
        <v/>
      </c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</row>
    <row r="443">
      <c r="A443" s="8" t="str">
        <f>IFERROR(__xludf.DUMMYFUNCTION("""COMPUTED_VALUE"""),"117627420140100750")</f>
        <v>117627420140100750</v>
      </c>
      <c r="B443" s="9" t="str">
        <f>IFERROR(__xludf.DUMMYFUNCTION("""COMPUTED_VALUE"""),"France")</f>
        <v>France</v>
      </c>
      <c r="C443" s="9" t="str">
        <f>IFERROR(__xludf.DUMMYFUNCTION("""COMPUTED_VALUE"""),"champagne")</f>
        <v>champagne</v>
      </c>
      <c r="D443" s="9" t="str">
        <f>IFERROR(__xludf.DUMMYFUNCTION("""COMPUTED_VALUE"""),"Henri Giraud, Argonne Grand Cru, Ay")</f>
        <v>Henri Giraud, Argonne Grand Cru, Ay</v>
      </c>
      <c r="E443" s="9">
        <f>IFERROR(__xludf.DUMMYFUNCTION("""COMPUTED_VALUE"""),2014.0)</f>
        <v>2014</v>
      </c>
      <c r="F443" s="9">
        <f>IFERROR(__xludf.DUMMYFUNCTION("""COMPUTED_VALUE"""),750.0)</f>
        <v>750</v>
      </c>
      <c r="G443" s="9">
        <f>IFERROR(__xludf.DUMMYFUNCTION("""COMPUTED_VALUE"""),1.0)</f>
        <v>1</v>
      </c>
      <c r="H443" s="10">
        <f>IFERROR(__xludf.DUMMYFUNCTION("""COMPUTED_VALUE"""),4.0)</f>
        <v>4</v>
      </c>
      <c r="I443" s="11">
        <f>IFERROR(__xludf.DUMMYFUNCTION("""COMPUTED_VALUE"""),342.0)</f>
        <v>342</v>
      </c>
      <c r="J443" s="9" t="str">
        <f>IFERROR(__xludf.DUMMYFUNCTION("""COMPUTED_VALUE"""),"Multiple Stock Locations")</f>
        <v>Multiple Stock Locations</v>
      </c>
      <c r="K443" s="8"/>
      <c r="L443" s="12"/>
      <c r="M443" s="13"/>
      <c r="N443" s="13" t="str">
        <f>IFERROR(__xludf.DUMMYFUNCTION("IF(ISBLANK(M443),"""",M443*GOOGLEFINANCE(""USDGBP""))"),"")</f>
        <v/>
      </c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</row>
    <row r="444">
      <c r="A444" s="8" t="str">
        <f>IFERROR(__xludf.DUMMYFUNCTION("""COMPUTED_VALUE"""),"108239520060100750")</f>
        <v>108239520060100750</v>
      </c>
      <c r="B444" s="9" t="str">
        <f>IFERROR(__xludf.DUMMYFUNCTION("""COMPUTED_VALUE"""),"France")</f>
        <v>France</v>
      </c>
      <c r="C444" s="9" t="str">
        <f>IFERROR(__xludf.DUMMYFUNCTION("""COMPUTED_VALUE"""),"champagne")</f>
        <v>champagne</v>
      </c>
      <c r="D444" s="9" t="str">
        <f>IFERROR(__xludf.DUMMYFUNCTION("""COMPUTED_VALUE"""),"Krug, Clos du Mesnil")</f>
        <v>Krug, Clos du Mesnil</v>
      </c>
      <c r="E444" s="9">
        <f>IFERROR(__xludf.DUMMYFUNCTION("""COMPUTED_VALUE"""),2006.0)</f>
        <v>2006</v>
      </c>
      <c r="F444" s="9">
        <f>IFERROR(__xludf.DUMMYFUNCTION("""COMPUTED_VALUE"""),750.0)</f>
        <v>750</v>
      </c>
      <c r="G444" s="9">
        <f>IFERROR(__xludf.DUMMYFUNCTION("""COMPUTED_VALUE"""),1.0)</f>
        <v>1</v>
      </c>
      <c r="H444" s="10">
        <f>IFERROR(__xludf.DUMMYFUNCTION("""COMPUTED_VALUE"""),4.0)</f>
        <v>4</v>
      </c>
      <c r="I444" s="11">
        <f>IFERROR(__xludf.DUMMYFUNCTION("""COMPUTED_VALUE"""),1061.0)</f>
        <v>1061</v>
      </c>
      <c r="J444" s="9" t="str">
        <f>IFERROR(__xludf.DUMMYFUNCTION("""COMPUTED_VALUE"""),"Multiple Stock Locations")</f>
        <v>Multiple Stock Locations</v>
      </c>
      <c r="K444" s="8"/>
      <c r="L444" s="12"/>
      <c r="M444" s="13"/>
      <c r="N444" s="13" t="str">
        <f>IFERROR(__xludf.DUMMYFUNCTION("IF(ISBLANK(M444),"""",M444*GOOGLEFINANCE(""USDGBP""))"),"")</f>
        <v/>
      </c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</row>
    <row r="445">
      <c r="A445" s="8" t="str">
        <f>IFERROR(__xludf.DUMMYFUNCTION("""COMPUTED_VALUE"""),"131693520060600750")</f>
        <v>131693520060600750</v>
      </c>
      <c r="B445" s="9" t="str">
        <f>IFERROR(__xludf.DUMMYFUNCTION("""COMPUTED_VALUE"""),"France")</f>
        <v>France</v>
      </c>
      <c r="C445" s="9" t="str">
        <f>IFERROR(__xludf.DUMMYFUNCTION("""COMPUTED_VALUE"""),"champagne")</f>
        <v>champagne</v>
      </c>
      <c r="D445" s="9" t="str">
        <f>IFERROR(__xludf.DUMMYFUNCTION("""COMPUTED_VALUE"""),"Krug, Vintage Brut")</f>
        <v>Krug, Vintage Brut</v>
      </c>
      <c r="E445" s="9">
        <f>IFERROR(__xludf.DUMMYFUNCTION("""COMPUTED_VALUE"""),2006.0)</f>
        <v>2006</v>
      </c>
      <c r="F445" s="9">
        <f>IFERROR(__xludf.DUMMYFUNCTION("""COMPUTED_VALUE"""),750.0)</f>
        <v>750</v>
      </c>
      <c r="G445" s="9">
        <f>IFERROR(__xludf.DUMMYFUNCTION("""COMPUTED_VALUE"""),6.0)</f>
        <v>6</v>
      </c>
      <c r="H445" s="10">
        <f>IFERROR(__xludf.DUMMYFUNCTION("""COMPUTED_VALUE"""),6.0)</f>
        <v>6</v>
      </c>
      <c r="I445" s="11">
        <f>IFERROR(__xludf.DUMMYFUNCTION("""COMPUTED_VALUE"""),1550.0)</f>
        <v>1550</v>
      </c>
      <c r="J445" s="9" t="str">
        <f>IFERROR(__xludf.DUMMYFUNCTION("""COMPUTED_VALUE"""),"Multiple Stock Locations")</f>
        <v>Multiple Stock Locations</v>
      </c>
      <c r="K445" s="8"/>
      <c r="L445" s="12"/>
      <c r="M445" s="13"/>
      <c r="N445" s="13" t="str">
        <f>IFERROR(__xludf.DUMMYFUNCTION("IF(ISBLANK(M445),"""",M445*GOOGLEFINANCE(""USDGBP""))"),"")</f>
        <v/>
      </c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</row>
    <row r="446">
      <c r="A446" s="8" t="str">
        <f>IFERROR(__xludf.DUMMYFUNCTION("""COMPUTED_VALUE"""),"108254220090600750")</f>
        <v>108254220090600750</v>
      </c>
      <c r="B446" s="9" t="str">
        <f>IFERROR(__xludf.DUMMYFUNCTION("""COMPUTED_VALUE"""),"France")</f>
        <v>France</v>
      </c>
      <c r="C446" s="9" t="str">
        <f>IFERROR(__xludf.DUMMYFUNCTION("""COMPUTED_VALUE"""),"champagne")</f>
        <v>champagne</v>
      </c>
      <c r="D446" s="9" t="str">
        <f>IFERROR(__xludf.DUMMYFUNCTION("""COMPUTED_VALUE"""),"Louis Roederer, Cristal")</f>
        <v>Louis Roederer, Cristal</v>
      </c>
      <c r="E446" s="9">
        <f>IFERROR(__xludf.DUMMYFUNCTION("""COMPUTED_VALUE"""),2009.0)</f>
        <v>2009</v>
      </c>
      <c r="F446" s="9">
        <f>IFERROR(__xludf.DUMMYFUNCTION("""COMPUTED_VALUE"""),750.0)</f>
        <v>750</v>
      </c>
      <c r="G446" s="9">
        <f>IFERROR(__xludf.DUMMYFUNCTION("""COMPUTED_VALUE"""),6.0)</f>
        <v>6</v>
      </c>
      <c r="H446" s="10">
        <f>IFERROR(__xludf.DUMMYFUNCTION("""COMPUTED_VALUE"""),3.0)</f>
        <v>3</v>
      </c>
      <c r="I446" s="11">
        <f>IFERROR(__xludf.DUMMYFUNCTION("""COMPUTED_VALUE"""),1148.0)</f>
        <v>1148</v>
      </c>
      <c r="J446" s="9" t="str">
        <f>IFERROR(__xludf.DUMMYFUNCTION("""COMPUTED_VALUE"""),"Multiple Stock Locations")</f>
        <v>Multiple Stock Locations</v>
      </c>
      <c r="K446" s="8"/>
      <c r="L446" s="12"/>
      <c r="M446" s="13"/>
      <c r="N446" s="13" t="str">
        <f>IFERROR(__xludf.DUMMYFUNCTION("IF(ISBLANK(M446),"""",M446*GOOGLEFINANCE(""USDGBP""))"),"")</f>
        <v/>
      </c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</row>
    <row r="447">
      <c r="A447" s="8" t="str">
        <f>IFERROR(__xludf.DUMMYFUNCTION("""COMPUTED_VALUE"""),"108254220090101500")</f>
        <v>108254220090101500</v>
      </c>
      <c r="B447" s="9" t="str">
        <f>IFERROR(__xludf.DUMMYFUNCTION("""COMPUTED_VALUE"""),"France")</f>
        <v>France</v>
      </c>
      <c r="C447" s="9" t="str">
        <f>IFERROR(__xludf.DUMMYFUNCTION("""COMPUTED_VALUE"""),"champagne")</f>
        <v>champagne</v>
      </c>
      <c r="D447" s="9" t="str">
        <f>IFERROR(__xludf.DUMMYFUNCTION("""COMPUTED_VALUE"""),"Louis Roederer, Cristal")</f>
        <v>Louis Roederer, Cristal</v>
      </c>
      <c r="E447" s="9">
        <f>IFERROR(__xludf.DUMMYFUNCTION("""COMPUTED_VALUE"""),2009.0)</f>
        <v>2009</v>
      </c>
      <c r="F447" s="9">
        <f>IFERROR(__xludf.DUMMYFUNCTION("""COMPUTED_VALUE"""),1500.0)</f>
        <v>1500</v>
      </c>
      <c r="G447" s="9">
        <f>IFERROR(__xludf.DUMMYFUNCTION("""COMPUTED_VALUE"""),1.0)</f>
        <v>1</v>
      </c>
      <c r="H447" s="10">
        <f>IFERROR(__xludf.DUMMYFUNCTION("""COMPUTED_VALUE"""),2.0)</f>
        <v>2</v>
      </c>
      <c r="I447" s="11">
        <f>IFERROR(__xludf.DUMMYFUNCTION("""COMPUTED_VALUE"""),474.0)</f>
        <v>474</v>
      </c>
      <c r="J447" s="9" t="str">
        <f>IFERROR(__xludf.DUMMYFUNCTION("""COMPUTED_VALUE"""),"Multiple Stock Locations")</f>
        <v>Multiple Stock Locations</v>
      </c>
      <c r="K447" s="8"/>
      <c r="L447" s="12"/>
      <c r="M447" s="13"/>
      <c r="N447" s="13" t="str">
        <f>IFERROR(__xludf.DUMMYFUNCTION("IF(ISBLANK(M447),"""",M447*GOOGLEFINANCE(""USDGBP""))"),"")</f>
        <v/>
      </c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</row>
    <row r="448">
      <c r="A448" s="8" t="str">
        <f>IFERROR(__xludf.DUMMYFUNCTION("""COMPUTED_VALUE"""),"108254220120600750")</f>
        <v>108254220120600750</v>
      </c>
      <c r="B448" s="9" t="str">
        <f>IFERROR(__xludf.DUMMYFUNCTION("""COMPUTED_VALUE"""),"France")</f>
        <v>France</v>
      </c>
      <c r="C448" s="9" t="str">
        <f>IFERROR(__xludf.DUMMYFUNCTION("""COMPUTED_VALUE"""),"champagne")</f>
        <v>champagne</v>
      </c>
      <c r="D448" s="9" t="str">
        <f>IFERROR(__xludf.DUMMYFUNCTION("""COMPUTED_VALUE"""),"Louis Roederer, Cristal")</f>
        <v>Louis Roederer, Cristal</v>
      </c>
      <c r="E448" s="9">
        <f>IFERROR(__xludf.DUMMYFUNCTION("""COMPUTED_VALUE"""),2012.0)</f>
        <v>2012</v>
      </c>
      <c r="F448" s="9">
        <f>IFERROR(__xludf.DUMMYFUNCTION("""COMPUTED_VALUE"""),750.0)</f>
        <v>750</v>
      </c>
      <c r="G448" s="9">
        <f>IFERROR(__xludf.DUMMYFUNCTION("""COMPUTED_VALUE"""),6.0)</f>
        <v>6</v>
      </c>
      <c r="H448" s="10">
        <f>IFERROR(__xludf.DUMMYFUNCTION("""COMPUTED_VALUE"""),13.0)</f>
        <v>13</v>
      </c>
      <c r="I448" s="11">
        <f>IFERROR(__xludf.DUMMYFUNCTION("""COMPUTED_VALUE"""),1209.0)</f>
        <v>1209</v>
      </c>
      <c r="J448" s="9" t="str">
        <f>IFERROR(__xludf.DUMMYFUNCTION("""COMPUTED_VALUE"""),"Multiple Stock Locations")</f>
        <v>Multiple Stock Locations</v>
      </c>
      <c r="K448" s="8"/>
      <c r="L448" s="12"/>
      <c r="M448" s="13"/>
      <c r="N448" s="13" t="str">
        <f>IFERROR(__xludf.DUMMYFUNCTION("IF(ISBLANK(M448),"""",M448*GOOGLEFINANCE(""USDGBP""))"),"")</f>
        <v/>
      </c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</row>
    <row r="449">
      <c r="A449" s="8" t="str">
        <f>IFERROR(__xludf.DUMMYFUNCTION("""COMPUTED_VALUE"""),"108254220130600750")</f>
        <v>108254220130600750</v>
      </c>
      <c r="B449" s="9" t="str">
        <f>IFERROR(__xludf.DUMMYFUNCTION("""COMPUTED_VALUE"""),"France")</f>
        <v>France</v>
      </c>
      <c r="C449" s="9" t="str">
        <f>IFERROR(__xludf.DUMMYFUNCTION("""COMPUTED_VALUE"""),"champagne")</f>
        <v>champagne</v>
      </c>
      <c r="D449" s="9" t="str">
        <f>IFERROR(__xludf.DUMMYFUNCTION("""COMPUTED_VALUE"""),"Louis Roederer, Cristal")</f>
        <v>Louis Roederer, Cristal</v>
      </c>
      <c r="E449" s="9">
        <f>IFERROR(__xludf.DUMMYFUNCTION("""COMPUTED_VALUE"""),2013.0)</f>
        <v>2013</v>
      </c>
      <c r="F449" s="9">
        <f>IFERROR(__xludf.DUMMYFUNCTION("""COMPUTED_VALUE"""),750.0)</f>
        <v>750</v>
      </c>
      <c r="G449" s="9">
        <f>IFERROR(__xludf.DUMMYFUNCTION("""COMPUTED_VALUE"""),6.0)</f>
        <v>6</v>
      </c>
      <c r="H449" s="10">
        <f>IFERROR(__xludf.DUMMYFUNCTION("""COMPUTED_VALUE"""),26.0)</f>
        <v>26</v>
      </c>
      <c r="I449" s="11">
        <f>IFERROR(__xludf.DUMMYFUNCTION("""COMPUTED_VALUE"""),1268.0)</f>
        <v>1268</v>
      </c>
      <c r="J449" s="9" t="str">
        <f>IFERROR(__xludf.DUMMYFUNCTION("""COMPUTED_VALUE"""),"Multiple Stock Locations")</f>
        <v>Multiple Stock Locations</v>
      </c>
      <c r="K449" s="8"/>
      <c r="L449" s="12"/>
      <c r="M449" s="13"/>
      <c r="N449" s="13" t="str">
        <f>IFERROR(__xludf.DUMMYFUNCTION("IF(ISBLANK(M449),"""",M449*GOOGLEFINANCE(""USDGBP""))"),"")</f>
        <v/>
      </c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</row>
    <row r="450">
      <c r="A450" s="8" t="str">
        <f>IFERROR(__xludf.DUMMYFUNCTION("""COMPUTED_VALUE"""),"108254220140600750")</f>
        <v>108254220140600750</v>
      </c>
      <c r="B450" s="9" t="str">
        <f>IFERROR(__xludf.DUMMYFUNCTION("""COMPUTED_VALUE"""),"France")</f>
        <v>France</v>
      </c>
      <c r="C450" s="9" t="str">
        <f>IFERROR(__xludf.DUMMYFUNCTION("""COMPUTED_VALUE"""),"champagne")</f>
        <v>champagne</v>
      </c>
      <c r="D450" s="9" t="str">
        <f>IFERROR(__xludf.DUMMYFUNCTION("""COMPUTED_VALUE"""),"Louis Roederer, Cristal")</f>
        <v>Louis Roederer, Cristal</v>
      </c>
      <c r="E450" s="9">
        <f>IFERROR(__xludf.DUMMYFUNCTION("""COMPUTED_VALUE"""),2014.0)</f>
        <v>2014</v>
      </c>
      <c r="F450" s="9">
        <f>IFERROR(__xludf.DUMMYFUNCTION("""COMPUTED_VALUE"""),750.0)</f>
        <v>750</v>
      </c>
      <c r="G450" s="9">
        <f>IFERROR(__xludf.DUMMYFUNCTION("""COMPUTED_VALUE"""),6.0)</f>
        <v>6</v>
      </c>
      <c r="H450" s="10">
        <f>IFERROR(__xludf.DUMMYFUNCTION("""COMPUTED_VALUE"""),4.0)</f>
        <v>4</v>
      </c>
      <c r="I450" s="11">
        <f>IFERROR(__xludf.DUMMYFUNCTION("""COMPUTED_VALUE"""),1101.0)</f>
        <v>1101</v>
      </c>
      <c r="J450" s="9" t="str">
        <f>IFERROR(__xludf.DUMMYFUNCTION("""COMPUTED_VALUE"""),"Multiple Stock Locations")</f>
        <v>Multiple Stock Locations</v>
      </c>
      <c r="K450" s="8"/>
      <c r="L450" s="12"/>
      <c r="M450" s="13"/>
      <c r="N450" s="13" t="str">
        <f>IFERROR(__xludf.DUMMYFUNCTION("IF(ISBLANK(M450),"""",M450*GOOGLEFINANCE(""USDGBP""))"),"")</f>
        <v/>
      </c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</row>
    <row r="451">
      <c r="A451" s="8" t="str">
        <f>IFERROR(__xludf.DUMMYFUNCTION("""COMPUTED_VALUE"""),"131177020120600750")</f>
        <v>131177020120600750</v>
      </c>
      <c r="B451" s="9" t="str">
        <f>IFERROR(__xludf.DUMMYFUNCTION("""COMPUTED_VALUE"""),"France")</f>
        <v>France</v>
      </c>
      <c r="C451" s="9" t="str">
        <f>IFERROR(__xludf.DUMMYFUNCTION("""COMPUTED_VALUE"""),"champagne")</f>
        <v>champagne</v>
      </c>
      <c r="D451" s="9" t="str">
        <f>IFERROR(__xludf.DUMMYFUNCTION("""COMPUTED_VALUE"""),"Philipponnat, Clos des Goisses")</f>
        <v>Philipponnat, Clos des Goisses</v>
      </c>
      <c r="E451" s="9">
        <f>IFERROR(__xludf.DUMMYFUNCTION("""COMPUTED_VALUE"""),2012.0)</f>
        <v>2012</v>
      </c>
      <c r="F451" s="9">
        <f>IFERROR(__xludf.DUMMYFUNCTION("""COMPUTED_VALUE"""),750.0)</f>
        <v>750</v>
      </c>
      <c r="G451" s="9">
        <f>IFERROR(__xludf.DUMMYFUNCTION("""COMPUTED_VALUE"""),6.0)</f>
        <v>6</v>
      </c>
      <c r="H451" s="10">
        <f>IFERROR(__xludf.DUMMYFUNCTION("""COMPUTED_VALUE"""),1.0)</f>
        <v>1</v>
      </c>
      <c r="I451" s="11">
        <f>IFERROR(__xludf.DUMMYFUNCTION("""COMPUTED_VALUE"""),1246.0)</f>
        <v>1246</v>
      </c>
      <c r="J451" s="9" t="str">
        <f>IFERROR(__xludf.DUMMYFUNCTION("""COMPUTED_VALUE"""),"Multiple Stock Locations")</f>
        <v>Multiple Stock Locations</v>
      </c>
      <c r="K451" s="8"/>
      <c r="L451" s="12"/>
      <c r="M451" s="13"/>
      <c r="N451" s="13" t="str">
        <f>IFERROR(__xludf.DUMMYFUNCTION("IF(ISBLANK(M451),"""",M451*GOOGLEFINANCE(""USDGBP""))"),"")</f>
        <v/>
      </c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</row>
    <row r="452">
      <c r="A452" s="8" t="str">
        <f>IFERROR(__xludf.DUMMYFUNCTION("""COMPUTED_VALUE"""),"108286120120600750")</f>
        <v>108286120120600750</v>
      </c>
      <c r="B452" s="9" t="str">
        <f>IFERROR(__xludf.DUMMYFUNCTION("""COMPUTED_VALUE"""),"France")</f>
        <v>France</v>
      </c>
      <c r="C452" s="9" t="str">
        <f>IFERROR(__xludf.DUMMYFUNCTION("""COMPUTED_VALUE"""),"champagne")</f>
        <v>champagne</v>
      </c>
      <c r="D452" s="9" t="str">
        <f>IFERROR(__xludf.DUMMYFUNCTION("""COMPUTED_VALUE"""),"Pol Roger, Sir Winston Churchill")</f>
        <v>Pol Roger, Sir Winston Churchill</v>
      </c>
      <c r="E452" s="9">
        <f>IFERROR(__xludf.DUMMYFUNCTION("""COMPUTED_VALUE"""),2012.0)</f>
        <v>2012</v>
      </c>
      <c r="F452" s="9">
        <f>IFERROR(__xludf.DUMMYFUNCTION("""COMPUTED_VALUE"""),750.0)</f>
        <v>750</v>
      </c>
      <c r="G452" s="9">
        <f>IFERROR(__xludf.DUMMYFUNCTION("""COMPUTED_VALUE"""),6.0)</f>
        <v>6</v>
      </c>
      <c r="H452" s="10">
        <f>IFERROR(__xludf.DUMMYFUNCTION("""COMPUTED_VALUE"""),12.0)</f>
        <v>12</v>
      </c>
      <c r="I452" s="11">
        <f>IFERROR(__xludf.DUMMYFUNCTION("""COMPUTED_VALUE"""),1039.0)</f>
        <v>1039</v>
      </c>
      <c r="J452" s="9" t="str">
        <f>IFERROR(__xludf.DUMMYFUNCTION("""COMPUTED_VALUE"""),"Multiple Stock Locations")</f>
        <v>Multiple Stock Locations</v>
      </c>
      <c r="K452" s="8"/>
      <c r="L452" s="12"/>
      <c r="M452" s="13"/>
      <c r="N452" s="13" t="str">
        <f>IFERROR(__xludf.DUMMYFUNCTION("IF(ISBLANK(M452),"""",M452*GOOGLEFINANCE(""USDGBP""))"),"")</f>
        <v/>
      </c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</row>
    <row r="453">
      <c r="A453" s="8" t="str">
        <f>IFERROR(__xludf.DUMMYFUNCTION("""COMPUTED_VALUE"""),"108286120150600750")</f>
        <v>108286120150600750</v>
      </c>
      <c r="B453" s="9" t="str">
        <f>IFERROR(__xludf.DUMMYFUNCTION("""COMPUTED_VALUE"""),"France")</f>
        <v>France</v>
      </c>
      <c r="C453" s="9" t="str">
        <f>IFERROR(__xludf.DUMMYFUNCTION("""COMPUTED_VALUE"""),"champagne")</f>
        <v>champagne</v>
      </c>
      <c r="D453" s="9" t="str">
        <f>IFERROR(__xludf.DUMMYFUNCTION("""COMPUTED_VALUE"""),"Pol Roger, Sir Winston Churchill")</f>
        <v>Pol Roger, Sir Winston Churchill</v>
      </c>
      <c r="E453" s="9">
        <f>IFERROR(__xludf.DUMMYFUNCTION("""COMPUTED_VALUE"""),2015.0)</f>
        <v>2015</v>
      </c>
      <c r="F453" s="9">
        <f>IFERROR(__xludf.DUMMYFUNCTION("""COMPUTED_VALUE"""),750.0)</f>
        <v>750</v>
      </c>
      <c r="G453" s="9">
        <f>IFERROR(__xludf.DUMMYFUNCTION("""COMPUTED_VALUE"""),6.0)</f>
        <v>6</v>
      </c>
      <c r="H453" s="10">
        <f>IFERROR(__xludf.DUMMYFUNCTION("""COMPUTED_VALUE"""),4.0)</f>
        <v>4</v>
      </c>
      <c r="I453" s="11">
        <f>IFERROR(__xludf.DUMMYFUNCTION("""COMPUTED_VALUE"""),968.0)</f>
        <v>968</v>
      </c>
      <c r="J453" s="9" t="str">
        <f>IFERROR(__xludf.DUMMYFUNCTION("""COMPUTED_VALUE"""),"Multiple Stock Locations")</f>
        <v>Multiple Stock Locations</v>
      </c>
      <c r="K453" s="8"/>
      <c r="L453" s="12"/>
      <c r="M453" s="13"/>
      <c r="N453" s="13" t="str">
        <f>IFERROR(__xludf.DUMMYFUNCTION("IF(ISBLANK(M453),"""",M453*GOOGLEFINANCE(""USDGBP""))"),"")</f>
        <v/>
      </c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</row>
    <row r="454">
      <c r="A454" s="8" t="str">
        <f>IFERROR(__xludf.DUMMYFUNCTION("""COMPUTED_VALUE"""),"108279920060300750")</f>
        <v>108279920060300750</v>
      </c>
      <c r="B454" s="9" t="str">
        <f>IFERROR(__xludf.DUMMYFUNCTION("""COMPUTED_VALUE"""),"France")</f>
        <v>France</v>
      </c>
      <c r="C454" s="9" t="str">
        <f>IFERROR(__xludf.DUMMYFUNCTION("""COMPUTED_VALUE"""),"champagne")</f>
        <v>champagne</v>
      </c>
      <c r="D454" s="9" t="str">
        <f>IFERROR(__xludf.DUMMYFUNCTION("""COMPUTED_VALUE"""),"Rare, Champagne")</f>
        <v>Rare, Champagne</v>
      </c>
      <c r="E454" s="9">
        <f>IFERROR(__xludf.DUMMYFUNCTION("""COMPUTED_VALUE"""),2006.0)</f>
        <v>2006</v>
      </c>
      <c r="F454" s="9">
        <f>IFERROR(__xludf.DUMMYFUNCTION("""COMPUTED_VALUE"""),750.0)</f>
        <v>750</v>
      </c>
      <c r="G454" s="9">
        <f>IFERROR(__xludf.DUMMYFUNCTION("""COMPUTED_VALUE"""),3.0)</f>
        <v>3</v>
      </c>
      <c r="H454" s="10">
        <f>IFERROR(__xludf.DUMMYFUNCTION("""COMPUTED_VALUE"""),1.0)</f>
        <v>1</v>
      </c>
      <c r="I454" s="11">
        <f>IFERROR(__xludf.DUMMYFUNCTION("""COMPUTED_VALUE"""),414.0)</f>
        <v>414</v>
      </c>
      <c r="J454" s="9" t="str">
        <f>IFERROR(__xludf.DUMMYFUNCTION("""COMPUTED_VALUE"""),"Multiple Stock Locations")</f>
        <v>Multiple Stock Locations</v>
      </c>
      <c r="K454" s="8"/>
      <c r="L454" s="12"/>
      <c r="M454" s="13"/>
      <c r="N454" s="13" t="str">
        <f>IFERROR(__xludf.DUMMYFUNCTION("IF(ISBLANK(M454),"""",M454*GOOGLEFINANCE(""USDGBP""))"),"")</f>
        <v/>
      </c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</row>
    <row r="455">
      <c r="A455" s="8" t="str">
        <f>IFERROR(__xludf.DUMMYFUNCTION("""COMPUTED_VALUE"""),"108279920080300750")</f>
        <v>108279920080300750</v>
      </c>
      <c r="B455" s="9" t="str">
        <f>IFERROR(__xludf.DUMMYFUNCTION("""COMPUTED_VALUE"""),"France")</f>
        <v>France</v>
      </c>
      <c r="C455" s="9" t="str">
        <f>IFERROR(__xludf.DUMMYFUNCTION("""COMPUTED_VALUE"""),"champagne")</f>
        <v>champagne</v>
      </c>
      <c r="D455" s="9" t="str">
        <f>IFERROR(__xludf.DUMMYFUNCTION("""COMPUTED_VALUE"""),"Rare, Champagne")</f>
        <v>Rare, Champagne</v>
      </c>
      <c r="E455" s="9">
        <f>IFERROR(__xludf.DUMMYFUNCTION("""COMPUTED_VALUE"""),2008.0)</f>
        <v>2008</v>
      </c>
      <c r="F455" s="9">
        <f>IFERROR(__xludf.DUMMYFUNCTION("""COMPUTED_VALUE"""),750.0)</f>
        <v>750</v>
      </c>
      <c r="G455" s="9">
        <f>IFERROR(__xludf.DUMMYFUNCTION("""COMPUTED_VALUE"""),3.0)</f>
        <v>3</v>
      </c>
      <c r="H455" s="10">
        <f>IFERROR(__xludf.DUMMYFUNCTION("""COMPUTED_VALUE"""),39.0)</f>
        <v>39</v>
      </c>
      <c r="I455" s="11">
        <f>IFERROR(__xludf.DUMMYFUNCTION("""COMPUTED_VALUE"""),367.0)</f>
        <v>367</v>
      </c>
      <c r="J455" s="9" t="str">
        <f>IFERROR(__xludf.DUMMYFUNCTION("""COMPUTED_VALUE"""),"Multiple Stock Locations")</f>
        <v>Multiple Stock Locations</v>
      </c>
      <c r="K455" s="8"/>
      <c r="L455" s="12"/>
      <c r="M455" s="13"/>
      <c r="N455" s="13" t="str">
        <f>IFERROR(__xludf.DUMMYFUNCTION("IF(ISBLANK(M455),"""",M455*GOOGLEFINANCE(""USDGBP""))"),"")</f>
        <v/>
      </c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</row>
    <row r="456">
      <c r="A456" s="8" t="str">
        <f>IFERROR(__xludf.DUMMYFUNCTION("""COMPUTED_VALUE"""),"180762620120300750")</f>
        <v>180762620120300750</v>
      </c>
      <c r="B456" s="9" t="str">
        <f>IFERROR(__xludf.DUMMYFUNCTION("""COMPUTED_VALUE"""),"France")</f>
        <v>France</v>
      </c>
      <c r="C456" s="9" t="str">
        <f>IFERROR(__xludf.DUMMYFUNCTION("""COMPUTED_VALUE"""),"champagne")</f>
        <v>champagne</v>
      </c>
      <c r="D456" s="9" t="str">
        <f>IFERROR(__xludf.DUMMYFUNCTION("""COMPUTED_VALUE"""),"Salon, Le Mesnil-sur-Oger Grand Cru")</f>
        <v>Salon, Le Mesnil-sur-Oger Grand Cru</v>
      </c>
      <c r="E456" s="9">
        <f>IFERROR(__xludf.DUMMYFUNCTION("""COMPUTED_VALUE"""),2012.0)</f>
        <v>2012</v>
      </c>
      <c r="F456" s="9">
        <f>IFERROR(__xludf.DUMMYFUNCTION("""COMPUTED_VALUE"""),750.0)</f>
        <v>750</v>
      </c>
      <c r="G456" s="9">
        <f>IFERROR(__xludf.DUMMYFUNCTION("""COMPUTED_VALUE"""),3.0)</f>
        <v>3</v>
      </c>
      <c r="H456" s="10">
        <f>IFERROR(__xludf.DUMMYFUNCTION("""COMPUTED_VALUE"""),1.0)</f>
        <v>1</v>
      </c>
      <c r="I456" s="11">
        <f>IFERROR(__xludf.DUMMYFUNCTION("""COMPUTED_VALUE"""),2554.0)</f>
        <v>2554</v>
      </c>
      <c r="J456" s="9" t="str">
        <f>IFERROR(__xludf.DUMMYFUNCTION("""COMPUTED_VALUE"""),"Multiple Stock Locations")</f>
        <v>Multiple Stock Locations</v>
      </c>
      <c r="K456" s="8"/>
      <c r="L456" s="12"/>
      <c r="M456" s="13"/>
      <c r="N456" s="13" t="str">
        <f>IFERROR(__xludf.DUMMYFUNCTION("IF(ISBLANK(M456),"""",M456*GOOGLEFINANCE(""USDGBP""))"),"")</f>
        <v/>
      </c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</row>
    <row r="457">
      <c r="A457" s="8" t="str">
        <f>IFERROR(__xludf.DUMMYFUNCTION("""COMPUTED_VALUE"""),"131437720070600750")</f>
        <v>131437720070600750</v>
      </c>
      <c r="B457" s="9" t="str">
        <f>IFERROR(__xludf.DUMMYFUNCTION("""COMPUTED_VALUE"""),"France")</f>
        <v>France</v>
      </c>
      <c r="C457" s="9" t="str">
        <f>IFERROR(__xludf.DUMMYFUNCTION("""COMPUTED_VALUE"""),"champagne")</f>
        <v>champagne</v>
      </c>
      <c r="D457" s="9" t="str">
        <f>IFERROR(__xludf.DUMMYFUNCTION("""COMPUTED_VALUE"""),"Taittinger, Comtes de Champagne Blanc de Blancs")</f>
        <v>Taittinger, Comtes de Champagne Blanc de Blancs</v>
      </c>
      <c r="E457" s="9">
        <f>IFERROR(__xludf.DUMMYFUNCTION("""COMPUTED_VALUE"""),2007.0)</f>
        <v>2007</v>
      </c>
      <c r="F457" s="9">
        <f>IFERROR(__xludf.DUMMYFUNCTION("""COMPUTED_VALUE"""),750.0)</f>
        <v>750</v>
      </c>
      <c r="G457" s="9">
        <f>IFERROR(__xludf.DUMMYFUNCTION("""COMPUTED_VALUE"""),6.0)</f>
        <v>6</v>
      </c>
      <c r="H457" s="10">
        <f>IFERROR(__xludf.DUMMYFUNCTION("""COMPUTED_VALUE"""),13.0)</f>
        <v>13</v>
      </c>
      <c r="I457" s="11">
        <f>IFERROR(__xludf.DUMMYFUNCTION("""COMPUTED_VALUE"""),678.0)</f>
        <v>678</v>
      </c>
      <c r="J457" s="9" t="str">
        <f>IFERROR(__xludf.DUMMYFUNCTION("""COMPUTED_VALUE"""),"Multiple Stock Locations")</f>
        <v>Multiple Stock Locations</v>
      </c>
      <c r="K457" s="8"/>
      <c r="L457" s="12"/>
      <c r="M457" s="13"/>
      <c r="N457" s="13" t="str">
        <f>IFERROR(__xludf.DUMMYFUNCTION("IF(ISBLANK(M457),"""",M457*GOOGLEFINANCE(""USDGBP""))"),"")</f>
        <v/>
      </c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</row>
    <row r="458">
      <c r="A458" s="8" t="str">
        <f>IFERROR(__xludf.DUMMYFUNCTION("""COMPUTED_VALUE"""),"131437720080600750")</f>
        <v>131437720080600750</v>
      </c>
      <c r="B458" s="9" t="str">
        <f>IFERROR(__xludf.DUMMYFUNCTION("""COMPUTED_VALUE"""),"France")</f>
        <v>France</v>
      </c>
      <c r="C458" s="9" t="str">
        <f>IFERROR(__xludf.DUMMYFUNCTION("""COMPUTED_VALUE"""),"champagne")</f>
        <v>champagne</v>
      </c>
      <c r="D458" s="9" t="str">
        <f>IFERROR(__xludf.DUMMYFUNCTION("""COMPUTED_VALUE"""),"Taittinger, Comtes de Champagne Blanc de Blancs")</f>
        <v>Taittinger, Comtes de Champagne Blanc de Blancs</v>
      </c>
      <c r="E458" s="9">
        <f>IFERROR(__xludf.DUMMYFUNCTION("""COMPUTED_VALUE"""),2008.0)</f>
        <v>2008</v>
      </c>
      <c r="F458" s="9">
        <f>IFERROR(__xludf.DUMMYFUNCTION("""COMPUTED_VALUE"""),750.0)</f>
        <v>750</v>
      </c>
      <c r="G458" s="9">
        <f>IFERROR(__xludf.DUMMYFUNCTION("""COMPUTED_VALUE"""),6.0)</f>
        <v>6</v>
      </c>
      <c r="H458" s="10">
        <f>IFERROR(__xludf.DUMMYFUNCTION("""COMPUTED_VALUE"""),3.0)</f>
        <v>3</v>
      </c>
      <c r="I458" s="11">
        <f>IFERROR(__xludf.DUMMYFUNCTION("""COMPUTED_VALUE"""),1009.0)</f>
        <v>1009</v>
      </c>
      <c r="J458" s="9" t="str">
        <f>IFERROR(__xludf.DUMMYFUNCTION("""COMPUTED_VALUE"""),"Multiple Stock Locations")</f>
        <v>Multiple Stock Locations</v>
      </c>
      <c r="K458" s="8"/>
      <c r="L458" s="12"/>
      <c r="M458" s="13"/>
      <c r="N458" s="13" t="str">
        <f>IFERROR(__xludf.DUMMYFUNCTION("IF(ISBLANK(M458),"""",M458*GOOGLEFINANCE(""USDGBP""))"),"")</f>
        <v/>
      </c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</row>
    <row r="459">
      <c r="A459" s="8" t="str">
        <f>IFERROR(__xludf.DUMMYFUNCTION("""COMPUTED_VALUE"""),"108309920150600750")</f>
        <v>108309920150600750</v>
      </c>
      <c r="B459" s="9" t="str">
        <f>IFERROR(__xludf.DUMMYFUNCTION("""COMPUTED_VALUE"""),"France")</f>
        <v>France</v>
      </c>
      <c r="C459" s="9" t="str">
        <f>IFERROR(__xludf.DUMMYFUNCTION("""COMPUTED_VALUE"""),"champagne")</f>
        <v>champagne</v>
      </c>
      <c r="D459" s="9" t="str">
        <f>IFERROR(__xludf.DUMMYFUNCTION("""COMPUTED_VALUE"""),"Veuve Clicquot, La Grande Dame")</f>
        <v>Veuve Clicquot, La Grande Dame</v>
      </c>
      <c r="E459" s="9">
        <f>IFERROR(__xludf.DUMMYFUNCTION("""COMPUTED_VALUE"""),2015.0)</f>
        <v>2015</v>
      </c>
      <c r="F459" s="9">
        <f>IFERROR(__xludf.DUMMYFUNCTION("""COMPUTED_VALUE"""),750.0)</f>
        <v>750</v>
      </c>
      <c r="G459" s="9">
        <f>IFERROR(__xludf.DUMMYFUNCTION("""COMPUTED_VALUE"""),6.0)</f>
        <v>6</v>
      </c>
      <c r="H459" s="10">
        <f>IFERROR(__xludf.DUMMYFUNCTION("""COMPUTED_VALUE"""),5.0)</f>
        <v>5</v>
      </c>
      <c r="I459" s="11">
        <f>IFERROR(__xludf.DUMMYFUNCTION("""COMPUTED_VALUE"""),761.0)</f>
        <v>761</v>
      </c>
      <c r="J459" s="9" t="str">
        <f>IFERROR(__xludf.DUMMYFUNCTION("""COMPUTED_VALUE"""),"Multiple Stock Locations")</f>
        <v>Multiple Stock Locations</v>
      </c>
      <c r="K459" s="8"/>
      <c r="L459" s="12"/>
      <c r="M459" s="13"/>
      <c r="N459" s="13" t="str">
        <f>IFERROR(__xludf.DUMMYFUNCTION("IF(ISBLANK(M459),"""",M459*GOOGLEFINANCE(""USDGBP""))"),"")</f>
        <v/>
      </c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</row>
    <row r="460">
      <c r="A460" s="8" t="str">
        <f>IFERROR(__xludf.DUMMYFUNCTION("""COMPUTED_VALUE"""),"110124520170600750")</f>
        <v>110124520170600750</v>
      </c>
      <c r="B460" s="9" t="str">
        <f>IFERROR(__xludf.DUMMYFUNCTION("""COMPUTED_VALUE"""),"Italy")</f>
        <v>Italy</v>
      </c>
      <c r="C460" s="9" t="str">
        <f>IFERROR(__xludf.DUMMYFUNCTION("""COMPUTED_VALUE"""),"piedmont")</f>
        <v>piedmont</v>
      </c>
      <c r="D460" s="9" t="str">
        <f>IFERROR(__xludf.DUMMYFUNCTION("""COMPUTED_VALUE"""),"Bartolo Mascarello, Barolo")</f>
        <v>Bartolo Mascarello, Barolo</v>
      </c>
      <c r="E460" s="9">
        <f>IFERROR(__xludf.DUMMYFUNCTION("""COMPUTED_VALUE"""),2017.0)</f>
        <v>2017</v>
      </c>
      <c r="F460" s="9">
        <f>IFERROR(__xludf.DUMMYFUNCTION("""COMPUTED_VALUE"""),750.0)</f>
        <v>750</v>
      </c>
      <c r="G460" s="9">
        <f>IFERROR(__xludf.DUMMYFUNCTION("""COMPUTED_VALUE"""),6.0)</f>
        <v>6</v>
      </c>
      <c r="H460" s="10">
        <f>IFERROR(__xludf.DUMMYFUNCTION("""COMPUTED_VALUE"""),6.0)</f>
        <v>6</v>
      </c>
      <c r="I460" s="11">
        <f>IFERROR(__xludf.DUMMYFUNCTION("""COMPUTED_VALUE"""),1173.0)</f>
        <v>1173</v>
      </c>
      <c r="J460" s="9" t="str">
        <f>IFERROR(__xludf.DUMMYFUNCTION("""COMPUTED_VALUE"""),"Multiple Stock Locations")</f>
        <v>Multiple Stock Locations</v>
      </c>
      <c r="K460" s="8"/>
      <c r="L460" s="12"/>
      <c r="M460" s="13"/>
      <c r="N460" s="13" t="str">
        <f>IFERROR(__xludf.DUMMYFUNCTION("IF(ISBLANK(M460),"""",M460*GOOGLEFINANCE(""USDGBP""))"),"")</f>
        <v/>
      </c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</row>
    <row r="461">
      <c r="A461" s="8" t="str">
        <f>IFERROR(__xludf.DUMMYFUNCTION("""COMPUTED_VALUE"""),"109985220180600750")</f>
        <v>109985220180600750</v>
      </c>
      <c r="B461" s="9" t="str">
        <f>IFERROR(__xludf.DUMMYFUNCTION("""COMPUTED_VALUE"""),"Italy")</f>
        <v>Italy</v>
      </c>
      <c r="C461" s="9" t="str">
        <f>IFERROR(__xludf.DUMMYFUNCTION("""COMPUTED_VALUE"""),"piedmont")</f>
        <v>piedmont</v>
      </c>
      <c r="D461" s="9" t="str">
        <f>IFERROR(__xludf.DUMMYFUNCTION("""COMPUTED_VALUE"""),"Bruno Giacosa, Barbaresco")</f>
        <v>Bruno Giacosa, Barbaresco</v>
      </c>
      <c r="E461" s="9">
        <f>IFERROR(__xludf.DUMMYFUNCTION("""COMPUTED_VALUE"""),2018.0)</f>
        <v>2018</v>
      </c>
      <c r="F461" s="9">
        <f>IFERROR(__xludf.DUMMYFUNCTION("""COMPUTED_VALUE"""),750.0)</f>
        <v>750</v>
      </c>
      <c r="G461" s="9">
        <f>IFERROR(__xludf.DUMMYFUNCTION("""COMPUTED_VALUE"""),6.0)</f>
        <v>6</v>
      </c>
      <c r="H461" s="10">
        <f>IFERROR(__xludf.DUMMYFUNCTION("""COMPUTED_VALUE"""),1.0)</f>
        <v>1</v>
      </c>
      <c r="I461" s="11">
        <f>IFERROR(__xludf.DUMMYFUNCTION("""COMPUTED_VALUE"""),667.0)</f>
        <v>667</v>
      </c>
      <c r="J461" s="9" t="str">
        <f>IFERROR(__xludf.DUMMYFUNCTION("""COMPUTED_VALUE"""),"Multiple Stock Locations")</f>
        <v>Multiple Stock Locations</v>
      </c>
      <c r="K461" s="8"/>
      <c r="L461" s="12"/>
      <c r="M461" s="13"/>
      <c r="N461" s="13" t="str">
        <f>IFERROR(__xludf.DUMMYFUNCTION("IF(ISBLANK(M461),"""",M461*GOOGLEFINANCE(""USDGBP""))"),"")</f>
        <v/>
      </c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</row>
    <row r="462">
      <c r="A462" s="8" t="str">
        <f>IFERROR(__xludf.DUMMYFUNCTION("""COMPUTED_VALUE"""),"109986520190600750")</f>
        <v>109986520190600750</v>
      </c>
      <c r="B462" s="9" t="str">
        <f>IFERROR(__xludf.DUMMYFUNCTION("""COMPUTED_VALUE"""),"Italy")</f>
        <v>Italy</v>
      </c>
      <c r="C462" s="9" t="str">
        <f>IFERROR(__xludf.DUMMYFUNCTION("""COMPUTED_VALUE"""),"piedmont")</f>
        <v>piedmont</v>
      </c>
      <c r="D462" s="9" t="str">
        <f>IFERROR(__xludf.DUMMYFUNCTION("""COMPUTED_VALUE"""),"Bruno Giacosa, Barbaresco, Asili")</f>
        <v>Bruno Giacosa, Barbaresco, Asili</v>
      </c>
      <c r="E462" s="9">
        <f>IFERROR(__xludf.DUMMYFUNCTION("""COMPUTED_VALUE"""),2019.0)</f>
        <v>2019</v>
      </c>
      <c r="F462" s="9">
        <f>IFERROR(__xludf.DUMMYFUNCTION("""COMPUTED_VALUE"""),750.0)</f>
        <v>750</v>
      </c>
      <c r="G462" s="9">
        <f>IFERROR(__xludf.DUMMYFUNCTION("""COMPUTED_VALUE"""),6.0)</f>
        <v>6</v>
      </c>
      <c r="H462" s="10">
        <f>IFERROR(__xludf.DUMMYFUNCTION("""COMPUTED_VALUE"""),1.0)</f>
        <v>1</v>
      </c>
      <c r="I462" s="11">
        <f>IFERROR(__xludf.DUMMYFUNCTION("""COMPUTED_VALUE"""),856.0)</f>
        <v>856</v>
      </c>
      <c r="J462" s="9" t="str">
        <f>IFERROR(__xludf.DUMMYFUNCTION("""COMPUTED_VALUE"""),"Multiple Stock Locations")</f>
        <v>Multiple Stock Locations</v>
      </c>
      <c r="K462" s="8"/>
      <c r="L462" s="12"/>
      <c r="M462" s="13"/>
      <c r="N462" s="13" t="str">
        <f>IFERROR(__xludf.DUMMYFUNCTION("IF(ISBLANK(M462),"""",M462*GOOGLEFINANCE(""USDGBP""))"),"")</f>
        <v/>
      </c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</row>
    <row r="463">
      <c r="A463" s="8" t="str">
        <f>IFERROR(__xludf.DUMMYFUNCTION("""COMPUTED_VALUE"""),"131455320160600750")</f>
        <v>131455320160600750</v>
      </c>
      <c r="B463" s="9" t="str">
        <f>IFERROR(__xludf.DUMMYFUNCTION("""COMPUTED_VALUE"""),"Italy")</f>
        <v>Italy</v>
      </c>
      <c r="C463" s="9" t="str">
        <f>IFERROR(__xludf.DUMMYFUNCTION("""COMPUTED_VALUE"""),"piedmont")</f>
        <v>piedmont</v>
      </c>
      <c r="D463" s="9" t="str">
        <f>IFERROR(__xludf.DUMMYFUNCTION("""COMPUTED_VALUE"""),"Ceretto, Barolo, Bricco Rocche")</f>
        <v>Ceretto, Barolo, Bricco Rocche</v>
      </c>
      <c r="E463" s="9">
        <f>IFERROR(__xludf.DUMMYFUNCTION("""COMPUTED_VALUE"""),2016.0)</f>
        <v>2016</v>
      </c>
      <c r="F463" s="9">
        <f>IFERROR(__xludf.DUMMYFUNCTION("""COMPUTED_VALUE"""),750.0)</f>
        <v>750</v>
      </c>
      <c r="G463" s="9">
        <f>IFERROR(__xludf.DUMMYFUNCTION("""COMPUTED_VALUE"""),6.0)</f>
        <v>6</v>
      </c>
      <c r="H463" s="10">
        <f>IFERROR(__xludf.DUMMYFUNCTION("""COMPUTED_VALUE"""),9.0)</f>
        <v>9</v>
      </c>
      <c r="I463" s="11">
        <f>IFERROR(__xludf.DUMMYFUNCTION("""COMPUTED_VALUE"""),940.0)</f>
        <v>940</v>
      </c>
      <c r="J463" s="9" t="str">
        <f>IFERROR(__xludf.DUMMYFUNCTION("""COMPUTED_VALUE"""),"Multiple Stock Locations")</f>
        <v>Multiple Stock Locations</v>
      </c>
      <c r="K463" s="8"/>
      <c r="L463" s="12"/>
      <c r="M463" s="13"/>
      <c r="N463" s="13" t="str">
        <f>IFERROR(__xludf.DUMMYFUNCTION("IF(ISBLANK(M463),"""",M463*GOOGLEFINANCE(""USDGBP""))"),"")</f>
        <v/>
      </c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</row>
    <row r="464">
      <c r="A464" s="8" t="str">
        <f>IFERROR(__xludf.DUMMYFUNCTION("""COMPUTED_VALUE"""),"125491220180600750")</f>
        <v>125491220180600750</v>
      </c>
      <c r="B464" s="9" t="str">
        <f>IFERROR(__xludf.DUMMYFUNCTION("""COMPUTED_VALUE"""),"Italy")</f>
        <v>Italy</v>
      </c>
      <c r="C464" s="9" t="str">
        <f>IFERROR(__xludf.DUMMYFUNCTION("""COMPUTED_VALUE"""),"piedmont")</f>
        <v>piedmont</v>
      </c>
      <c r="D464" s="9" t="str">
        <f>IFERROR(__xludf.DUMMYFUNCTION("""COMPUTED_VALUE"""),"Comm. G.B. Burlotto, Barolo")</f>
        <v>Comm. G.B. Burlotto, Barolo</v>
      </c>
      <c r="E464" s="9">
        <f>IFERROR(__xludf.DUMMYFUNCTION("""COMPUTED_VALUE"""),2018.0)</f>
        <v>2018</v>
      </c>
      <c r="F464" s="9">
        <f>IFERROR(__xludf.DUMMYFUNCTION("""COMPUTED_VALUE"""),750.0)</f>
        <v>750</v>
      </c>
      <c r="G464" s="9">
        <f>IFERROR(__xludf.DUMMYFUNCTION("""COMPUTED_VALUE"""),6.0)</f>
        <v>6</v>
      </c>
      <c r="H464" s="10">
        <f>IFERROR(__xludf.DUMMYFUNCTION("""COMPUTED_VALUE"""),1.0)</f>
        <v>1</v>
      </c>
      <c r="I464" s="11">
        <f>IFERROR(__xludf.DUMMYFUNCTION("""COMPUTED_VALUE"""),504.0)</f>
        <v>504</v>
      </c>
      <c r="J464" s="9" t="str">
        <f>IFERROR(__xludf.DUMMYFUNCTION("""COMPUTED_VALUE"""),"Multiple Stock Locations")</f>
        <v>Multiple Stock Locations</v>
      </c>
      <c r="K464" s="8"/>
      <c r="L464" s="12"/>
      <c r="M464" s="13"/>
      <c r="N464" s="13" t="str">
        <f>IFERROR(__xludf.DUMMYFUNCTION("IF(ISBLANK(M464),"""",M464*GOOGLEFINANCE(""USDGBP""))"),"")</f>
        <v/>
      </c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</row>
    <row r="465">
      <c r="A465" s="8" t="str">
        <f>IFERROR(__xludf.DUMMYFUNCTION("""COMPUTED_VALUE"""),"127436120140600750")</f>
        <v>127436120140600750</v>
      </c>
      <c r="B465" s="9" t="str">
        <f>IFERROR(__xludf.DUMMYFUNCTION("""COMPUTED_VALUE"""),"Italy")</f>
        <v>Italy</v>
      </c>
      <c r="C465" s="9" t="str">
        <f>IFERROR(__xludf.DUMMYFUNCTION("""COMPUTED_VALUE"""),"piedmont")</f>
        <v>piedmont</v>
      </c>
      <c r="D465" s="9" t="str">
        <f>IFERROR(__xludf.DUMMYFUNCTION("""COMPUTED_VALUE"""),"Comm. G.B. Burlotto, Barolo, Monvigliero")</f>
        <v>Comm. G.B. Burlotto, Barolo, Monvigliero</v>
      </c>
      <c r="E465" s="9">
        <f>IFERROR(__xludf.DUMMYFUNCTION("""COMPUTED_VALUE"""),2014.0)</f>
        <v>2014</v>
      </c>
      <c r="F465" s="9">
        <f>IFERROR(__xludf.DUMMYFUNCTION("""COMPUTED_VALUE"""),750.0)</f>
        <v>750</v>
      </c>
      <c r="G465" s="9">
        <f>IFERROR(__xludf.DUMMYFUNCTION("""COMPUTED_VALUE"""),6.0)</f>
        <v>6</v>
      </c>
      <c r="H465" s="10">
        <f>IFERROR(__xludf.DUMMYFUNCTION("""COMPUTED_VALUE"""),1.0)</f>
        <v>1</v>
      </c>
      <c r="I465" s="11">
        <f>IFERROR(__xludf.DUMMYFUNCTION("""COMPUTED_VALUE"""),1819.0)</f>
        <v>1819</v>
      </c>
      <c r="J465" s="9" t="str">
        <f>IFERROR(__xludf.DUMMYFUNCTION("""COMPUTED_VALUE"""),"Multiple Stock Locations")</f>
        <v>Multiple Stock Locations</v>
      </c>
      <c r="K465" s="8"/>
      <c r="L465" s="12"/>
      <c r="M465" s="13"/>
      <c r="N465" s="13" t="str">
        <f>IFERROR(__xludf.DUMMYFUNCTION("IF(ISBLANK(M465),"""",M465*GOOGLEFINANCE(""USDGBP""))"),"")</f>
        <v/>
      </c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</row>
    <row r="466">
      <c r="A466" s="8" t="str">
        <f>IFERROR(__xludf.DUMMYFUNCTION("""COMPUTED_VALUE"""),"187952420160600750")</f>
        <v>187952420160600750</v>
      </c>
      <c r="B466" s="9" t="str">
        <f>IFERROR(__xludf.DUMMYFUNCTION("""COMPUTED_VALUE"""),"Italy")</f>
        <v>Italy</v>
      </c>
      <c r="C466" s="9" t="str">
        <f>IFERROR(__xludf.DUMMYFUNCTION("""COMPUTED_VALUE"""),"piedmont")</f>
        <v>piedmont</v>
      </c>
      <c r="D466" s="9" t="str">
        <f>IFERROR(__xludf.DUMMYFUNCTION("""COMPUTED_VALUE"""),"Gaja, Barbaresco, Single Vineyard Assortment Case")</f>
        <v>Gaja, Barbaresco, Single Vineyard Assortment Case</v>
      </c>
      <c r="E466" s="9">
        <f>IFERROR(__xludf.DUMMYFUNCTION("""COMPUTED_VALUE"""),2016.0)</f>
        <v>2016</v>
      </c>
      <c r="F466" s="9">
        <f>IFERROR(__xludf.DUMMYFUNCTION("""COMPUTED_VALUE"""),750.0)</f>
        <v>750</v>
      </c>
      <c r="G466" s="9">
        <f>IFERROR(__xludf.DUMMYFUNCTION("""COMPUTED_VALUE"""),6.0)</f>
        <v>6</v>
      </c>
      <c r="H466" s="10">
        <f>IFERROR(__xludf.DUMMYFUNCTION("""COMPUTED_VALUE"""),3.0)</f>
        <v>3</v>
      </c>
      <c r="I466" s="11">
        <f>IFERROR(__xludf.DUMMYFUNCTION("""COMPUTED_VALUE"""),2206.0)</f>
        <v>2206</v>
      </c>
      <c r="J466" s="9" t="str">
        <f>IFERROR(__xludf.DUMMYFUNCTION("""COMPUTED_VALUE"""),"Multiple Stock Locations")</f>
        <v>Multiple Stock Locations</v>
      </c>
      <c r="K466" s="8"/>
      <c r="L466" s="12"/>
      <c r="M466" s="13"/>
      <c r="N466" s="13" t="str">
        <f>IFERROR(__xludf.DUMMYFUNCTION("IF(ISBLANK(M466),"""",M466*GOOGLEFINANCE(""USDGBP""))"),"")</f>
        <v/>
      </c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</row>
    <row r="467">
      <c r="A467" s="8" t="str">
        <f>IFERROR(__xludf.DUMMYFUNCTION("""COMPUTED_VALUE"""),"109963420130600750")</f>
        <v>109963420130600750</v>
      </c>
      <c r="B467" s="9" t="str">
        <f>IFERROR(__xludf.DUMMYFUNCTION("""COMPUTED_VALUE"""),"Italy")</f>
        <v>Italy</v>
      </c>
      <c r="C467" s="9" t="str">
        <f>IFERROR(__xludf.DUMMYFUNCTION("""COMPUTED_VALUE"""),"piedmont")</f>
        <v>piedmont</v>
      </c>
      <c r="D467" s="9" t="str">
        <f>IFERROR(__xludf.DUMMYFUNCTION("""COMPUTED_VALUE"""),"Gaja, Barolo, Sperss")</f>
        <v>Gaja, Barolo, Sperss</v>
      </c>
      <c r="E467" s="9">
        <f>IFERROR(__xludf.DUMMYFUNCTION("""COMPUTED_VALUE"""),2013.0)</f>
        <v>2013</v>
      </c>
      <c r="F467" s="9">
        <f>IFERROR(__xludf.DUMMYFUNCTION("""COMPUTED_VALUE"""),750.0)</f>
        <v>750</v>
      </c>
      <c r="G467" s="9">
        <f>IFERROR(__xludf.DUMMYFUNCTION("""COMPUTED_VALUE"""),6.0)</f>
        <v>6</v>
      </c>
      <c r="H467" s="10">
        <f>IFERROR(__xludf.DUMMYFUNCTION("""COMPUTED_VALUE"""),1.0)</f>
        <v>1</v>
      </c>
      <c r="I467" s="11">
        <f>IFERROR(__xludf.DUMMYFUNCTION("""COMPUTED_VALUE"""),1271.0)</f>
        <v>1271</v>
      </c>
      <c r="J467" s="9" t="str">
        <f>IFERROR(__xludf.DUMMYFUNCTION("""COMPUTED_VALUE"""),"Multiple Stock Locations")</f>
        <v>Multiple Stock Locations</v>
      </c>
      <c r="K467" s="8"/>
      <c r="L467" s="12"/>
      <c r="M467" s="13"/>
      <c r="N467" s="13" t="str">
        <f>IFERROR(__xludf.DUMMYFUNCTION("IF(ISBLANK(M467),"""",M467*GOOGLEFINANCE(""USDGBP""))"),"")</f>
        <v/>
      </c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</row>
    <row r="468">
      <c r="A468" s="8" t="str">
        <f>IFERROR(__xludf.DUMMYFUNCTION("""COMPUTED_VALUE"""),"182687620180600750")</f>
        <v>182687620180600750</v>
      </c>
      <c r="B468" s="9" t="str">
        <f>IFERROR(__xludf.DUMMYFUNCTION("""COMPUTED_VALUE"""),"Italy")</f>
        <v>Italy</v>
      </c>
      <c r="C468" s="9" t="str">
        <f>IFERROR(__xludf.DUMMYFUNCTION("""COMPUTED_VALUE"""),"piedmont")</f>
        <v>piedmont</v>
      </c>
      <c r="D468" s="9" t="str">
        <f>IFERROR(__xludf.DUMMYFUNCTION("""COMPUTED_VALUE"""),"Giacomo Conterno, Barolo, Arione")</f>
        <v>Giacomo Conterno, Barolo, Arione</v>
      </c>
      <c r="E468" s="9">
        <f>IFERROR(__xludf.DUMMYFUNCTION("""COMPUTED_VALUE"""),2018.0)</f>
        <v>2018</v>
      </c>
      <c r="F468" s="9">
        <f>IFERROR(__xludf.DUMMYFUNCTION("""COMPUTED_VALUE"""),750.0)</f>
        <v>750</v>
      </c>
      <c r="G468" s="9">
        <f>IFERROR(__xludf.DUMMYFUNCTION("""COMPUTED_VALUE"""),6.0)</f>
        <v>6</v>
      </c>
      <c r="H468" s="10">
        <f>IFERROR(__xludf.DUMMYFUNCTION("""COMPUTED_VALUE"""),1.0)</f>
        <v>1</v>
      </c>
      <c r="I468" s="11">
        <f>IFERROR(__xludf.DUMMYFUNCTION("""COMPUTED_VALUE"""),1119.0)</f>
        <v>1119</v>
      </c>
      <c r="J468" s="9" t="str">
        <f>IFERROR(__xludf.DUMMYFUNCTION("""COMPUTED_VALUE"""),"Multiple Stock Locations")</f>
        <v>Multiple Stock Locations</v>
      </c>
      <c r="K468" s="8"/>
      <c r="L468" s="12"/>
      <c r="M468" s="13"/>
      <c r="N468" s="13" t="str">
        <f>IFERROR(__xludf.DUMMYFUNCTION("IF(ISBLANK(M468),"""",M468*GOOGLEFINANCE(""USDGBP""))"),"")</f>
        <v/>
      </c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</row>
    <row r="469">
      <c r="A469" s="8" t="str">
        <f>IFERROR(__xludf.DUMMYFUNCTION("""COMPUTED_VALUE"""),"130681320180600750")</f>
        <v>130681320180600750</v>
      </c>
      <c r="B469" s="9" t="str">
        <f>IFERROR(__xludf.DUMMYFUNCTION("""COMPUTED_VALUE"""),"Italy")</f>
        <v>Italy</v>
      </c>
      <c r="C469" s="9" t="str">
        <f>IFERROR(__xludf.DUMMYFUNCTION("""COMPUTED_VALUE"""),"piedmont")</f>
        <v>piedmont</v>
      </c>
      <c r="D469" s="9" t="str">
        <f>IFERROR(__xludf.DUMMYFUNCTION("""COMPUTED_VALUE"""),"Giacomo Conterno, Barolo, Cerretta")</f>
        <v>Giacomo Conterno, Barolo, Cerretta</v>
      </c>
      <c r="E469" s="9">
        <f>IFERROR(__xludf.DUMMYFUNCTION("""COMPUTED_VALUE"""),2018.0)</f>
        <v>2018</v>
      </c>
      <c r="F469" s="9">
        <f>IFERROR(__xludf.DUMMYFUNCTION("""COMPUTED_VALUE"""),750.0)</f>
        <v>750</v>
      </c>
      <c r="G469" s="9">
        <f>IFERROR(__xludf.DUMMYFUNCTION("""COMPUTED_VALUE"""),6.0)</f>
        <v>6</v>
      </c>
      <c r="H469" s="10">
        <f>IFERROR(__xludf.DUMMYFUNCTION("""COMPUTED_VALUE"""),2.0)</f>
        <v>2</v>
      </c>
      <c r="I469" s="11">
        <f>IFERROR(__xludf.DUMMYFUNCTION("""COMPUTED_VALUE"""),1171.0)</f>
        <v>1171</v>
      </c>
      <c r="J469" s="9" t="str">
        <f>IFERROR(__xludf.DUMMYFUNCTION("""COMPUTED_VALUE"""),"Multiple Stock Locations")</f>
        <v>Multiple Stock Locations</v>
      </c>
      <c r="K469" s="8"/>
      <c r="L469" s="12"/>
      <c r="M469" s="13"/>
      <c r="N469" s="13" t="str">
        <f>IFERROR(__xludf.DUMMYFUNCTION("IF(ISBLANK(M469),"""",M469*GOOGLEFINANCE(""USDGBP""))"),"")</f>
        <v/>
      </c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</row>
    <row r="470">
      <c r="A470" s="8" t="str">
        <f>IFERROR(__xludf.DUMMYFUNCTION("""COMPUTED_VALUE"""),"113926220170600750")</f>
        <v>113926220170600750</v>
      </c>
      <c r="B470" s="9" t="str">
        <f>IFERROR(__xludf.DUMMYFUNCTION("""COMPUTED_VALUE"""),"Italy")</f>
        <v>Italy</v>
      </c>
      <c r="C470" s="9" t="str">
        <f>IFERROR(__xludf.DUMMYFUNCTION("""COMPUTED_VALUE"""),"piedmont")</f>
        <v>piedmont</v>
      </c>
      <c r="D470" s="9" t="str">
        <f>IFERROR(__xludf.DUMMYFUNCTION("""COMPUTED_VALUE"""),"Giacomo Conterno, Barolo, Francia")</f>
        <v>Giacomo Conterno, Barolo, Francia</v>
      </c>
      <c r="E470" s="9">
        <f>IFERROR(__xludf.DUMMYFUNCTION("""COMPUTED_VALUE"""),2017.0)</f>
        <v>2017</v>
      </c>
      <c r="F470" s="9">
        <f>IFERROR(__xludf.DUMMYFUNCTION("""COMPUTED_VALUE"""),750.0)</f>
        <v>750</v>
      </c>
      <c r="G470" s="9">
        <f>IFERROR(__xludf.DUMMYFUNCTION("""COMPUTED_VALUE"""),6.0)</f>
        <v>6</v>
      </c>
      <c r="H470" s="10">
        <f>IFERROR(__xludf.DUMMYFUNCTION("""COMPUTED_VALUE"""),12.0)</f>
        <v>12</v>
      </c>
      <c r="I470" s="11">
        <f>IFERROR(__xludf.DUMMYFUNCTION("""COMPUTED_VALUE"""),1180.0)</f>
        <v>1180</v>
      </c>
      <c r="J470" s="9" t="str">
        <f>IFERROR(__xludf.DUMMYFUNCTION("""COMPUTED_VALUE"""),"Multiple Stock Locations")</f>
        <v>Multiple Stock Locations</v>
      </c>
      <c r="K470" s="8"/>
      <c r="L470" s="12"/>
      <c r="M470" s="13"/>
      <c r="N470" s="13" t="str">
        <f>IFERROR(__xludf.DUMMYFUNCTION("IF(ISBLANK(M470),"""",M470*GOOGLEFINANCE(""USDGBP""))"),"")</f>
        <v/>
      </c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</row>
    <row r="471">
      <c r="A471" s="8" t="str">
        <f>IFERROR(__xludf.DUMMYFUNCTION("""COMPUTED_VALUE"""),"110131720130600750")</f>
        <v>110131720130600750</v>
      </c>
      <c r="B471" s="9" t="str">
        <f>IFERROR(__xludf.DUMMYFUNCTION("""COMPUTED_VALUE"""),"Italy")</f>
        <v>Italy</v>
      </c>
      <c r="C471" s="9" t="str">
        <f>IFERROR(__xludf.DUMMYFUNCTION("""COMPUTED_VALUE"""),"piedmont")</f>
        <v>piedmont</v>
      </c>
      <c r="D471" s="9" t="str">
        <f>IFERROR(__xludf.DUMMYFUNCTION("""COMPUTED_VALUE"""),"Giuseppe Mascarello e Figlio, Barolo, Monprivato")</f>
        <v>Giuseppe Mascarello e Figlio, Barolo, Monprivato</v>
      </c>
      <c r="E471" s="9">
        <f>IFERROR(__xludf.DUMMYFUNCTION("""COMPUTED_VALUE"""),2013.0)</f>
        <v>2013</v>
      </c>
      <c r="F471" s="9">
        <f>IFERROR(__xludf.DUMMYFUNCTION("""COMPUTED_VALUE"""),750.0)</f>
        <v>750</v>
      </c>
      <c r="G471" s="9">
        <f>IFERROR(__xludf.DUMMYFUNCTION("""COMPUTED_VALUE"""),6.0)</f>
        <v>6</v>
      </c>
      <c r="H471" s="10">
        <f>IFERROR(__xludf.DUMMYFUNCTION("""COMPUTED_VALUE"""),9.0)</f>
        <v>9</v>
      </c>
      <c r="I471" s="11">
        <f>IFERROR(__xludf.DUMMYFUNCTION("""COMPUTED_VALUE"""),828.0)</f>
        <v>828</v>
      </c>
      <c r="J471" s="9" t="str">
        <f>IFERROR(__xludf.DUMMYFUNCTION("""COMPUTED_VALUE"""),"Multiple Stock Locations")</f>
        <v>Multiple Stock Locations</v>
      </c>
      <c r="K471" s="8"/>
      <c r="L471" s="12"/>
      <c r="M471" s="13"/>
      <c r="N471" s="13" t="str">
        <f>IFERROR(__xludf.DUMMYFUNCTION("IF(ISBLANK(M471),"""",M471*GOOGLEFINANCE(""USDGBP""))"),"")</f>
        <v/>
      </c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</row>
    <row r="472">
      <c r="A472" s="8" t="str">
        <f>IFERROR(__xludf.DUMMYFUNCTION("""COMPUTED_VALUE"""),"131946020181200750")</f>
        <v>131946020181200750</v>
      </c>
      <c r="B472" s="9" t="str">
        <f>IFERROR(__xludf.DUMMYFUNCTION("""COMPUTED_VALUE"""),"Italy")</f>
        <v>Italy</v>
      </c>
      <c r="C472" s="9" t="str">
        <f>IFERROR(__xludf.DUMMYFUNCTION("""COMPUTED_VALUE"""),"piedmont")</f>
        <v>piedmont</v>
      </c>
      <c r="D472" s="9" t="str">
        <f>IFERROR(__xludf.DUMMYFUNCTION("""COMPUTED_VALUE"""),"Giuseppe Rinaldi, Barolo, Tre Tine")</f>
        <v>Giuseppe Rinaldi, Barolo, Tre Tine</v>
      </c>
      <c r="E472" s="9">
        <f>IFERROR(__xludf.DUMMYFUNCTION("""COMPUTED_VALUE"""),2018.0)</f>
        <v>2018</v>
      </c>
      <c r="F472" s="9">
        <f>IFERROR(__xludf.DUMMYFUNCTION("""COMPUTED_VALUE"""),750.0)</f>
        <v>750</v>
      </c>
      <c r="G472" s="9">
        <f>IFERROR(__xludf.DUMMYFUNCTION("""COMPUTED_VALUE"""),12.0)</f>
        <v>12</v>
      </c>
      <c r="H472" s="10">
        <f>IFERROR(__xludf.DUMMYFUNCTION("""COMPUTED_VALUE"""),1.0)</f>
        <v>1</v>
      </c>
      <c r="I472" s="11">
        <f>IFERROR(__xludf.DUMMYFUNCTION("""COMPUTED_VALUE"""),3320.0)</f>
        <v>3320</v>
      </c>
      <c r="J472" s="9" t="str">
        <f>IFERROR(__xludf.DUMMYFUNCTION("""COMPUTED_VALUE"""),"Multiple Stock Locations")</f>
        <v>Multiple Stock Locations</v>
      </c>
      <c r="K472" s="8"/>
      <c r="L472" s="12"/>
      <c r="M472" s="13"/>
      <c r="N472" s="13" t="str">
        <f>IFERROR(__xludf.DUMMYFUNCTION("IF(ISBLANK(M472),"""",M472*GOOGLEFINANCE(""USDGBP""))"),"")</f>
        <v/>
      </c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</row>
    <row r="473">
      <c r="A473" s="8" t="str">
        <f>IFERROR(__xludf.DUMMYFUNCTION("""COMPUTED_VALUE"""),"110656920170600750")</f>
        <v>110656920170600750</v>
      </c>
      <c r="B473" s="9" t="str">
        <f>IFERROR(__xludf.DUMMYFUNCTION("""COMPUTED_VALUE"""),"Italy")</f>
        <v>Italy</v>
      </c>
      <c r="C473" s="9" t="str">
        <f>IFERROR(__xludf.DUMMYFUNCTION("""COMPUTED_VALUE"""),"piedmont")</f>
        <v>piedmont</v>
      </c>
      <c r="D473" s="9" t="str">
        <f>IFERROR(__xludf.DUMMYFUNCTION("""COMPUTED_VALUE"""),"Roberto Voerzio, Barolo, Brunate")</f>
        <v>Roberto Voerzio, Barolo, Brunate</v>
      </c>
      <c r="E473" s="9">
        <f>IFERROR(__xludf.DUMMYFUNCTION("""COMPUTED_VALUE"""),2017.0)</f>
        <v>2017</v>
      </c>
      <c r="F473" s="9">
        <f>IFERROR(__xludf.DUMMYFUNCTION("""COMPUTED_VALUE"""),750.0)</f>
        <v>750</v>
      </c>
      <c r="G473" s="9">
        <f>IFERROR(__xludf.DUMMYFUNCTION("""COMPUTED_VALUE"""),6.0)</f>
        <v>6</v>
      </c>
      <c r="H473" s="10">
        <f>IFERROR(__xludf.DUMMYFUNCTION("""COMPUTED_VALUE"""),4.0)</f>
        <v>4</v>
      </c>
      <c r="I473" s="11">
        <f>IFERROR(__xludf.DUMMYFUNCTION("""COMPUTED_VALUE"""),1094.0)</f>
        <v>1094</v>
      </c>
      <c r="J473" s="9" t="str">
        <f>IFERROR(__xludf.DUMMYFUNCTION("""COMPUTED_VALUE"""),"Multiple Stock Locations")</f>
        <v>Multiple Stock Locations</v>
      </c>
      <c r="K473" s="8"/>
      <c r="L473" s="12"/>
      <c r="M473" s="13"/>
      <c r="N473" s="13" t="str">
        <f>IFERROR(__xludf.DUMMYFUNCTION("IF(ISBLANK(M473),"""",M473*GOOGLEFINANCE(""USDGBP""))"),"")</f>
        <v/>
      </c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</row>
    <row r="474">
      <c r="A474" s="8" t="str">
        <f>IFERROR(__xludf.DUMMYFUNCTION("""COMPUTED_VALUE"""),"110658520170600750")</f>
        <v>110658520170600750</v>
      </c>
      <c r="B474" s="9" t="str">
        <f>IFERROR(__xludf.DUMMYFUNCTION("""COMPUTED_VALUE"""),"Italy")</f>
        <v>Italy</v>
      </c>
      <c r="C474" s="9" t="str">
        <f>IFERROR(__xludf.DUMMYFUNCTION("""COMPUTED_VALUE"""),"piedmont")</f>
        <v>piedmont</v>
      </c>
      <c r="D474" s="9" t="str">
        <f>IFERROR(__xludf.DUMMYFUNCTION("""COMPUTED_VALUE"""),"Roberto Voerzio, Barolo, Cerequio")</f>
        <v>Roberto Voerzio, Barolo, Cerequio</v>
      </c>
      <c r="E474" s="9">
        <f>IFERROR(__xludf.DUMMYFUNCTION("""COMPUTED_VALUE"""),2017.0)</f>
        <v>2017</v>
      </c>
      <c r="F474" s="9">
        <f>IFERROR(__xludf.DUMMYFUNCTION("""COMPUTED_VALUE"""),750.0)</f>
        <v>750</v>
      </c>
      <c r="G474" s="9">
        <f>IFERROR(__xludf.DUMMYFUNCTION("""COMPUTED_VALUE"""),6.0)</f>
        <v>6</v>
      </c>
      <c r="H474" s="10">
        <f>IFERROR(__xludf.DUMMYFUNCTION("""COMPUTED_VALUE"""),6.0)</f>
        <v>6</v>
      </c>
      <c r="I474" s="11">
        <f>IFERROR(__xludf.DUMMYFUNCTION("""COMPUTED_VALUE"""),1174.0)</f>
        <v>1174</v>
      </c>
      <c r="J474" s="9" t="str">
        <f>IFERROR(__xludf.DUMMYFUNCTION("""COMPUTED_VALUE"""),"Multiple Stock Locations")</f>
        <v>Multiple Stock Locations</v>
      </c>
      <c r="K474" s="8"/>
      <c r="L474" s="12"/>
      <c r="M474" s="13"/>
      <c r="N474" s="13" t="str">
        <f>IFERROR(__xludf.DUMMYFUNCTION("IF(ISBLANK(M474),"""",M474*GOOGLEFINANCE(""USDGBP""))"),"")</f>
        <v/>
      </c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</row>
    <row r="475">
      <c r="A475" s="8" t="str">
        <f>IFERROR(__xludf.DUMMYFUNCTION("""COMPUTED_VALUE"""),"110663120170600750")</f>
        <v>110663120170600750</v>
      </c>
      <c r="B475" s="9" t="str">
        <f>IFERROR(__xludf.DUMMYFUNCTION("""COMPUTED_VALUE"""),"Italy")</f>
        <v>Italy</v>
      </c>
      <c r="C475" s="9" t="str">
        <f>IFERROR(__xludf.DUMMYFUNCTION("""COMPUTED_VALUE"""),"piedmont")</f>
        <v>piedmont</v>
      </c>
      <c r="D475" s="9" t="str">
        <f>IFERROR(__xludf.DUMMYFUNCTION("""COMPUTED_VALUE"""),"Roberto Voerzio, Barolo, La Serra")</f>
        <v>Roberto Voerzio, Barolo, La Serra</v>
      </c>
      <c r="E475" s="9">
        <f>IFERROR(__xludf.DUMMYFUNCTION("""COMPUTED_VALUE"""),2017.0)</f>
        <v>2017</v>
      </c>
      <c r="F475" s="9">
        <f>IFERROR(__xludf.DUMMYFUNCTION("""COMPUTED_VALUE"""),750.0)</f>
        <v>750</v>
      </c>
      <c r="G475" s="9">
        <f>IFERROR(__xludf.DUMMYFUNCTION("""COMPUTED_VALUE"""),6.0)</f>
        <v>6</v>
      </c>
      <c r="H475" s="10">
        <f>IFERROR(__xludf.DUMMYFUNCTION("""COMPUTED_VALUE"""),4.0)</f>
        <v>4</v>
      </c>
      <c r="I475" s="11">
        <f>IFERROR(__xludf.DUMMYFUNCTION("""COMPUTED_VALUE"""),1125.0)</f>
        <v>1125</v>
      </c>
      <c r="J475" s="9" t="str">
        <f>IFERROR(__xludf.DUMMYFUNCTION("""COMPUTED_VALUE"""),"Multiple Stock Locations")</f>
        <v>Multiple Stock Locations</v>
      </c>
      <c r="K475" s="8"/>
      <c r="L475" s="12"/>
      <c r="M475" s="13"/>
      <c r="N475" s="13" t="str">
        <f>IFERROR(__xludf.DUMMYFUNCTION("IF(ISBLANK(M475),"""",M475*GOOGLEFINANCE(""USDGBP""))"),"")</f>
        <v/>
      </c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</row>
    <row r="476">
      <c r="A476" s="8" t="str">
        <f>IFERROR(__xludf.DUMMYFUNCTION("""COMPUTED_VALUE"""),"115728420170600750")</f>
        <v>115728420170600750</v>
      </c>
      <c r="B476" s="9" t="str">
        <f>IFERROR(__xludf.DUMMYFUNCTION("""COMPUTED_VALUE"""),"Italy")</f>
        <v>Italy</v>
      </c>
      <c r="C476" s="9" t="str">
        <f>IFERROR(__xludf.DUMMYFUNCTION("""COMPUTED_VALUE"""),"piedmont")</f>
        <v>piedmont</v>
      </c>
      <c r="D476" s="9" t="str">
        <f>IFERROR(__xludf.DUMMYFUNCTION("""COMPUTED_VALUE"""),"Roberto Voerzio, Barolo, Rocche dell'Annunziata")</f>
        <v>Roberto Voerzio, Barolo, Rocche dell'Annunziata</v>
      </c>
      <c r="E476" s="9">
        <f>IFERROR(__xludf.DUMMYFUNCTION("""COMPUTED_VALUE"""),2017.0)</f>
        <v>2017</v>
      </c>
      <c r="F476" s="9">
        <f>IFERROR(__xludf.DUMMYFUNCTION("""COMPUTED_VALUE"""),750.0)</f>
        <v>750</v>
      </c>
      <c r="G476" s="9">
        <f>IFERROR(__xludf.DUMMYFUNCTION("""COMPUTED_VALUE"""),6.0)</f>
        <v>6</v>
      </c>
      <c r="H476" s="10">
        <f>IFERROR(__xludf.DUMMYFUNCTION("""COMPUTED_VALUE"""),15.0)</f>
        <v>15</v>
      </c>
      <c r="I476" s="11">
        <f>IFERROR(__xludf.DUMMYFUNCTION("""COMPUTED_VALUE"""),1080.0)</f>
        <v>1080</v>
      </c>
      <c r="J476" s="9" t="str">
        <f>IFERROR(__xludf.DUMMYFUNCTION("""COMPUTED_VALUE"""),"Multiple Stock Locations")</f>
        <v>Multiple Stock Locations</v>
      </c>
      <c r="K476" s="8"/>
      <c r="L476" s="12"/>
      <c r="M476" s="13"/>
      <c r="N476" s="13" t="str">
        <f>IFERROR(__xludf.DUMMYFUNCTION("IF(ISBLANK(M476),"""",M476*GOOGLEFINANCE(""USDGBP""))"),"")</f>
        <v/>
      </c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</row>
    <row r="477">
      <c r="A477" s="8" t="str">
        <f>IFERROR(__xludf.DUMMYFUNCTION("""COMPUTED_VALUE"""),"120413520190600750")</f>
        <v>120413520190600750</v>
      </c>
      <c r="B477" s="9" t="str">
        <f>IFERROR(__xludf.DUMMYFUNCTION("""COMPUTED_VALUE"""),"Italy")</f>
        <v>Italy</v>
      </c>
      <c r="C477" s="9" t="str">
        <f>IFERROR(__xludf.DUMMYFUNCTION("""COMPUTED_VALUE"""),"piedmont")</f>
        <v>piedmont</v>
      </c>
      <c r="D477" s="9" t="str">
        <f>IFERROR(__xludf.DUMMYFUNCTION("""COMPUTED_VALUE"""),"Sottimano, Barbaresco, Cotta")</f>
        <v>Sottimano, Barbaresco, Cotta</v>
      </c>
      <c r="E477" s="9">
        <f>IFERROR(__xludf.DUMMYFUNCTION("""COMPUTED_VALUE"""),2019.0)</f>
        <v>2019</v>
      </c>
      <c r="F477" s="9">
        <f>IFERROR(__xludf.DUMMYFUNCTION("""COMPUTED_VALUE"""),750.0)</f>
        <v>750</v>
      </c>
      <c r="G477" s="9">
        <f>IFERROR(__xludf.DUMMYFUNCTION("""COMPUTED_VALUE"""),6.0)</f>
        <v>6</v>
      </c>
      <c r="H477" s="10">
        <f>IFERROR(__xludf.DUMMYFUNCTION("""COMPUTED_VALUE"""),7.0)</f>
        <v>7</v>
      </c>
      <c r="I477" s="11">
        <f>IFERROR(__xludf.DUMMYFUNCTION("""COMPUTED_VALUE"""),347.0)</f>
        <v>347</v>
      </c>
      <c r="J477" s="9" t="str">
        <f>IFERROR(__xludf.DUMMYFUNCTION("""COMPUTED_VALUE"""),"Multiple Stock Locations")</f>
        <v>Multiple Stock Locations</v>
      </c>
      <c r="K477" s="8"/>
      <c r="L477" s="12"/>
      <c r="M477" s="13"/>
      <c r="N477" s="13" t="str">
        <f>IFERROR(__xludf.DUMMYFUNCTION("IF(ISBLANK(M477),"""",M477*GOOGLEFINANCE(""USDGBP""))"),"")</f>
        <v/>
      </c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</row>
    <row r="478">
      <c r="A478" s="8" t="str">
        <f>IFERROR(__xludf.DUMMYFUNCTION("""COMPUTED_VALUE"""),"116948520190600750")</f>
        <v>116948520190600750</v>
      </c>
      <c r="B478" s="9" t="str">
        <f>IFERROR(__xludf.DUMMYFUNCTION("""COMPUTED_VALUE"""),"Italy")</f>
        <v>Italy</v>
      </c>
      <c r="C478" s="9" t="str">
        <f>IFERROR(__xludf.DUMMYFUNCTION("""COMPUTED_VALUE"""),"piedmont")</f>
        <v>piedmont</v>
      </c>
      <c r="D478" s="9" t="str">
        <f>IFERROR(__xludf.DUMMYFUNCTION("""COMPUTED_VALUE"""),"Sottimano, Barbaresco, Fausoni")</f>
        <v>Sottimano, Barbaresco, Fausoni</v>
      </c>
      <c r="E478" s="9">
        <f>IFERROR(__xludf.DUMMYFUNCTION("""COMPUTED_VALUE"""),2019.0)</f>
        <v>2019</v>
      </c>
      <c r="F478" s="9">
        <f>IFERROR(__xludf.DUMMYFUNCTION("""COMPUTED_VALUE"""),750.0)</f>
        <v>750</v>
      </c>
      <c r="G478" s="9">
        <f>IFERROR(__xludf.DUMMYFUNCTION("""COMPUTED_VALUE"""),6.0)</f>
        <v>6</v>
      </c>
      <c r="H478" s="10">
        <f>IFERROR(__xludf.DUMMYFUNCTION("""COMPUTED_VALUE"""),8.0)</f>
        <v>8</v>
      </c>
      <c r="I478" s="11">
        <f>IFERROR(__xludf.DUMMYFUNCTION("""COMPUTED_VALUE"""),336.0)</f>
        <v>336</v>
      </c>
      <c r="J478" s="9" t="str">
        <f>IFERROR(__xludf.DUMMYFUNCTION("""COMPUTED_VALUE"""),"Multiple Stock Locations")</f>
        <v>Multiple Stock Locations</v>
      </c>
      <c r="K478" s="8"/>
      <c r="L478" s="12"/>
      <c r="M478" s="13"/>
      <c r="N478" s="13" t="str">
        <f>IFERROR(__xludf.DUMMYFUNCTION("IF(ISBLANK(M478),"""",M478*GOOGLEFINANCE(""USDGBP""))"),"")</f>
        <v/>
      </c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</row>
    <row r="479">
      <c r="A479" s="8" t="str">
        <f>IFERROR(__xludf.DUMMYFUNCTION("""COMPUTED_VALUE"""),"110631220170600750")</f>
        <v>110631220170600750</v>
      </c>
      <c r="B479" s="9" t="str">
        <f>IFERROR(__xludf.DUMMYFUNCTION("""COMPUTED_VALUE"""),"Italy")</f>
        <v>Italy</v>
      </c>
      <c r="C479" s="9" t="str">
        <f>IFERROR(__xludf.DUMMYFUNCTION("""COMPUTED_VALUE"""),"piedmont")</f>
        <v>piedmont</v>
      </c>
      <c r="D479" s="9" t="str">
        <f>IFERROR(__xludf.DUMMYFUNCTION("""COMPUTED_VALUE"""),"Vietti, Barolo, Brunate")</f>
        <v>Vietti, Barolo, Brunate</v>
      </c>
      <c r="E479" s="9">
        <f>IFERROR(__xludf.DUMMYFUNCTION("""COMPUTED_VALUE"""),2017.0)</f>
        <v>2017</v>
      </c>
      <c r="F479" s="9">
        <f>IFERROR(__xludf.DUMMYFUNCTION("""COMPUTED_VALUE"""),750.0)</f>
        <v>750</v>
      </c>
      <c r="G479" s="9">
        <f>IFERROR(__xludf.DUMMYFUNCTION("""COMPUTED_VALUE"""),6.0)</f>
        <v>6</v>
      </c>
      <c r="H479" s="10">
        <f>IFERROR(__xludf.DUMMYFUNCTION("""COMPUTED_VALUE"""),3.0)</f>
        <v>3</v>
      </c>
      <c r="I479" s="11">
        <f>IFERROR(__xludf.DUMMYFUNCTION("""COMPUTED_VALUE"""),727.0)</f>
        <v>727</v>
      </c>
      <c r="J479" s="9" t="str">
        <f>IFERROR(__xludf.DUMMYFUNCTION("""COMPUTED_VALUE"""),"Multiple Stock Locations")</f>
        <v>Multiple Stock Locations</v>
      </c>
      <c r="K479" s="8"/>
      <c r="L479" s="12"/>
      <c r="M479" s="13"/>
      <c r="N479" s="13" t="str">
        <f>IFERROR(__xludf.DUMMYFUNCTION("IF(ISBLANK(M479),"""",M479*GOOGLEFINANCE(""USDGBP""))"),"")</f>
        <v/>
      </c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</row>
    <row r="480">
      <c r="A480" s="8" t="str">
        <f>IFERROR(__xludf.DUMMYFUNCTION("""COMPUTED_VALUE"""),"110633820130600750")</f>
        <v>110633820130600750</v>
      </c>
      <c r="B480" s="9" t="str">
        <f>IFERROR(__xludf.DUMMYFUNCTION("""COMPUTED_VALUE"""),"Italy")</f>
        <v>Italy</v>
      </c>
      <c r="C480" s="9" t="str">
        <f>IFERROR(__xludf.DUMMYFUNCTION("""COMPUTED_VALUE"""),"piedmont")</f>
        <v>piedmont</v>
      </c>
      <c r="D480" s="9" t="str">
        <f>IFERROR(__xludf.DUMMYFUNCTION("""COMPUTED_VALUE"""),"Vietti, Barolo, Lazzarito")</f>
        <v>Vietti, Barolo, Lazzarito</v>
      </c>
      <c r="E480" s="9">
        <f>IFERROR(__xludf.DUMMYFUNCTION("""COMPUTED_VALUE"""),2013.0)</f>
        <v>2013</v>
      </c>
      <c r="F480" s="9">
        <f>IFERROR(__xludf.DUMMYFUNCTION("""COMPUTED_VALUE"""),750.0)</f>
        <v>750</v>
      </c>
      <c r="G480" s="9">
        <f>IFERROR(__xludf.DUMMYFUNCTION("""COMPUTED_VALUE"""),6.0)</f>
        <v>6</v>
      </c>
      <c r="H480" s="10">
        <f>IFERROR(__xludf.DUMMYFUNCTION("""COMPUTED_VALUE"""),14.0)</f>
        <v>14</v>
      </c>
      <c r="I480" s="11">
        <f>IFERROR(__xludf.DUMMYFUNCTION("""COMPUTED_VALUE"""),737.0)</f>
        <v>737</v>
      </c>
      <c r="J480" s="9" t="str">
        <f>IFERROR(__xludf.DUMMYFUNCTION("""COMPUTED_VALUE"""),"Multiple Stock Locations")</f>
        <v>Multiple Stock Locations</v>
      </c>
      <c r="K480" s="8"/>
      <c r="L480" s="12"/>
      <c r="M480" s="13"/>
      <c r="N480" s="13" t="str">
        <f>IFERROR(__xludf.DUMMYFUNCTION("IF(ISBLANK(M480),"""",M480*GOOGLEFINANCE(""USDGBP""))"),"")</f>
        <v/>
      </c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</row>
    <row r="481">
      <c r="A481" s="8" t="str">
        <f>IFERROR(__xludf.DUMMYFUNCTION("""COMPUTED_VALUE"""),"110633820170600750")</f>
        <v>110633820170600750</v>
      </c>
      <c r="B481" s="9" t="str">
        <f>IFERROR(__xludf.DUMMYFUNCTION("""COMPUTED_VALUE"""),"Italy")</f>
        <v>Italy</v>
      </c>
      <c r="C481" s="9" t="str">
        <f>IFERROR(__xludf.DUMMYFUNCTION("""COMPUTED_VALUE"""),"piedmont")</f>
        <v>piedmont</v>
      </c>
      <c r="D481" s="9" t="str">
        <f>IFERROR(__xludf.DUMMYFUNCTION("""COMPUTED_VALUE"""),"Vietti, Barolo, Lazzarito")</f>
        <v>Vietti, Barolo, Lazzarito</v>
      </c>
      <c r="E481" s="9">
        <f>IFERROR(__xludf.DUMMYFUNCTION("""COMPUTED_VALUE"""),2017.0)</f>
        <v>2017</v>
      </c>
      <c r="F481" s="9">
        <f>IFERROR(__xludf.DUMMYFUNCTION("""COMPUTED_VALUE"""),750.0)</f>
        <v>750</v>
      </c>
      <c r="G481" s="9">
        <f>IFERROR(__xludf.DUMMYFUNCTION("""COMPUTED_VALUE"""),6.0)</f>
        <v>6</v>
      </c>
      <c r="H481" s="10">
        <f>IFERROR(__xludf.DUMMYFUNCTION("""COMPUTED_VALUE"""),4.0)</f>
        <v>4</v>
      </c>
      <c r="I481" s="11">
        <f>IFERROR(__xludf.DUMMYFUNCTION("""COMPUTED_VALUE"""),683.0)</f>
        <v>683</v>
      </c>
      <c r="J481" s="9" t="str">
        <f>IFERROR(__xludf.DUMMYFUNCTION("""COMPUTED_VALUE"""),"Multiple Stock Locations")</f>
        <v>Multiple Stock Locations</v>
      </c>
      <c r="K481" s="8"/>
      <c r="L481" s="12"/>
      <c r="M481" s="13"/>
      <c r="N481" s="13" t="str">
        <f>IFERROR(__xludf.DUMMYFUNCTION("IF(ISBLANK(M481),"""",M481*GOOGLEFINANCE(""USDGBP""))"),"")</f>
        <v/>
      </c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</row>
    <row r="482">
      <c r="A482" s="8" t="str">
        <f>IFERROR(__xludf.DUMMYFUNCTION("""COMPUTED_VALUE"""),"110634120150600750")</f>
        <v>110634120150600750</v>
      </c>
      <c r="B482" s="9" t="str">
        <f>IFERROR(__xludf.DUMMYFUNCTION("""COMPUTED_VALUE"""),"Italy")</f>
        <v>Italy</v>
      </c>
      <c r="C482" s="9" t="str">
        <f>IFERROR(__xludf.DUMMYFUNCTION("""COMPUTED_VALUE"""),"piedmont")</f>
        <v>piedmont</v>
      </c>
      <c r="D482" s="9" t="str">
        <f>IFERROR(__xludf.DUMMYFUNCTION("""COMPUTED_VALUE"""),"Vietti, Barolo, Ravera")</f>
        <v>Vietti, Barolo, Ravera</v>
      </c>
      <c r="E482" s="9">
        <f>IFERROR(__xludf.DUMMYFUNCTION("""COMPUTED_VALUE"""),2015.0)</f>
        <v>2015</v>
      </c>
      <c r="F482" s="9">
        <f>IFERROR(__xludf.DUMMYFUNCTION("""COMPUTED_VALUE"""),750.0)</f>
        <v>750</v>
      </c>
      <c r="G482" s="9">
        <f>IFERROR(__xludf.DUMMYFUNCTION("""COMPUTED_VALUE"""),6.0)</f>
        <v>6</v>
      </c>
      <c r="H482" s="10">
        <f>IFERROR(__xludf.DUMMYFUNCTION("""COMPUTED_VALUE"""),6.0)</f>
        <v>6</v>
      </c>
      <c r="I482" s="11">
        <f>IFERROR(__xludf.DUMMYFUNCTION("""COMPUTED_VALUE"""),854.0)</f>
        <v>854</v>
      </c>
      <c r="J482" s="9" t="str">
        <f>IFERROR(__xludf.DUMMYFUNCTION("""COMPUTED_VALUE"""),"Multiple Stock Locations")</f>
        <v>Multiple Stock Locations</v>
      </c>
      <c r="K482" s="8"/>
      <c r="L482" s="12"/>
      <c r="M482" s="13"/>
      <c r="N482" s="13" t="str">
        <f>IFERROR(__xludf.DUMMYFUNCTION("IF(ISBLANK(M482),"""",M482*GOOGLEFINANCE(""USDGBP""))"),"")</f>
        <v/>
      </c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</row>
    <row r="483">
      <c r="A483" s="8" t="str">
        <f>IFERROR(__xludf.DUMMYFUNCTION("""COMPUTED_VALUE"""),"110634120170600750")</f>
        <v>110634120170600750</v>
      </c>
      <c r="B483" s="9" t="str">
        <f>IFERROR(__xludf.DUMMYFUNCTION("""COMPUTED_VALUE"""),"Italy")</f>
        <v>Italy</v>
      </c>
      <c r="C483" s="9" t="str">
        <f>IFERROR(__xludf.DUMMYFUNCTION("""COMPUTED_VALUE"""),"piedmont")</f>
        <v>piedmont</v>
      </c>
      <c r="D483" s="9" t="str">
        <f>IFERROR(__xludf.DUMMYFUNCTION("""COMPUTED_VALUE"""),"Vietti, Barolo, Ravera")</f>
        <v>Vietti, Barolo, Ravera</v>
      </c>
      <c r="E483" s="9">
        <f>IFERROR(__xludf.DUMMYFUNCTION("""COMPUTED_VALUE"""),2017.0)</f>
        <v>2017</v>
      </c>
      <c r="F483" s="9">
        <f>IFERROR(__xludf.DUMMYFUNCTION("""COMPUTED_VALUE"""),750.0)</f>
        <v>750</v>
      </c>
      <c r="G483" s="9">
        <f>IFERROR(__xludf.DUMMYFUNCTION("""COMPUTED_VALUE"""),6.0)</f>
        <v>6</v>
      </c>
      <c r="H483" s="10">
        <f>IFERROR(__xludf.DUMMYFUNCTION("""COMPUTED_VALUE"""),3.0)</f>
        <v>3</v>
      </c>
      <c r="I483" s="11">
        <f>IFERROR(__xludf.DUMMYFUNCTION("""COMPUTED_VALUE"""),722.0)</f>
        <v>722</v>
      </c>
      <c r="J483" s="9" t="str">
        <f>IFERROR(__xludf.DUMMYFUNCTION("""COMPUTED_VALUE"""),"Multiple Stock Locations")</f>
        <v>Multiple Stock Locations</v>
      </c>
      <c r="K483" s="8"/>
      <c r="L483" s="12"/>
      <c r="M483" s="13"/>
      <c r="N483" s="13" t="str">
        <f>IFERROR(__xludf.DUMMYFUNCTION("IF(ISBLANK(M483),"""",M483*GOOGLEFINANCE(""USDGBP""))"),"")</f>
        <v/>
      </c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</row>
    <row r="484">
      <c r="A484" s="8" t="str">
        <f>IFERROR(__xludf.DUMMYFUNCTION("""COMPUTED_VALUE"""),"110636720120300750")</f>
        <v>110636720120300750</v>
      </c>
      <c r="B484" s="9" t="str">
        <f>IFERROR(__xludf.DUMMYFUNCTION("""COMPUTED_VALUE"""),"Italy")</f>
        <v>Italy</v>
      </c>
      <c r="C484" s="9" t="str">
        <f>IFERROR(__xludf.DUMMYFUNCTION("""COMPUTED_VALUE"""),"piedmont")</f>
        <v>piedmont</v>
      </c>
      <c r="D484" s="9" t="str">
        <f>IFERROR(__xludf.DUMMYFUNCTION("""COMPUTED_VALUE"""),"Vietti, Barolo, Villero Riserva")</f>
        <v>Vietti, Barolo, Villero Riserva</v>
      </c>
      <c r="E484" s="9">
        <f>IFERROR(__xludf.DUMMYFUNCTION("""COMPUTED_VALUE"""),2012.0)</f>
        <v>2012</v>
      </c>
      <c r="F484" s="9">
        <f>IFERROR(__xludf.DUMMYFUNCTION("""COMPUTED_VALUE"""),750.0)</f>
        <v>750</v>
      </c>
      <c r="G484" s="9">
        <f>IFERROR(__xludf.DUMMYFUNCTION("""COMPUTED_VALUE"""),3.0)</f>
        <v>3</v>
      </c>
      <c r="H484" s="10">
        <f>IFERROR(__xludf.DUMMYFUNCTION("""COMPUTED_VALUE"""),4.0)</f>
        <v>4</v>
      </c>
      <c r="I484" s="11">
        <f>IFERROR(__xludf.DUMMYFUNCTION("""COMPUTED_VALUE"""),837.0)</f>
        <v>837</v>
      </c>
      <c r="J484" s="9" t="str">
        <f>IFERROR(__xludf.DUMMYFUNCTION("""COMPUTED_VALUE"""),"Multiple Stock Locations")</f>
        <v>Multiple Stock Locations</v>
      </c>
      <c r="K484" s="8"/>
      <c r="L484" s="12"/>
      <c r="M484" s="13"/>
      <c r="N484" s="13" t="str">
        <f>IFERROR(__xludf.DUMMYFUNCTION("IF(ISBLANK(M484),"""",M484*GOOGLEFINANCE(""USDGBP""))"),"")</f>
        <v/>
      </c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</row>
    <row r="485">
      <c r="A485" s="8" t="str">
        <f>IFERROR(__xludf.DUMMYFUNCTION("""COMPUTED_VALUE"""),"110636720130300750")</f>
        <v>110636720130300750</v>
      </c>
      <c r="B485" s="9" t="str">
        <f>IFERROR(__xludf.DUMMYFUNCTION("""COMPUTED_VALUE"""),"Italy")</f>
        <v>Italy</v>
      </c>
      <c r="C485" s="9" t="str">
        <f>IFERROR(__xludf.DUMMYFUNCTION("""COMPUTED_VALUE"""),"piedmont")</f>
        <v>piedmont</v>
      </c>
      <c r="D485" s="9" t="str">
        <f>IFERROR(__xludf.DUMMYFUNCTION("""COMPUTED_VALUE"""),"Vietti, Barolo, Villero Riserva")</f>
        <v>Vietti, Barolo, Villero Riserva</v>
      </c>
      <c r="E485" s="9">
        <f>IFERROR(__xludf.DUMMYFUNCTION("""COMPUTED_VALUE"""),2013.0)</f>
        <v>2013</v>
      </c>
      <c r="F485" s="9">
        <f>IFERROR(__xludf.DUMMYFUNCTION("""COMPUTED_VALUE"""),750.0)</f>
        <v>750</v>
      </c>
      <c r="G485" s="9">
        <f>IFERROR(__xludf.DUMMYFUNCTION("""COMPUTED_VALUE"""),3.0)</f>
        <v>3</v>
      </c>
      <c r="H485" s="10">
        <f>IFERROR(__xludf.DUMMYFUNCTION("""COMPUTED_VALUE"""),1.0)</f>
        <v>1</v>
      </c>
      <c r="I485" s="11">
        <f>IFERROR(__xludf.DUMMYFUNCTION("""COMPUTED_VALUE"""),957.0)</f>
        <v>957</v>
      </c>
      <c r="J485" s="9" t="str">
        <f>IFERROR(__xludf.DUMMYFUNCTION("""COMPUTED_VALUE"""),"Multiple Stock Locations")</f>
        <v>Multiple Stock Locations</v>
      </c>
      <c r="K485" s="8"/>
      <c r="L485" s="12"/>
      <c r="M485" s="13"/>
      <c r="N485" s="13" t="str">
        <f>IFERROR(__xludf.DUMMYFUNCTION("IF(ISBLANK(M485),"""",M485*GOOGLEFINANCE(""USDGBP""))"),"")</f>
        <v/>
      </c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</row>
    <row r="486">
      <c r="A486" s="8" t="str">
        <f>IFERROR(__xludf.DUMMYFUNCTION("""COMPUTED_VALUE"""),"110840420190300750")</f>
        <v>110840420190300750</v>
      </c>
      <c r="B486" s="9" t="str">
        <f>IFERROR(__xludf.DUMMYFUNCTION("""COMPUTED_VALUE"""),"France")</f>
        <v>France</v>
      </c>
      <c r="C486" s="9" t="str">
        <f>IFERROR(__xludf.DUMMYFUNCTION("""COMPUTED_VALUE"""),"rhone")</f>
        <v>rhone</v>
      </c>
      <c r="D486" s="9" t="str">
        <f>IFERROR(__xludf.DUMMYFUNCTION("""COMPUTED_VALUE"""),"Chateau de Beaucastel Hommage a Jacques Perrin, Chateauneuf-du-Pape")</f>
        <v>Chateau de Beaucastel Hommage a Jacques Perrin, Chateauneuf-du-Pape</v>
      </c>
      <c r="E486" s="9">
        <f>IFERROR(__xludf.DUMMYFUNCTION("""COMPUTED_VALUE"""),2019.0)</f>
        <v>2019</v>
      </c>
      <c r="F486" s="9">
        <f>IFERROR(__xludf.DUMMYFUNCTION("""COMPUTED_VALUE"""),750.0)</f>
        <v>750</v>
      </c>
      <c r="G486" s="9">
        <f>IFERROR(__xludf.DUMMYFUNCTION("""COMPUTED_VALUE"""),3.0)</f>
        <v>3</v>
      </c>
      <c r="H486" s="10">
        <f>IFERROR(__xludf.DUMMYFUNCTION("""COMPUTED_VALUE"""),8.0)</f>
        <v>8</v>
      </c>
      <c r="I486" s="11">
        <f>IFERROR(__xludf.DUMMYFUNCTION("""COMPUTED_VALUE"""),702.0)</f>
        <v>702</v>
      </c>
      <c r="J486" s="9" t="str">
        <f>IFERROR(__xludf.DUMMYFUNCTION("""COMPUTED_VALUE"""),"Multiple Stock Locations")</f>
        <v>Multiple Stock Locations</v>
      </c>
      <c r="K486" s="8"/>
      <c r="L486" s="12"/>
      <c r="M486" s="13"/>
      <c r="N486" s="13" t="str">
        <f>IFERROR(__xludf.DUMMYFUNCTION("IF(ISBLANK(M486),"""",M486*GOOGLEFINANCE(""USDGBP""))"),"")</f>
        <v/>
      </c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</row>
    <row r="487">
      <c r="A487" s="8" t="str">
        <f>IFERROR(__xludf.DUMMYFUNCTION("""COMPUTED_VALUE"""),"110840420200300750")</f>
        <v>110840420200300750</v>
      </c>
      <c r="B487" s="9" t="str">
        <f>IFERROR(__xludf.DUMMYFUNCTION("""COMPUTED_VALUE"""),"France")</f>
        <v>France</v>
      </c>
      <c r="C487" s="9" t="str">
        <f>IFERROR(__xludf.DUMMYFUNCTION("""COMPUTED_VALUE"""),"rhone")</f>
        <v>rhone</v>
      </c>
      <c r="D487" s="9" t="str">
        <f>IFERROR(__xludf.DUMMYFUNCTION("""COMPUTED_VALUE"""),"Chateau de Beaucastel Hommage a Jacques Perrin, Chateauneuf-du-Pape")</f>
        <v>Chateau de Beaucastel Hommage a Jacques Perrin, Chateauneuf-du-Pape</v>
      </c>
      <c r="E487" s="9">
        <f>IFERROR(__xludf.DUMMYFUNCTION("""COMPUTED_VALUE"""),2020.0)</f>
        <v>2020</v>
      </c>
      <c r="F487" s="9">
        <f>IFERROR(__xludf.DUMMYFUNCTION("""COMPUTED_VALUE"""),750.0)</f>
        <v>750</v>
      </c>
      <c r="G487" s="9">
        <f>IFERROR(__xludf.DUMMYFUNCTION("""COMPUTED_VALUE"""),3.0)</f>
        <v>3</v>
      </c>
      <c r="H487" s="10">
        <f>IFERROR(__xludf.DUMMYFUNCTION("""COMPUTED_VALUE"""),10.0)</f>
        <v>10</v>
      </c>
      <c r="I487" s="11">
        <f>IFERROR(__xludf.DUMMYFUNCTION("""COMPUTED_VALUE"""),672.0)</f>
        <v>672</v>
      </c>
      <c r="J487" s="9" t="str">
        <f>IFERROR(__xludf.DUMMYFUNCTION("""COMPUTED_VALUE"""),"Multiple Stock Locations")</f>
        <v>Multiple Stock Locations</v>
      </c>
      <c r="K487" s="8"/>
      <c r="L487" s="12"/>
      <c r="M487" s="13"/>
      <c r="N487" s="13" t="str">
        <f>IFERROR(__xludf.DUMMYFUNCTION("IF(ISBLANK(M487),"""",M487*GOOGLEFINANCE(""USDGBP""))"),"")</f>
        <v/>
      </c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</row>
    <row r="488">
      <c r="A488" s="8" t="str">
        <f>IFERROR(__xludf.DUMMYFUNCTION("""COMPUTED_VALUE"""),"111048720190600750")</f>
        <v>111048720190600750</v>
      </c>
      <c r="B488" s="9" t="str">
        <f>IFERROR(__xludf.DUMMYFUNCTION("""COMPUTED_VALUE"""),"France")</f>
        <v>France</v>
      </c>
      <c r="C488" s="9" t="str">
        <f>IFERROR(__xludf.DUMMYFUNCTION("""COMPUTED_VALUE"""),"rhone")</f>
        <v>rhone</v>
      </c>
      <c r="D488" s="9" t="str">
        <f>IFERROR(__xludf.DUMMYFUNCTION("""COMPUTED_VALUE"""),"Clos des Papes, Chateauneuf-du-Pape, Rouge")</f>
        <v>Clos des Papes, Chateauneuf-du-Pape, Rouge</v>
      </c>
      <c r="E488" s="9">
        <f>IFERROR(__xludf.DUMMYFUNCTION("""COMPUTED_VALUE"""),2019.0)</f>
        <v>2019</v>
      </c>
      <c r="F488" s="9">
        <f>IFERROR(__xludf.DUMMYFUNCTION("""COMPUTED_VALUE"""),750.0)</f>
        <v>750</v>
      </c>
      <c r="G488" s="9">
        <f>IFERROR(__xludf.DUMMYFUNCTION("""COMPUTED_VALUE"""),6.0)</f>
        <v>6</v>
      </c>
      <c r="H488" s="10">
        <f>IFERROR(__xludf.DUMMYFUNCTION("""COMPUTED_VALUE"""),4.0)</f>
        <v>4</v>
      </c>
      <c r="I488" s="11">
        <f>IFERROR(__xludf.DUMMYFUNCTION("""COMPUTED_VALUE"""),375.0)</f>
        <v>375</v>
      </c>
      <c r="J488" s="9" t="str">
        <f>IFERROR(__xludf.DUMMYFUNCTION("""COMPUTED_VALUE"""),"Multiple Stock Locations")</f>
        <v>Multiple Stock Locations</v>
      </c>
      <c r="K488" s="8"/>
      <c r="L488" s="12"/>
      <c r="M488" s="13"/>
      <c r="N488" s="13" t="str">
        <f>IFERROR(__xludf.DUMMYFUNCTION("IF(ISBLANK(M488),"""",M488*GOOGLEFINANCE(""USDGBP""))"),"")</f>
        <v/>
      </c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</row>
    <row r="489">
      <c r="A489" s="8" t="str">
        <f>IFERROR(__xludf.DUMMYFUNCTION("""COMPUTED_VALUE"""),"111142620180600750")</f>
        <v>111142620180600750</v>
      </c>
      <c r="B489" s="9" t="str">
        <f>IFERROR(__xludf.DUMMYFUNCTION("""COMPUTED_VALUE"""),"France")</f>
        <v>France</v>
      </c>
      <c r="C489" s="9" t="str">
        <f>IFERROR(__xludf.DUMMYFUNCTION("""COMPUTED_VALUE"""),"rhone")</f>
        <v>rhone</v>
      </c>
      <c r="D489" s="9" t="str">
        <f>IFERROR(__xludf.DUMMYFUNCTION("""COMPUTED_VALUE"""),"Delas, Cote Rotie, La Landonne")</f>
        <v>Delas, Cote Rotie, La Landonne</v>
      </c>
      <c r="E489" s="9">
        <f>IFERROR(__xludf.DUMMYFUNCTION("""COMPUTED_VALUE"""),2018.0)</f>
        <v>2018</v>
      </c>
      <c r="F489" s="9">
        <f>IFERROR(__xludf.DUMMYFUNCTION("""COMPUTED_VALUE"""),750.0)</f>
        <v>750</v>
      </c>
      <c r="G489" s="9">
        <f>IFERROR(__xludf.DUMMYFUNCTION("""COMPUTED_VALUE"""),6.0)</f>
        <v>6</v>
      </c>
      <c r="H489" s="10">
        <f>IFERROR(__xludf.DUMMYFUNCTION("""COMPUTED_VALUE"""),3.0)</f>
        <v>3</v>
      </c>
      <c r="I489" s="11">
        <f>IFERROR(__xludf.DUMMYFUNCTION("""COMPUTED_VALUE"""),728.0)</f>
        <v>728</v>
      </c>
      <c r="J489" s="9" t="str">
        <f>IFERROR(__xludf.DUMMYFUNCTION("""COMPUTED_VALUE"""),"Multiple Stock Locations")</f>
        <v>Multiple Stock Locations</v>
      </c>
      <c r="K489" s="8"/>
      <c r="L489" s="12"/>
      <c r="M489" s="13"/>
      <c r="N489" s="13" t="str">
        <f>IFERROR(__xludf.DUMMYFUNCTION("IF(ISBLANK(M489),"""",M489*GOOGLEFINANCE(""USDGBP""))"),"")</f>
        <v/>
      </c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</row>
    <row r="490">
      <c r="A490" s="8" t="str">
        <f>IFERROR(__xludf.DUMMYFUNCTION("""COMPUTED_VALUE"""),"111001220160600750")</f>
        <v>111001220160600750</v>
      </c>
      <c r="B490" s="9" t="str">
        <f>IFERROR(__xludf.DUMMYFUNCTION("""COMPUTED_VALUE"""),"France")</f>
        <v>France</v>
      </c>
      <c r="C490" s="9" t="str">
        <f>IFERROR(__xludf.DUMMYFUNCTION("""COMPUTED_VALUE"""),"rhone")</f>
        <v>rhone</v>
      </c>
      <c r="D490" s="9" t="str">
        <f>IFERROR(__xludf.DUMMYFUNCTION("""COMPUTED_VALUE"""),"Domaine Jean Louis Chave, Hermitage, Rouge")</f>
        <v>Domaine Jean Louis Chave, Hermitage, Rouge</v>
      </c>
      <c r="E490" s="9">
        <f>IFERROR(__xludf.DUMMYFUNCTION("""COMPUTED_VALUE"""),2016.0)</f>
        <v>2016</v>
      </c>
      <c r="F490" s="9">
        <f>IFERROR(__xludf.DUMMYFUNCTION("""COMPUTED_VALUE"""),750.0)</f>
        <v>750</v>
      </c>
      <c r="G490" s="9">
        <f>IFERROR(__xludf.DUMMYFUNCTION("""COMPUTED_VALUE"""),6.0)</f>
        <v>6</v>
      </c>
      <c r="H490" s="10">
        <f>IFERROR(__xludf.DUMMYFUNCTION("""COMPUTED_VALUE"""),1.0)</f>
        <v>1</v>
      </c>
      <c r="I490" s="11">
        <f>IFERROR(__xludf.DUMMYFUNCTION("""COMPUTED_VALUE"""),1864.0)</f>
        <v>1864</v>
      </c>
      <c r="J490" s="9" t="str">
        <f>IFERROR(__xludf.DUMMYFUNCTION("""COMPUTED_VALUE"""),"Multiple Stock Locations")</f>
        <v>Multiple Stock Locations</v>
      </c>
      <c r="K490" s="8"/>
      <c r="L490" s="12"/>
      <c r="M490" s="13"/>
      <c r="N490" s="13" t="str">
        <f>IFERROR(__xludf.DUMMYFUNCTION("IF(ISBLANK(M490),"""",M490*GOOGLEFINANCE(""USDGBP""))"),"")</f>
        <v/>
      </c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</row>
    <row r="491">
      <c r="A491" s="8" t="str">
        <f>IFERROR(__xludf.DUMMYFUNCTION("""COMPUTED_VALUE"""),"111766220160600750")</f>
        <v>111766220160600750</v>
      </c>
      <c r="B491" s="9" t="str">
        <f>IFERROR(__xludf.DUMMYFUNCTION("""COMPUTED_VALUE"""),"France")</f>
        <v>France</v>
      </c>
      <c r="C491" s="9" t="str">
        <f>IFERROR(__xludf.DUMMYFUNCTION("""COMPUTED_VALUE"""),"rhone")</f>
        <v>rhone</v>
      </c>
      <c r="D491" s="9" t="str">
        <f>IFERROR(__xludf.DUMMYFUNCTION("""COMPUTED_VALUE"""),"Domaine Pierre Usseglio, Chateauneuf-du-Pape, de Mon Aieul")</f>
        <v>Domaine Pierre Usseglio, Chateauneuf-du-Pape, de Mon Aieul</v>
      </c>
      <c r="E491" s="9">
        <f>IFERROR(__xludf.DUMMYFUNCTION("""COMPUTED_VALUE"""),2016.0)</f>
        <v>2016</v>
      </c>
      <c r="F491" s="9">
        <f>IFERROR(__xludf.DUMMYFUNCTION("""COMPUTED_VALUE"""),750.0)</f>
        <v>750</v>
      </c>
      <c r="G491" s="9">
        <f>IFERROR(__xludf.DUMMYFUNCTION("""COMPUTED_VALUE"""),6.0)</f>
        <v>6</v>
      </c>
      <c r="H491" s="10">
        <f>IFERROR(__xludf.DUMMYFUNCTION("""COMPUTED_VALUE"""),1.0)</f>
        <v>1</v>
      </c>
      <c r="I491" s="11">
        <f>IFERROR(__xludf.DUMMYFUNCTION("""COMPUTED_VALUE"""),436.0)</f>
        <v>436</v>
      </c>
      <c r="J491" s="9" t="str">
        <f>IFERROR(__xludf.DUMMYFUNCTION("""COMPUTED_VALUE"""),"Multiple Stock Locations")</f>
        <v>Multiple Stock Locations</v>
      </c>
      <c r="K491" s="8"/>
      <c r="L491" s="12"/>
      <c r="M491" s="13"/>
      <c r="N491" s="13" t="str">
        <f>IFERROR(__xludf.DUMMYFUNCTION("IF(ISBLANK(M491),"""",M491*GOOGLEFINANCE(""USDGBP""))"),"")</f>
        <v/>
      </c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</row>
    <row r="492">
      <c r="A492" s="8" t="str">
        <f>IFERROR(__xludf.DUMMYFUNCTION("""COMPUTED_VALUE"""),"111356320120600750")</f>
        <v>111356320120600750</v>
      </c>
      <c r="B492" s="9" t="str">
        <f>IFERROR(__xludf.DUMMYFUNCTION("""COMPUTED_VALUE"""),"France")</f>
        <v>France</v>
      </c>
      <c r="C492" s="9" t="str">
        <f>IFERROR(__xludf.DUMMYFUNCTION("""COMPUTED_VALUE"""),"rhone")</f>
        <v>rhone</v>
      </c>
      <c r="D492" s="9" t="str">
        <f>IFERROR(__xludf.DUMMYFUNCTION("""COMPUTED_VALUE"""),"Domaine de la Chapelle, Hermitage, La Chapelle Rouge")</f>
        <v>Domaine de la Chapelle, Hermitage, La Chapelle Rouge</v>
      </c>
      <c r="E492" s="9">
        <f>IFERROR(__xludf.DUMMYFUNCTION("""COMPUTED_VALUE"""),2012.0)</f>
        <v>2012</v>
      </c>
      <c r="F492" s="9">
        <f>IFERROR(__xludf.DUMMYFUNCTION("""COMPUTED_VALUE"""),750.0)</f>
        <v>750</v>
      </c>
      <c r="G492" s="9">
        <f>IFERROR(__xludf.DUMMYFUNCTION("""COMPUTED_VALUE"""),6.0)</f>
        <v>6</v>
      </c>
      <c r="H492" s="10">
        <f>IFERROR(__xludf.DUMMYFUNCTION("""COMPUTED_VALUE"""),2.0)</f>
        <v>2</v>
      </c>
      <c r="I492" s="11">
        <f>IFERROR(__xludf.DUMMYFUNCTION("""COMPUTED_VALUE"""),705.0)</f>
        <v>705</v>
      </c>
      <c r="J492" s="9" t="str">
        <f>IFERROR(__xludf.DUMMYFUNCTION("""COMPUTED_VALUE"""),"Multiple Stock Locations")</f>
        <v>Multiple Stock Locations</v>
      </c>
      <c r="K492" s="8"/>
      <c r="L492" s="12"/>
      <c r="M492" s="13"/>
      <c r="N492" s="13" t="str">
        <f>IFERROR(__xludf.DUMMYFUNCTION("IF(ISBLANK(M492),"""",M492*GOOGLEFINANCE(""USDGBP""))"),"")</f>
        <v/>
      </c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</row>
    <row r="493">
      <c r="A493" s="8" t="str">
        <f>IFERROR(__xludf.DUMMYFUNCTION("""COMPUTED_VALUE"""),"111356320190600750")</f>
        <v>111356320190600750</v>
      </c>
      <c r="B493" s="9" t="str">
        <f>IFERROR(__xludf.DUMMYFUNCTION("""COMPUTED_VALUE"""),"France")</f>
        <v>France</v>
      </c>
      <c r="C493" s="9" t="str">
        <f>IFERROR(__xludf.DUMMYFUNCTION("""COMPUTED_VALUE"""),"rhone")</f>
        <v>rhone</v>
      </c>
      <c r="D493" s="9" t="str">
        <f>IFERROR(__xludf.DUMMYFUNCTION("""COMPUTED_VALUE"""),"Domaine de la Chapelle, Hermitage, La Chapelle Rouge")</f>
        <v>Domaine de la Chapelle, Hermitage, La Chapelle Rouge</v>
      </c>
      <c r="E493" s="9">
        <f>IFERROR(__xludf.DUMMYFUNCTION("""COMPUTED_VALUE"""),2019.0)</f>
        <v>2019</v>
      </c>
      <c r="F493" s="9">
        <f>IFERROR(__xludf.DUMMYFUNCTION("""COMPUTED_VALUE"""),750.0)</f>
        <v>750</v>
      </c>
      <c r="G493" s="9">
        <f>IFERROR(__xludf.DUMMYFUNCTION("""COMPUTED_VALUE"""),6.0)</f>
        <v>6</v>
      </c>
      <c r="H493" s="10">
        <f>IFERROR(__xludf.DUMMYFUNCTION("""COMPUTED_VALUE"""),4.0)</f>
        <v>4</v>
      </c>
      <c r="I493" s="11">
        <f>IFERROR(__xludf.DUMMYFUNCTION("""COMPUTED_VALUE"""),817.0)</f>
        <v>817</v>
      </c>
      <c r="J493" s="9" t="str">
        <f>IFERROR(__xludf.DUMMYFUNCTION("""COMPUTED_VALUE"""),"Multiple Stock Locations")</f>
        <v>Multiple Stock Locations</v>
      </c>
      <c r="K493" s="8"/>
      <c r="L493" s="12"/>
      <c r="M493" s="13"/>
      <c r="N493" s="13" t="str">
        <f>IFERROR(__xludf.DUMMYFUNCTION("IF(ISBLANK(M493),"""",M493*GOOGLEFINANCE(""USDGBP""))"),"")</f>
        <v/>
      </c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</row>
    <row r="494">
      <c r="A494" s="8" t="str">
        <f>IFERROR(__xludf.DUMMYFUNCTION("""COMPUTED_VALUE"""),"114247320180300750")</f>
        <v>114247320180300750</v>
      </c>
      <c r="B494" s="9" t="str">
        <f>IFERROR(__xludf.DUMMYFUNCTION("""COMPUTED_VALUE"""),"France")</f>
        <v>France</v>
      </c>
      <c r="C494" s="9" t="str">
        <f>IFERROR(__xludf.DUMMYFUNCTION("""COMPUTED_VALUE"""),"rhone")</f>
        <v>rhone</v>
      </c>
      <c r="D494" s="9" t="str">
        <f>IFERROR(__xludf.DUMMYFUNCTION("""COMPUTED_VALUE"""),"E. Guigal, Cote Rotie, Assortment Case")</f>
        <v>E. Guigal, Cote Rotie, Assortment Case</v>
      </c>
      <c r="E494" s="9">
        <f>IFERROR(__xludf.DUMMYFUNCTION("""COMPUTED_VALUE"""),2018.0)</f>
        <v>2018</v>
      </c>
      <c r="F494" s="9">
        <f>IFERROR(__xludf.DUMMYFUNCTION("""COMPUTED_VALUE"""),750.0)</f>
        <v>750</v>
      </c>
      <c r="G494" s="9">
        <f>IFERROR(__xludf.DUMMYFUNCTION("""COMPUTED_VALUE"""),3.0)</f>
        <v>3</v>
      </c>
      <c r="H494" s="10">
        <f>IFERROR(__xludf.DUMMYFUNCTION("""COMPUTED_VALUE"""),1.0)</f>
        <v>1</v>
      </c>
      <c r="I494" s="11">
        <f>IFERROR(__xludf.DUMMYFUNCTION("""COMPUTED_VALUE"""),807.0)</f>
        <v>807</v>
      </c>
      <c r="J494" s="9" t="str">
        <f>IFERROR(__xludf.DUMMYFUNCTION("""COMPUTED_VALUE"""),"Multiple Stock Locations")</f>
        <v>Multiple Stock Locations</v>
      </c>
      <c r="K494" s="8"/>
      <c r="L494" s="12"/>
      <c r="M494" s="13"/>
      <c r="N494" s="13" t="str">
        <f>IFERROR(__xludf.DUMMYFUNCTION("IF(ISBLANK(M494),"""",M494*GOOGLEFINANCE(""USDGBP""))"),"")</f>
        <v/>
      </c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</row>
    <row r="495">
      <c r="A495" s="8" t="str">
        <f>IFERROR(__xludf.DUMMYFUNCTION("""COMPUTED_VALUE"""),"111319820180600750")</f>
        <v>111319820180600750</v>
      </c>
      <c r="B495" s="9" t="str">
        <f>IFERROR(__xludf.DUMMYFUNCTION("""COMPUTED_VALUE"""),"France")</f>
        <v>France</v>
      </c>
      <c r="C495" s="9" t="str">
        <f>IFERROR(__xludf.DUMMYFUNCTION("""COMPUTED_VALUE"""),"rhone")</f>
        <v>rhone</v>
      </c>
      <c r="D495" s="9" t="str">
        <f>IFERROR(__xludf.DUMMYFUNCTION("""COMPUTED_VALUE"""),"E. Guigal, Cote Rotie, La Landonne")</f>
        <v>E. Guigal, Cote Rotie, La Landonne</v>
      </c>
      <c r="E495" s="9">
        <f>IFERROR(__xludf.DUMMYFUNCTION("""COMPUTED_VALUE"""),2018.0)</f>
        <v>2018</v>
      </c>
      <c r="F495" s="9">
        <f>IFERROR(__xludf.DUMMYFUNCTION("""COMPUTED_VALUE"""),750.0)</f>
        <v>750</v>
      </c>
      <c r="G495" s="9">
        <f>IFERROR(__xludf.DUMMYFUNCTION("""COMPUTED_VALUE"""),6.0)</f>
        <v>6</v>
      </c>
      <c r="H495" s="10">
        <f>IFERROR(__xludf.DUMMYFUNCTION("""COMPUTED_VALUE"""),1.0)</f>
        <v>1</v>
      </c>
      <c r="I495" s="11">
        <f>IFERROR(__xludf.DUMMYFUNCTION("""COMPUTED_VALUE"""),1578.0)</f>
        <v>1578</v>
      </c>
      <c r="J495" s="9" t="str">
        <f>IFERROR(__xludf.DUMMYFUNCTION("""COMPUTED_VALUE"""),"Multiple Stock Locations")</f>
        <v>Multiple Stock Locations</v>
      </c>
      <c r="K495" s="8"/>
      <c r="L495" s="12"/>
      <c r="M495" s="13"/>
      <c r="N495" s="13" t="str">
        <f>IFERROR(__xludf.DUMMYFUNCTION("IF(ISBLANK(M495),"""",M495*GOOGLEFINANCE(""USDGBP""))"),"")</f>
        <v/>
      </c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</row>
    <row r="496">
      <c r="A496" s="8" t="str">
        <f>IFERROR(__xludf.DUMMYFUNCTION("""COMPUTED_VALUE"""),"111321520180600750")</f>
        <v>111321520180600750</v>
      </c>
      <c r="B496" s="9" t="str">
        <f>IFERROR(__xludf.DUMMYFUNCTION("""COMPUTED_VALUE"""),"France")</f>
        <v>France</v>
      </c>
      <c r="C496" s="9" t="str">
        <f>IFERROR(__xludf.DUMMYFUNCTION("""COMPUTED_VALUE"""),"rhone")</f>
        <v>rhone</v>
      </c>
      <c r="D496" s="9" t="str">
        <f>IFERROR(__xludf.DUMMYFUNCTION("""COMPUTED_VALUE"""),"E. Guigal, Cote Rotie, La Turque")</f>
        <v>E. Guigal, Cote Rotie, La Turque</v>
      </c>
      <c r="E496" s="9">
        <f>IFERROR(__xludf.DUMMYFUNCTION("""COMPUTED_VALUE"""),2018.0)</f>
        <v>2018</v>
      </c>
      <c r="F496" s="9">
        <f>IFERROR(__xludf.DUMMYFUNCTION("""COMPUTED_VALUE"""),750.0)</f>
        <v>750</v>
      </c>
      <c r="G496" s="9">
        <f>IFERROR(__xludf.DUMMYFUNCTION("""COMPUTED_VALUE"""),6.0)</f>
        <v>6</v>
      </c>
      <c r="H496" s="10">
        <f>IFERROR(__xludf.DUMMYFUNCTION("""COMPUTED_VALUE"""),3.0)</f>
        <v>3</v>
      </c>
      <c r="I496" s="11">
        <f>IFERROR(__xludf.DUMMYFUNCTION("""COMPUTED_VALUE"""),1528.0)</f>
        <v>1528</v>
      </c>
      <c r="J496" s="9" t="str">
        <f>IFERROR(__xludf.DUMMYFUNCTION("""COMPUTED_VALUE"""),"Multiple Stock Locations")</f>
        <v>Multiple Stock Locations</v>
      </c>
      <c r="K496" s="8"/>
      <c r="L496" s="12"/>
      <c r="M496" s="13"/>
      <c r="N496" s="13" t="str">
        <f>IFERROR(__xludf.DUMMYFUNCTION("IF(ISBLANK(M496),"""",M496*GOOGLEFINANCE(""USDGBP""))"),"")</f>
        <v/>
      </c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</row>
    <row r="497">
      <c r="A497" s="8" t="str">
        <f>IFERROR(__xludf.DUMMYFUNCTION("""COMPUTED_VALUE"""),"111325720180600750")</f>
        <v>111325720180600750</v>
      </c>
      <c r="B497" s="9" t="str">
        <f>IFERROR(__xludf.DUMMYFUNCTION("""COMPUTED_VALUE"""),"France")</f>
        <v>France</v>
      </c>
      <c r="C497" s="9" t="str">
        <f>IFERROR(__xludf.DUMMYFUNCTION("""COMPUTED_VALUE"""),"rhone")</f>
        <v>rhone</v>
      </c>
      <c r="D497" s="9" t="str">
        <f>IFERROR(__xludf.DUMMYFUNCTION("""COMPUTED_VALUE"""),"E. Guigal, Hermitage, Ex Voto Rouge")</f>
        <v>E. Guigal, Hermitage, Ex Voto Rouge</v>
      </c>
      <c r="E497" s="9">
        <f>IFERROR(__xludf.DUMMYFUNCTION("""COMPUTED_VALUE"""),2018.0)</f>
        <v>2018</v>
      </c>
      <c r="F497" s="9">
        <f>IFERROR(__xludf.DUMMYFUNCTION("""COMPUTED_VALUE"""),750.0)</f>
        <v>750</v>
      </c>
      <c r="G497" s="9">
        <f>IFERROR(__xludf.DUMMYFUNCTION("""COMPUTED_VALUE"""),6.0)</f>
        <v>6</v>
      </c>
      <c r="H497" s="10">
        <f>IFERROR(__xludf.DUMMYFUNCTION("""COMPUTED_VALUE"""),3.0)</f>
        <v>3</v>
      </c>
      <c r="I497" s="11">
        <f>IFERROR(__xludf.DUMMYFUNCTION("""COMPUTED_VALUE"""),1201.0)</f>
        <v>1201</v>
      </c>
      <c r="J497" s="9" t="str">
        <f>IFERROR(__xludf.DUMMYFUNCTION("""COMPUTED_VALUE"""),"Multiple Stock Locations")</f>
        <v>Multiple Stock Locations</v>
      </c>
      <c r="K497" s="8"/>
      <c r="L497" s="12"/>
      <c r="M497" s="13"/>
      <c r="N497" s="13" t="str">
        <f>IFERROR(__xludf.DUMMYFUNCTION("IF(ISBLANK(M497),"""",M497*GOOGLEFINANCE(""USDGBP""))"),"")</f>
        <v/>
      </c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</row>
    <row r="498">
      <c r="A498" s="8" t="str">
        <f>IFERROR(__xludf.DUMMYFUNCTION("""COMPUTED_VALUE"""),"153576120180600750")</f>
        <v>153576120180600750</v>
      </c>
      <c r="B498" s="9" t="str">
        <f>IFERROR(__xludf.DUMMYFUNCTION("""COMPUTED_VALUE"""),"France")</f>
        <v>France</v>
      </c>
      <c r="C498" s="9" t="str">
        <f>IFERROR(__xludf.DUMMYFUNCTION("""COMPUTED_VALUE"""),"rhone")</f>
        <v>rhone</v>
      </c>
      <c r="D498" s="9" t="str">
        <f>IFERROR(__xludf.DUMMYFUNCTION("""COMPUTED_VALUE"""),"M. Chapoutier, Cote Rotie, Neve")</f>
        <v>M. Chapoutier, Cote Rotie, Neve</v>
      </c>
      <c r="E498" s="9">
        <f>IFERROR(__xludf.DUMMYFUNCTION("""COMPUTED_VALUE"""),2018.0)</f>
        <v>2018</v>
      </c>
      <c r="F498" s="9">
        <f>IFERROR(__xludf.DUMMYFUNCTION("""COMPUTED_VALUE"""),750.0)</f>
        <v>750</v>
      </c>
      <c r="G498" s="9">
        <f>IFERROR(__xludf.DUMMYFUNCTION("""COMPUTED_VALUE"""),6.0)</f>
        <v>6</v>
      </c>
      <c r="H498" s="10">
        <f>IFERROR(__xludf.DUMMYFUNCTION("""COMPUTED_VALUE"""),4.0)</f>
        <v>4</v>
      </c>
      <c r="I498" s="11">
        <f>IFERROR(__xludf.DUMMYFUNCTION("""COMPUTED_VALUE"""),576.0)</f>
        <v>576</v>
      </c>
      <c r="J498" s="9" t="str">
        <f>IFERROR(__xludf.DUMMYFUNCTION("""COMPUTED_VALUE"""),"Multiple Stock Locations")</f>
        <v>Multiple Stock Locations</v>
      </c>
      <c r="K498" s="8"/>
      <c r="L498" s="12"/>
      <c r="M498" s="13"/>
      <c r="N498" s="13" t="str">
        <f>IFERROR(__xludf.DUMMYFUNCTION("IF(ISBLANK(M498),"""",M498*GOOGLEFINANCE(""USDGBP""))"),"")</f>
        <v/>
      </c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</row>
    <row r="499">
      <c r="A499" s="8" t="str">
        <f>IFERROR(__xludf.DUMMYFUNCTION("""COMPUTED_VALUE"""),"110970420050600750")</f>
        <v>110970420050600750</v>
      </c>
      <c r="B499" s="9" t="str">
        <f>IFERROR(__xludf.DUMMYFUNCTION("""COMPUTED_VALUE"""),"France")</f>
        <v>France</v>
      </c>
      <c r="C499" s="9" t="str">
        <f>IFERROR(__xludf.DUMMYFUNCTION("""COMPUTED_VALUE"""),"rhone")</f>
        <v>rhone</v>
      </c>
      <c r="D499" s="9" t="str">
        <f>IFERROR(__xludf.DUMMYFUNCTION("""COMPUTED_VALUE"""),"M. Chapoutier, Ermitage, Le Pavillon")</f>
        <v>M. Chapoutier, Ermitage, Le Pavillon</v>
      </c>
      <c r="E499" s="9">
        <f>IFERROR(__xludf.DUMMYFUNCTION("""COMPUTED_VALUE"""),2005.0)</f>
        <v>2005</v>
      </c>
      <c r="F499" s="9">
        <f>IFERROR(__xludf.DUMMYFUNCTION("""COMPUTED_VALUE"""),750.0)</f>
        <v>750</v>
      </c>
      <c r="G499" s="9">
        <f>IFERROR(__xludf.DUMMYFUNCTION("""COMPUTED_VALUE"""),6.0)</f>
        <v>6</v>
      </c>
      <c r="H499" s="10">
        <f>IFERROR(__xludf.DUMMYFUNCTION("""COMPUTED_VALUE"""),1.0)</f>
        <v>1</v>
      </c>
      <c r="I499" s="11">
        <f>IFERROR(__xludf.DUMMYFUNCTION("""COMPUTED_VALUE"""),1440.0)</f>
        <v>1440</v>
      </c>
      <c r="J499" s="9" t="str">
        <f>IFERROR(__xludf.DUMMYFUNCTION("""COMPUTED_VALUE"""),"Multiple Stock Locations")</f>
        <v>Multiple Stock Locations</v>
      </c>
      <c r="K499" s="8"/>
      <c r="L499" s="12"/>
      <c r="M499" s="13"/>
      <c r="N499" s="13" t="str">
        <f>IFERROR(__xludf.DUMMYFUNCTION("IF(ISBLANK(M499),"""",M499*GOOGLEFINANCE(""USDGBP""))"),"")</f>
        <v/>
      </c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</row>
    <row r="500">
      <c r="A500" s="8" t="str">
        <f>IFERROR(__xludf.DUMMYFUNCTION("""COMPUTED_VALUE"""),"111324420170600750")</f>
        <v>111324420170600750</v>
      </c>
      <c r="B500" s="9" t="str">
        <f>IFERROR(__xludf.DUMMYFUNCTION("""COMPUTED_VALUE"""),"France")</f>
        <v>France</v>
      </c>
      <c r="C500" s="9" t="str">
        <f>IFERROR(__xludf.DUMMYFUNCTION("""COMPUTED_VALUE"""),"rhone")</f>
        <v>rhone</v>
      </c>
      <c r="D500" s="9" t="str">
        <f>IFERROR(__xludf.DUMMYFUNCTION("""COMPUTED_VALUE"""),"E. Guigal, Hermitage, Ex Voto Blanc")</f>
        <v>E. Guigal, Hermitage, Ex Voto Blanc</v>
      </c>
      <c r="E500" s="9">
        <f>IFERROR(__xludf.DUMMYFUNCTION("""COMPUTED_VALUE"""),2017.0)</f>
        <v>2017</v>
      </c>
      <c r="F500" s="9">
        <f>IFERROR(__xludf.DUMMYFUNCTION("""COMPUTED_VALUE"""),750.0)</f>
        <v>750</v>
      </c>
      <c r="G500" s="9">
        <f>IFERROR(__xludf.DUMMYFUNCTION("""COMPUTED_VALUE"""),6.0)</f>
        <v>6</v>
      </c>
      <c r="H500" s="10">
        <f>IFERROR(__xludf.DUMMYFUNCTION("""COMPUTED_VALUE"""),3.0)</f>
        <v>3</v>
      </c>
      <c r="I500" s="11">
        <f>IFERROR(__xludf.DUMMYFUNCTION("""COMPUTED_VALUE"""),789.0)</f>
        <v>789</v>
      </c>
      <c r="J500" s="9" t="str">
        <f>IFERROR(__xludf.DUMMYFUNCTION("""COMPUTED_VALUE"""),"Multiple Stock Locations")</f>
        <v>Multiple Stock Locations</v>
      </c>
      <c r="K500" s="8"/>
      <c r="L500" s="12"/>
      <c r="M500" s="13"/>
      <c r="N500" s="13" t="str">
        <f>IFERROR(__xludf.DUMMYFUNCTION("IF(ISBLANK(M500),"""",M500*GOOGLEFINANCE(""USDGBP""))"),"")</f>
        <v/>
      </c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</row>
    <row r="501">
      <c r="A501" s="8" t="str">
        <f>IFERROR(__xludf.DUMMYFUNCTION("""COMPUTED_VALUE"""),"100287420160300750")</f>
        <v>100287420160300750</v>
      </c>
      <c r="B501" s="9" t="str">
        <f>IFERROR(__xludf.DUMMYFUNCTION("""COMPUTED_VALUE"""),"Australia")</f>
        <v>Australia</v>
      </c>
      <c r="C501" s="9" t="str">
        <f>IFERROR(__xludf.DUMMYFUNCTION("""COMPUTED_VALUE"""),"south australia")</f>
        <v>south australia</v>
      </c>
      <c r="D501" s="9" t="str">
        <f>IFERROR(__xludf.DUMMYFUNCTION("""COMPUTED_VALUE"""),"Henschke, Hill of Grace Vineyard, Eden Valley")</f>
        <v>Henschke, Hill of Grace Vineyard, Eden Valley</v>
      </c>
      <c r="E501" s="9">
        <f>IFERROR(__xludf.DUMMYFUNCTION("""COMPUTED_VALUE"""),2016.0)</f>
        <v>2016</v>
      </c>
      <c r="F501" s="9">
        <f>IFERROR(__xludf.DUMMYFUNCTION("""COMPUTED_VALUE"""),750.0)</f>
        <v>750</v>
      </c>
      <c r="G501" s="9">
        <f>IFERROR(__xludf.DUMMYFUNCTION("""COMPUTED_VALUE"""),3.0)</f>
        <v>3</v>
      </c>
      <c r="H501" s="10">
        <f>IFERROR(__xludf.DUMMYFUNCTION("""COMPUTED_VALUE"""),2.0)</f>
        <v>2</v>
      </c>
      <c r="I501" s="11">
        <f>IFERROR(__xludf.DUMMYFUNCTION("""COMPUTED_VALUE"""),1611.0)</f>
        <v>1611</v>
      </c>
      <c r="J501" s="9" t="str">
        <f>IFERROR(__xludf.DUMMYFUNCTION("""COMPUTED_VALUE"""),"Multiple Stock Locations")</f>
        <v>Multiple Stock Locations</v>
      </c>
      <c r="K501" s="8"/>
      <c r="L501" s="12"/>
      <c r="M501" s="13"/>
      <c r="N501" s="13" t="str">
        <f>IFERROR(__xludf.DUMMYFUNCTION("IF(ISBLANK(M501),"""",M501*GOOGLEFINANCE(""USDGBP""))"),"")</f>
        <v/>
      </c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</row>
    <row r="502">
      <c r="A502" s="8" t="str">
        <f>IFERROR(__xludf.DUMMYFUNCTION("""COMPUTED_VALUE"""),"100290420160600750")</f>
        <v>100290420160600750</v>
      </c>
      <c r="B502" s="9" t="str">
        <f>IFERROR(__xludf.DUMMYFUNCTION("""COMPUTED_VALUE"""),"Australia")</f>
        <v>Australia</v>
      </c>
      <c r="C502" s="9" t="str">
        <f>IFERROR(__xludf.DUMMYFUNCTION("""COMPUTED_VALUE"""),"south australia")</f>
        <v>south australia</v>
      </c>
      <c r="D502" s="9" t="str">
        <f>IFERROR(__xludf.DUMMYFUNCTION("""COMPUTED_VALUE"""),"Henschke, Mount Edelstone Vineyard, Eden Valley")</f>
        <v>Henschke, Mount Edelstone Vineyard, Eden Valley</v>
      </c>
      <c r="E502" s="9">
        <f>IFERROR(__xludf.DUMMYFUNCTION("""COMPUTED_VALUE"""),2016.0)</f>
        <v>2016</v>
      </c>
      <c r="F502" s="9">
        <f>IFERROR(__xludf.DUMMYFUNCTION("""COMPUTED_VALUE"""),750.0)</f>
        <v>750</v>
      </c>
      <c r="G502" s="9">
        <f>IFERROR(__xludf.DUMMYFUNCTION("""COMPUTED_VALUE"""),6.0)</f>
        <v>6</v>
      </c>
      <c r="H502" s="10">
        <f>IFERROR(__xludf.DUMMYFUNCTION("""COMPUTED_VALUE"""),16.0)</f>
        <v>16</v>
      </c>
      <c r="I502" s="11">
        <f>IFERROR(__xludf.DUMMYFUNCTION("""COMPUTED_VALUE"""),617.0)</f>
        <v>617</v>
      </c>
      <c r="J502" s="9" t="str">
        <f>IFERROR(__xludf.DUMMYFUNCTION("""COMPUTED_VALUE"""),"Multiple Stock Locations")</f>
        <v>Multiple Stock Locations</v>
      </c>
      <c r="K502" s="8"/>
      <c r="L502" s="12"/>
      <c r="M502" s="13"/>
      <c r="N502" s="13" t="str">
        <f>IFERROR(__xludf.DUMMYFUNCTION("IF(ISBLANK(M502),"""",M502*GOOGLEFINANCE(""USDGBP""))"),"")</f>
        <v/>
      </c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</row>
    <row r="503">
      <c r="A503" s="8" t="str">
        <f>IFERROR(__xludf.DUMMYFUNCTION("""COMPUTED_VALUE"""),"109526120160600750")</f>
        <v>109526120160600750</v>
      </c>
      <c r="B503" s="9" t="str">
        <f>IFERROR(__xludf.DUMMYFUNCTION("""COMPUTED_VALUE"""),"Italy")</f>
        <v>Italy</v>
      </c>
      <c r="C503" s="9" t="str">
        <f>IFERROR(__xludf.DUMMYFUNCTION("""COMPUTED_VALUE"""),"tuscany")</f>
        <v>tuscany</v>
      </c>
      <c r="D503" s="9" t="str">
        <f>IFERROR(__xludf.DUMMYFUNCTION("""COMPUTED_VALUE"""),"Altesino, Brunello di Montalcino, Montosoli")</f>
        <v>Altesino, Brunello di Montalcino, Montosoli</v>
      </c>
      <c r="E503" s="9">
        <f>IFERROR(__xludf.DUMMYFUNCTION("""COMPUTED_VALUE"""),2016.0)</f>
        <v>2016</v>
      </c>
      <c r="F503" s="9">
        <f>IFERROR(__xludf.DUMMYFUNCTION("""COMPUTED_VALUE"""),750.0)</f>
        <v>750</v>
      </c>
      <c r="G503" s="9">
        <f>IFERROR(__xludf.DUMMYFUNCTION("""COMPUTED_VALUE"""),6.0)</f>
        <v>6</v>
      </c>
      <c r="H503" s="10">
        <f>IFERROR(__xludf.DUMMYFUNCTION("""COMPUTED_VALUE"""),3.0)</f>
        <v>3</v>
      </c>
      <c r="I503" s="11">
        <f>IFERROR(__xludf.DUMMYFUNCTION("""COMPUTED_VALUE"""),414.0)</f>
        <v>414</v>
      </c>
      <c r="J503" s="9" t="str">
        <f>IFERROR(__xludf.DUMMYFUNCTION("""COMPUTED_VALUE"""),"Multiple Stock Locations")</f>
        <v>Multiple Stock Locations</v>
      </c>
      <c r="K503" s="8"/>
      <c r="L503" s="12"/>
      <c r="M503" s="13"/>
      <c r="N503" s="13" t="str">
        <f>IFERROR(__xludf.DUMMYFUNCTION("IF(ISBLANK(M503),"""",M503*GOOGLEFINANCE(""USDGBP""))"),"")</f>
        <v/>
      </c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</row>
    <row r="504">
      <c r="A504" s="8" t="str">
        <f>IFERROR(__xludf.DUMMYFUNCTION("""COMPUTED_VALUE"""),"109709220160300750")</f>
        <v>109709220160300750</v>
      </c>
      <c r="B504" s="9" t="str">
        <f>IFERROR(__xludf.DUMMYFUNCTION("""COMPUTED_VALUE"""),"Italy")</f>
        <v>Italy</v>
      </c>
      <c r="C504" s="9" t="str">
        <f>IFERROR(__xludf.DUMMYFUNCTION("""COMPUTED_VALUE"""),"tuscany")</f>
        <v>tuscany</v>
      </c>
      <c r="D504" s="9" t="str">
        <f>IFERROR(__xludf.DUMMYFUNCTION("""COMPUTED_VALUE"""),"Casanova di Neri, Brunello di Montalcino, Cerretalto")</f>
        <v>Casanova di Neri, Brunello di Montalcino, Cerretalto</v>
      </c>
      <c r="E504" s="9">
        <f>IFERROR(__xludf.DUMMYFUNCTION("""COMPUTED_VALUE"""),2016.0)</f>
        <v>2016</v>
      </c>
      <c r="F504" s="9">
        <f>IFERROR(__xludf.DUMMYFUNCTION("""COMPUTED_VALUE"""),750.0)</f>
        <v>750</v>
      </c>
      <c r="G504" s="9">
        <f>IFERROR(__xludf.DUMMYFUNCTION("""COMPUTED_VALUE"""),3.0)</f>
        <v>3</v>
      </c>
      <c r="H504" s="10">
        <f>IFERROR(__xludf.DUMMYFUNCTION("""COMPUTED_VALUE"""),8.0)</f>
        <v>8</v>
      </c>
      <c r="I504" s="11">
        <f>IFERROR(__xludf.DUMMYFUNCTION("""COMPUTED_VALUE"""),892.0)</f>
        <v>892</v>
      </c>
      <c r="J504" s="9" t="str">
        <f>IFERROR(__xludf.DUMMYFUNCTION("""COMPUTED_VALUE"""),"Multiple Stock Locations")</f>
        <v>Multiple Stock Locations</v>
      </c>
      <c r="K504" s="8"/>
      <c r="L504" s="12"/>
      <c r="M504" s="13"/>
      <c r="N504" s="13" t="str">
        <f>IFERROR(__xludf.DUMMYFUNCTION("IF(ISBLANK(M504),"""",M504*GOOGLEFINANCE(""USDGBP""))"),"")</f>
        <v/>
      </c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</row>
    <row r="505">
      <c r="A505" s="8" t="str">
        <f>IFERROR(__xludf.DUMMYFUNCTION("""COMPUTED_VALUE"""),"109711920170600750")</f>
        <v>109711920170600750</v>
      </c>
      <c r="B505" s="9" t="str">
        <f>IFERROR(__xludf.DUMMYFUNCTION("""COMPUTED_VALUE"""),"Italy")</f>
        <v>Italy</v>
      </c>
      <c r="C505" s="9" t="str">
        <f>IFERROR(__xludf.DUMMYFUNCTION("""COMPUTED_VALUE"""),"tuscany")</f>
        <v>tuscany</v>
      </c>
      <c r="D505" s="9" t="str">
        <f>IFERROR(__xludf.DUMMYFUNCTION("""COMPUTED_VALUE"""),"Casanova di Neri, Brunello di Montalcino, Tenuta Nuova")</f>
        <v>Casanova di Neri, Brunello di Montalcino, Tenuta Nuova</v>
      </c>
      <c r="E505" s="9">
        <f>IFERROR(__xludf.DUMMYFUNCTION("""COMPUTED_VALUE"""),2017.0)</f>
        <v>2017</v>
      </c>
      <c r="F505" s="9">
        <f>IFERROR(__xludf.DUMMYFUNCTION("""COMPUTED_VALUE"""),750.0)</f>
        <v>750</v>
      </c>
      <c r="G505" s="9">
        <f>IFERROR(__xludf.DUMMYFUNCTION("""COMPUTED_VALUE"""),6.0)</f>
        <v>6</v>
      </c>
      <c r="H505" s="10">
        <f>IFERROR(__xludf.DUMMYFUNCTION("""COMPUTED_VALUE"""),6.0)</f>
        <v>6</v>
      </c>
      <c r="I505" s="11">
        <f>IFERROR(__xludf.DUMMYFUNCTION("""COMPUTED_VALUE"""),488.0)</f>
        <v>488</v>
      </c>
      <c r="J505" s="9" t="str">
        <f>IFERROR(__xludf.DUMMYFUNCTION("""COMPUTED_VALUE"""),"Multiple Stock Locations")</f>
        <v>Multiple Stock Locations</v>
      </c>
      <c r="K505" s="8"/>
      <c r="L505" s="12"/>
      <c r="M505" s="13"/>
      <c r="N505" s="13" t="str">
        <f>IFERROR(__xludf.DUMMYFUNCTION("IF(ISBLANK(M505),"""",M505*GOOGLEFINANCE(""USDGBP""))"),"")</f>
        <v/>
      </c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</row>
    <row r="506">
      <c r="A506" s="8" t="str">
        <f>IFERROR(__xludf.DUMMYFUNCTION("""COMPUTED_VALUE"""),"109736620170600750")</f>
        <v>109736620170600750</v>
      </c>
      <c r="B506" s="9" t="str">
        <f>IFERROR(__xludf.DUMMYFUNCTION("""COMPUTED_VALUE"""),"Italy")</f>
        <v>Italy</v>
      </c>
      <c r="C506" s="9" t="str">
        <f>IFERROR(__xludf.DUMMYFUNCTION("""COMPUTED_VALUE"""),"tuscany")</f>
        <v>tuscany</v>
      </c>
      <c r="D506" s="9" t="str">
        <f>IFERROR(__xludf.DUMMYFUNCTION("""COMPUTED_VALUE"""),"Castello di Ama, Apparita, Toscana")</f>
        <v>Castello di Ama, Apparita, Toscana</v>
      </c>
      <c r="E506" s="9">
        <f>IFERROR(__xludf.DUMMYFUNCTION("""COMPUTED_VALUE"""),2017.0)</f>
        <v>2017</v>
      </c>
      <c r="F506" s="9">
        <f>IFERROR(__xludf.DUMMYFUNCTION("""COMPUTED_VALUE"""),750.0)</f>
        <v>750</v>
      </c>
      <c r="G506" s="9">
        <f>IFERROR(__xludf.DUMMYFUNCTION("""COMPUTED_VALUE"""),6.0)</f>
        <v>6</v>
      </c>
      <c r="H506" s="10">
        <f>IFERROR(__xludf.DUMMYFUNCTION("""COMPUTED_VALUE"""),14.0)</f>
        <v>14</v>
      </c>
      <c r="I506" s="11">
        <f>IFERROR(__xludf.DUMMYFUNCTION("""COMPUTED_VALUE"""),785.0)</f>
        <v>785</v>
      </c>
      <c r="J506" s="9" t="str">
        <f>IFERROR(__xludf.DUMMYFUNCTION("""COMPUTED_VALUE"""),"Multiple Stock Locations")</f>
        <v>Multiple Stock Locations</v>
      </c>
      <c r="K506" s="8"/>
      <c r="L506" s="12"/>
      <c r="M506" s="13"/>
      <c r="N506" s="13" t="str">
        <f>IFERROR(__xludf.DUMMYFUNCTION("IF(ISBLANK(M506),"""",M506*GOOGLEFINANCE(""USDGBP""))"),"")</f>
        <v/>
      </c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</row>
    <row r="507">
      <c r="A507" s="8" t="str">
        <f>IFERROR(__xludf.DUMMYFUNCTION("""COMPUTED_VALUE"""),"109736620180600750")</f>
        <v>109736620180600750</v>
      </c>
      <c r="B507" s="9" t="str">
        <f>IFERROR(__xludf.DUMMYFUNCTION("""COMPUTED_VALUE"""),"Italy")</f>
        <v>Italy</v>
      </c>
      <c r="C507" s="9" t="str">
        <f>IFERROR(__xludf.DUMMYFUNCTION("""COMPUTED_VALUE"""),"tuscany")</f>
        <v>tuscany</v>
      </c>
      <c r="D507" s="9" t="str">
        <f>IFERROR(__xludf.DUMMYFUNCTION("""COMPUTED_VALUE"""),"Castello di Ama, Apparita, Toscana")</f>
        <v>Castello di Ama, Apparita, Toscana</v>
      </c>
      <c r="E507" s="9">
        <f>IFERROR(__xludf.DUMMYFUNCTION("""COMPUTED_VALUE"""),2018.0)</f>
        <v>2018</v>
      </c>
      <c r="F507" s="9">
        <f>IFERROR(__xludf.DUMMYFUNCTION("""COMPUTED_VALUE"""),750.0)</f>
        <v>750</v>
      </c>
      <c r="G507" s="9">
        <f>IFERROR(__xludf.DUMMYFUNCTION("""COMPUTED_VALUE"""),6.0)</f>
        <v>6</v>
      </c>
      <c r="H507" s="10">
        <f>IFERROR(__xludf.DUMMYFUNCTION("""COMPUTED_VALUE"""),6.0)</f>
        <v>6</v>
      </c>
      <c r="I507" s="11">
        <f>IFERROR(__xludf.DUMMYFUNCTION("""COMPUTED_VALUE"""),901.0)</f>
        <v>901</v>
      </c>
      <c r="J507" s="9" t="str">
        <f>IFERROR(__xludf.DUMMYFUNCTION("""COMPUTED_VALUE"""),"Multiple Stock Locations")</f>
        <v>Multiple Stock Locations</v>
      </c>
      <c r="K507" s="8"/>
      <c r="L507" s="12"/>
      <c r="M507" s="13"/>
      <c r="N507" s="13" t="str">
        <f>IFERROR(__xludf.DUMMYFUNCTION("IF(ISBLANK(M507),"""",M507*GOOGLEFINANCE(""USDGBP""))"),"")</f>
        <v/>
      </c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</row>
    <row r="508">
      <c r="A508" s="8" t="str">
        <f>IFERROR(__xludf.DUMMYFUNCTION("""COMPUTED_VALUE"""),"109756820170600750")</f>
        <v>109756820170600750</v>
      </c>
      <c r="B508" s="9" t="str">
        <f>IFERROR(__xludf.DUMMYFUNCTION("""COMPUTED_VALUE"""),"Italy")</f>
        <v>Italy</v>
      </c>
      <c r="C508" s="9" t="str">
        <f>IFERROR(__xludf.DUMMYFUNCTION("""COMPUTED_VALUE"""),"tuscany")</f>
        <v>tuscany</v>
      </c>
      <c r="D508" s="9" t="str">
        <f>IFERROR(__xludf.DUMMYFUNCTION("""COMPUTED_VALUE"""),"Cerbaiona, Brunello di Montalcino")</f>
        <v>Cerbaiona, Brunello di Montalcino</v>
      </c>
      <c r="E508" s="9">
        <f>IFERROR(__xludf.DUMMYFUNCTION("""COMPUTED_VALUE"""),2017.0)</f>
        <v>2017</v>
      </c>
      <c r="F508" s="9">
        <f>IFERROR(__xludf.DUMMYFUNCTION("""COMPUTED_VALUE"""),750.0)</f>
        <v>750</v>
      </c>
      <c r="G508" s="9">
        <f>IFERROR(__xludf.DUMMYFUNCTION("""COMPUTED_VALUE"""),6.0)</f>
        <v>6</v>
      </c>
      <c r="H508" s="10">
        <f>IFERROR(__xludf.DUMMYFUNCTION("""COMPUTED_VALUE"""),2.0)</f>
        <v>2</v>
      </c>
      <c r="I508" s="11">
        <f>IFERROR(__xludf.DUMMYFUNCTION("""COMPUTED_VALUE"""),746.0)</f>
        <v>746</v>
      </c>
      <c r="J508" s="9" t="str">
        <f>IFERROR(__xludf.DUMMYFUNCTION("""COMPUTED_VALUE"""),"Multiple Stock Locations")</f>
        <v>Multiple Stock Locations</v>
      </c>
      <c r="K508" s="8"/>
      <c r="L508" s="12"/>
      <c r="M508" s="13"/>
      <c r="N508" s="13" t="str">
        <f>IFERROR(__xludf.DUMMYFUNCTION("IF(ISBLANK(M508),"""",M508*GOOGLEFINANCE(""USDGBP""))"),"")</f>
        <v/>
      </c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</row>
    <row r="509">
      <c r="A509" s="8" t="str">
        <f>IFERROR(__xludf.DUMMYFUNCTION("""COMPUTED_VALUE"""),"109925620180600750")</f>
        <v>109925620180600750</v>
      </c>
      <c r="B509" s="9" t="str">
        <f>IFERROR(__xludf.DUMMYFUNCTION("""COMPUTED_VALUE"""),"Italy")</f>
        <v>Italy</v>
      </c>
      <c r="C509" s="9" t="str">
        <f>IFERROR(__xludf.DUMMYFUNCTION("""COMPUTED_VALUE"""),"tuscany")</f>
        <v>tuscany</v>
      </c>
      <c r="D509" s="9" t="str">
        <f>IFERROR(__xludf.DUMMYFUNCTION("""COMPUTED_VALUE"""),"Fontodi, Flaccianello delle Pieve, Colli della Toscana Centrale")</f>
        <v>Fontodi, Flaccianello delle Pieve, Colli della Toscana Centrale</v>
      </c>
      <c r="E509" s="9">
        <f>IFERROR(__xludf.DUMMYFUNCTION("""COMPUTED_VALUE"""),2018.0)</f>
        <v>2018</v>
      </c>
      <c r="F509" s="9">
        <f>IFERROR(__xludf.DUMMYFUNCTION("""COMPUTED_VALUE"""),750.0)</f>
        <v>750</v>
      </c>
      <c r="G509" s="9">
        <f>IFERROR(__xludf.DUMMYFUNCTION("""COMPUTED_VALUE"""),6.0)</f>
        <v>6</v>
      </c>
      <c r="H509" s="10">
        <f>IFERROR(__xludf.DUMMYFUNCTION("""COMPUTED_VALUE"""),6.0)</f>
        <v>6</v>
      </c>
      <c r="I509" s="11">
        <f>IFERROR(__xludf.DUMMYFUNCTION("""COMPUTED_VALUE"""),727.0)</f>
        <v>727</v>
      </c>
      <c r="J509" s="9" t="str">
        <f>IFERROR(__xludf.DUMMYFUNCTION("""COMPUTED_VALUE"""),"Multiple Stock Locations")</f>
        <v>Multiple Stock Locations</v>
      </c>
      <c r="K509" s="8"/>
      <c r="L509" s="12"/>
      <c r="M509" s="13"/>
      <c r="N509" s="13" t="str">
        <f>IFERROR(__xludf.DUMMYFUNCTION("IF(ISBLANK(M509),"""",M509*GOOGLEFINANCE(""USDGBP""))"),"")</f>
        <v/>
      </c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</row>
    <row r="510">
      <c r="A510" s="8" t="str">
        <f>IFERROR(__xludf.DUMMYFUNCTION("""COMPUTED_VALUE"""),"110084420180600750")</f>
        <v>110084420180600750</v>
      </c>
      <c r="B510" s="9" t="str">
        <f>IFERROR(__xludf.DUMMYFUNCTION("""COMPUTED_VALUE"""),"Italy")</f>
        <v>Italy</v>
      </c>
      <c r="C510" s="9" t="str">
        <f>IFERROR(__xludf.DUMMYFUNCTION("""COMPUTED_VALUE"""),"tuscany")</f>
        <v>tuscany</v>
      </c>
      <c r="D510" s="9" t="str">
        <f>IFERROR(__xludf.DUMMYFUNCTION("""COMPUTED_VALUE"""),"Le Macchiole, Messorio, Toscana")</f>
        <v>Le Macchiole, Messorio, Toscana</v>
      </c>
      <c r="E510" s="9">
        <f>IFERROR(__xludf.DUMMYFUNCTION("""COMPUTED_VALUE"""),2018.0)</f>
        <v>2018</v>
      </c>
      <c r="F510" s="9">
        <f>IFERROR(__xludf.DUMMYFUNCTION("""COMPUTED_VALUE"""),750.0)</f>
        <v>750</v>
      </c>
      <c r="G510" s="9">
        <f>IFERROR(__xludf.DUMMYFUNCTION("""COMPUTED_VALUE"""),6.0)</f>
        <v>6</v>
      </c>
      <c r="H510" s="10">
        <f>IFERROR(__xludf.DUMMYFUNCTION("""COMPUTED_VALUE"""),3.0)</f>
        <v>3</v>
      </c>
      <c r="I510" s="11">
        <f>IFERROR(__xludf.DUMMYFUNCTION("""COMPUTED_VALUE"""),811.0)</f>
        <v>811</v>
      </c>
      <c r="J510" s="9" t="str">
        <f>IFERROR(__xludf.DUMMYFUNCTION("""COMPUTED_VALUE"""),"Multiple Stock Locations")</f>
        <v>Multiple Stock Locations</v>
      </c>
      <c r="K510" s="8"/>
      <c r="L510" s="12"/>
      <c r="M510" s="13"/>
      <c r="N510" s="13" t="str">
        <f>IFERROR(__xludf.DUMMYFUNCTION("IF(ISBLANK(M510),"""",M510*GOOGLEFINANCE(""USDGBP""))"),"")</f>
        <v/>
      </c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</row>
    <row r="511">
      <c r="A511" s="8" t="str">
        <f>IFERROR(__xludf.DUMMYFUNCTION("""COMPUTED_VALUE"""),"110118620180600750")</f>
        <v>110118620180600750</v>
      </c>
      <c r="B511" s="9" t="str">
        <f>IFERROR(__xludf.DUMMYFUNCTION("""COMPUTED_VALUE"""),"Italy")</f>
        <v>Italy</v>
      </c>
      <c r="C511" s="9" t="str">
        <f>IFERROR(__xludf.DUMMYFUNCTION("""COMPUTED_VALUE"""),"tuscany")</f>
        <v>tuscany</v>
      </c>
      <c r="D511" s="9" t="str">
        <f>IFERROR(__xludf.DUMMYFUNCTION("""COMPUTED_VALUE"""),"Marroneto, Brunello di Montalcino")</f>
        <v>Marroneto, Brunello di Montalcino</v>
      </c>
      <c r="E511" s="9">
        <f>IFERROR(__xludf.DUMMYFUNCTION("""COMPUTED_VALUE"""),2018.0)</f>
        <v>2018</v>
      </c>
      <c r="F511" s="9">
        <f>IFERROR(__xludf.DUMMYFUNCTION("""COMPUTED_VALUE"""),750.0)</f>
        <v>750</v>
      </c>
      <c r="G511" s="9">
        <f>IFERROR(__xludf.DUMMYFUNCTION("""COMPUTED_VALUE"""),6.0)</f>
        <v>6</v>
      </c>
      <c r="H511" s="10">
        <f>IFERROR(__xludf.DUMMYFUNCTION("""COMPUTED_VALUE"""),7.0)</f>
        <v>7</v>
      </c>
      <c r="I511" s="11">
        <f>IFERROR(__xludf.DUMMYFUNCTION("""COMPUTED_VALUE"""),472.0)</f>
        <v>472</v>
      </c>
      <c r="J511" s="9" t="str">
        <f>IFERROR(__xludf.DUMMYFUNCTION("""COMPUTED_VALUE"""),"Multiple Stock Locations")</f>
        <v>Multiple Stock Locations</v>
      </c>
      <c r="K511" s="8"/>
      <c r="L511" s="12"/>
      <c r="M511" s="13"/>
      <c r="N511" s="13" t="str">
        <f>IFERROR(__xludf.DUMMYFUNCTION("IF(ISBLANK(M511),"""",M511*GOOGLEFINANCE(""USDGBP""))"),"")</f>
        <v/>
      </c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</row>
    <row r="512">
      <c r="A512" s="8" t="str">
        <f>IFERROR(__xludf.DUMMYFUNCTION("""COMPUTED_VALUE"""),"110119920180600750")</f>
        <v>110119920180600750</v>
      </c>
      <c r="B512" s="9" t="str">
        <f>IFERROR(__xludf.DUMMYFUNCTION("""COMPUTED_VALUE"""),"Italy")</f>
        <v>Italy</v>
      </c>
      <c r="C512" s="9" t="str">
        <f>IFERROR(__xludf.DUMMYFUNCTION("""COMPUTED_VALUE"""),"tuscany")</f>
        <v>tuscany</v>
      </c>
      <c r="D512" s="9" t="str">
        <f>IFERROR(__xludf.DUMMYFUNCTION("""COMPUTED_VALUE"""),"Marroneto, Brunello di Montalcino, Madonna Grazie")</f>
        <v>Marroneto, Brunello di Montalcino, Madonna Grazie</v>
      </c>
      <c r="E512" s="9">
        <f>IFERROR(__xludf.DUMMYFUNCTION("""COMPUTED_VALUE"""),2018.0)</f>
        <v>2018</v>
      </c>
      <c r="F512" s="9">
        <f>IFERROR(__xludf.DUMMYFUNCTION("""COMPUTED_VALUE"""),750.0)</f>
        <v>750</v>
      </c>
      <c r="G512" s="9">
        <f>IFERROR(__xludf.DUMMYFUNCTION("""COMPUTED_VALUE"""),6.0)</f>
        <v>6</v>
      </c>
      <c r="H512" s="10">
        <f>IFERROR(__xludf.DUMMYFUNCTION("""COMPUTED_VALUE"""),1.0)</f>
        <v>1</v>
      </c>
      <c r="I512" s="11">
        <f>IFERROR(__xludf.DUMMYFUNCTION("""COMPUTED_VALUE"""),1455.0)</f>
        <v>1455</v>
      </c>
      <c r="J512" s="9" t="str">
        <f>IFERROR(__xludf.DUMMYFUNCTION("""COMPUTED_VALUE"""),"Multiple Stock Locations")</f>
        <v>Multiple Stock Locations</v>
      </c>
      <c r="K512" s="8"/>
      <c r="L512" s="12"/>
      <c r="M512" s="13"/>
      <c r="N512" s="13" t="str">
        <f>IFERROR(__xludf.DUMMYFUNCTION("IF(ISBLANK(M512),"""",M512*GOOGLEFINANCE(""USDGBP""))"),"")</f>
        <v/>
      </c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</row>
    <row r="513">
      <c r="A513" s="8" t="str">
        <f>IFERROR(__xludf.DUMMYFUNCTION("""COMPUTED_VALUE"""),"116074320180300750")</f>
        <v>116074320180300750</v>
      </c>
      <c r="B513" s="9" t="str">
        <f>IFERROR(__xludf.DUMMYFUNCTION("""COMPUTED_VALUE"""),"Italy")</f>
        <v>Italy</v>
      </c>
      <c r="C513" s="9" t="str">
        <f>IFERROR(__xludf.DUMMYFUNCTION("""COMPUTED_VALUE"""),"tuscany")</f>
        <v>tuscany</v>
      </c>
      <c r="D513" s="9" t="str">
        <f>IFERROR(__xludf.DUMMYFUNCTION("""COMPUTED_VALUE"""),"Masseto, Toscana")</f>
        <v>Masseto, Toscana</v>
      </c>
      <c r="E513" s="9">
        <f>IFERROR(__xludf.DUMMYFUNCTION("""COMPUTED_VALUE"""),2018.0)</f>
        <v>2018</v>
      </c>
      <c r="F513" s="9">
        <f>IFERROR(__xludf.DUMMYFUNCTION("""COMPUTED_VALUE"""),750.0)</f>
        <v>750</v>
      </c>
      <c r="G513" s="9">
        <f>IFERROR(__xludf.DUMMYFUNCTION("""COMPUTED_VALUE"""),3.0)</f>
        <v>3</v>
      </c>
      <c r="H513" s="10">
        <f>IFERROR(__xludf.DUMMYFUNCTION("""COMPUTED_VALUE"""),2.0)</f>
        <v>2</v>
      </c>
      <c r="I513" s="11">
        <f>IFERROR(__xludf.DUMMYFUNCTION("""COMPUTED_VALUE"""),1896.0)</f>
        <v>1896</v>
      </c>
      <c r="J513" s="9" t="str">
        <f>IFERROR(__xludf.DUMMYFUNCTION("""COMPUTED_VALUE"""),"Multiple Stock Locations")</f>
        <v>Multiple Stock Locations</v>
      </c>
      <c r="K513" s="8"/>
      <c r="L513" s="12"/>
      <c r="M513" s="13"/>
      <c r="N513" s="13" t="str">
        <f>IFERROR(__xludf.DUMMYFUNCTION("IF(ISBLANK(M513),"""",M513*GOOGLEFINANCE(""USDGBP""))"),"")</f>
        <v/>
      </c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</row>
    <row r="514">
      <c r="A514" s="8" t="str">
        <f>IFERROR(__xludf.DUMMYFUNCTION("""COMPUTED_VALUE"""),"110202420140101500")</f>
        <v>110202420140101500</v>
      </c>
      <c r="B514" s="9" t="str">
        <f>IFERROR(__xludf.DUMMYFUNCTION("""COMPUTED_VALUE"""),"Italy")</f>
        <v>Italy</v>
      </c>
      <c r="C514" s="9" t="str">
        <f>IFERROR(__xludf.DUMMYFUNCTION("""COMPUTED_VALUE"""),"tuscany")</f>
        <v>tuscany</v>
      </c>
      <c r="D514" s="9" t="str">
        <f>IFERROR(__xludf.DUMMYFUNCTION("""COMPUTED_VALUE"""),"Ornellaia, Bolgheri")</f>
        <v>Ornellaia, Bolgheri</v>
      </c>
      <c r="E514" s="9">
        <f>IFERROR(__xludf.DUMMYFUNCTION("""COMPUTED_VALUE"""),2014.0)</f>
        <v>2014</v>
      </c>
      <c r="F514" s="9">
        <f>IFERROR(__xludf.DUMMYFUNCTION("""COMPUTED_VALUE"""),1500.0)</f>
        <v>1500</v>
      </c>
      <c r="G514" s="9">
        <f>IFERROR(__xludf.DUMMYFUNCTION("""COMPUTED_VALUE"""),1.0)</f>
        <v>1</v>
      </c>
      <c r="H514" s="10">
        <f>IFERROR(__xludf.DUMMYFUNCTION("""COMPUTED_VALUE"""),3.0)</f>
        <v>3</v>
      </c>
      <c r="I514" s="11">
        <f>IFERROR(__xludf.DUMMYFUNCTION("""COMPUTED_VALUE"""),293.0)</f>
        <v>293</v>
      </c>
      <c r="J514" s="9" t="str">
        <f>IFERROR(__xludf.DUMMYFUNCTION("""COMPUTED_VALUE"""),"Multiple Stock Locations")</f>
        <v>Multiple Stock Locations</v>
      </c>
      <c r="K514" s="8"/>
      <c r="L514" s="12"/>
      <c r="M514" s="13"/>
      <c r="N514" s="13" t="str">
        <f>IFERROR(__xludf.DUMMYFUNCTION("IF(ISBLANK(M514),"""",M514*GOOGLEFINANCE(""USDGBP""))"),"")</f>
        <v/>
      </c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</row>
    <row r="515">
      <c r="A515" s="8" t="str">
        <f>IFERROR(__xludf.DUMMYFUNCTION("""COMPUTED_VALUE"""),"110202420160600750")</f>
        <v>110202420160600750</v>
      </c>
      <c r="B515" s="9" t="str">
        <f>IFERROR(__xludf.DUMMYFUNCTION("""COMPUTED_VALUE"""),"Italy")</f>
        <v>Italy</v>
      </c>
      <c r="C515" s="9" t="str">
        <f>IFERROR(__xludf.DUMMYFUNCTION("""COMPUTED_VALUE"""),"tuscany")</f>
        <v>tuscany</v>
      </c>
      <c r="D515" s="9" t="str">
        <f>IFERROR(__xludf.DUMMYFUNCTION("""COMPUTED_VALUE"""),"Ornellaia, Bolgheri")</f>
        <v>Ornellaia, Bolgheri</v>
      </c>
      <c r="E515" s="9">
        <f>IFERROR(__xludf.DUMMYFUNCTION("""COMPUTED_VALUE"""),2016.0)</f>
        <v>2016</v>
      </c>
      <c r="F515" s="9">
        <f>IFERROR(__xludf.DUMMYFUNCTION("""COMPUTED_VALUE"""),750.0)</f>
        <v>750</v>
      </c>
      <c r="G515" s="9">
        <f>IFERROR(__xludf.DUMMYFUNCTION("""COMPUTED_VALUE"""),6.0)</f>
        <v>6</v>
      </c>
      <c r="H515" s="10">
        <f>IFERROR(__xludf.DUMMYFUNCTION("""COMPUTED_VALUE"""),4.0)</f>
        <v>4</v>
      </c>
      <c r="I515" s="11">
        <f>IFERROR(__xludf.DUMMYFUNCTION("""COMPUTED_VALUE"""),1175.0)</f>
        <v>1175</v>
      </c>
      <c r="J515" s="9" t="str">
        <f>IFERROR(__xludf.DUMMYFUNCTION("""COMPUTED_VALUE"""),"Multiple Stock Locations")</f>
        <v>Multiple Stock Locations</v>
      </c>
      <c r="K515" s="8"/>
      <c r="L515" s="12"/>
      <c r="M515" s="13"/>
      <c r="N515" s="13" t="str">
        <f>IFERROR(__xludf.DUMMYFUNCTION("IF(ISBLANK(M515),"""",M515*GOOGLEFINANCE(""USDGBP""))"),"")</f>
        <v/>
      </c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</row>
    <row r="516">
      <c r="A516" s="8" t="str">
        <f>IFERROR(__xludf.DUMMYFUNCTION("""COMPUTED_VALUE"""),"110202420170600750")</f>
        <v>110202420170600750</v>
      </c>
      <c r="B516" s="9" t="str">
        <f>IFERROR(__xludf.DUMMYFUNCTION("""COMPUTED_VALUE"""),"Italy")</f>
        <v>Italy</v>
      </c>
      <c r="C516" s="9" t="str">
        <f>IFERROR(__xludf.DUMMYFUNCTION("""COMPUTED_VALUE"""),"tuscany")</f>
        <v>tuscany</v>
      </c>
      <c r="D516" s="9" t="str">
        <f>IFERROR(__xludf.DUMMYFUNCTION("""COMPUTED_VALUE"""),"Ornellaia, Bolgheri")</f>
        <v>Ornellaia, Bolgheri</v>
      </c>
      <c r="E516" s="9">
        <f>IFERROR(__xludf.DUMMYFUNCTION("""COMPUTED_VALUE"""),2017.0)</f>
        <v>2017</v>
      </c>
      <c r="F516" s="9">
        <f>IFERROR(__xludf.DUMMYFUNCTION("""COMPUTED_VALUE"""),750.0)</f>
        <v>750</v>
      </c>
      <c r="G516" s="9">
        <f>IFERROR(__xludf.DUMMYFUNCTION("""COMPUTED_VALUE"""),6.0)</f>
        <v>6</v>
      </c>
      <c r="H516" s="10">
        <f>IFERROR(__xludf.DUMMYFUNCTION("""COMPUTED_VALUE"""),20.0)</f>
        <v>20</v>
      </c>
      <c r="I516" s="11">
        <f>IFERROR(__xludf.DUMMYFUNCTION("""COMPUTED_VALUE"""),992.0)</f>
        <v>992</v>
      </c>
      <c r="J516" s="9" t="str">
        <f>IFERROR(__xludf.DUMMYFUNCTION("""COMPUTED_VALUE"""),"Multiple Stock Locations")</f>
        <v>Multiple Stock Locations</v>
      </c>
      <c r="K516" s="8"/>
      <c r="L516" s="12"/>
      <c r="M516" s="13"/>
      <c r="N516" s="13" t="str">
        <f>IFERROR(__xludf.DUMMYFUNCTION("IF(ISBLANK(M516),"""",M516*GOOGLEFINANCE(""USDGBP""))"),"")</f>
        <v/>
      </c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</row>
    <row r="517">
      <c r="A517" s="8" t="str">
        <f>IFERROR(__xludf.DUMMYFUNCTION("""COMPUTED_VALUE"""),"110202420190600750")</f>
        <v>110202420190600750</v>
      </c>
      <c r="B517" s="9" t="str">
        <f>IFERROR(__xludf.DUMMYFUNCTION("""COMPUTED_VALUE"""),"Italy")</f>
        <v>Italy</v>
      </c>
      <c r="C517" s="9" t="str">
        <f>IFERROR(__xludf.DUMMYFUNCTION("""COMPUTED_VALUE"""),"tuscany")</f>
        <v>tuscany</v>
      </c>
      <c r="D517" s="9" t="str">
        <f>IFERROR(__xludf.DUMMYFUNCTION("""COMPUTED_VALUE"""),"Ornellaia, Bolgheri")</f>
        <v>Ornellaia, Bolgheri</v>
      </c>
      <c r="E517" s="9">
        <f>IFERROR(__xludf.DUMMYFUNCTION("""COMPUTED_VALUE"""),2019.0)</f>
        <v>2019</v>
      </c>
      <c r="F517" s="9">
        <f>IFERROR(__xludf.DUMMYFUNCTION("""COMPUTED_VALUE"""),750.0)</f>
        <v>750</v>
      </c>
      <c r="G517" s="9">
        <f>IFERROR(__xludf.DUMMYFUNCTION("""COMPUTED_VALUE"""),6.0)</f>
        <v>6</v>
      </c>
      <c r="H517" s="10">
        <f>IFERROR(__xludf.DUMMYFUNCTION("""COMPUTED_VALUE"""),1.0)</f>
        <v>1</v>
      </c>
      <c r="I517" s="11">
        <f>IFERROR(__xludf.DUMMYFUNCTION("""COMPUTED_VALUE"""),971.0)</f>
        <v>971</v>
      </c>
      <c r="J517" s="9" t="str">
        <f>IFERROR(__xludf.DUMMYFUNCTION("""COMPUTED_VALUE"""),"Multiple Stock Locations")</f>
        <v>Multiple Stock Locations</v>
      </c>
      <c r="K517" s="8"/>
      <c r="L517" s="12"/>
      <c r="M517" s="13"/>
      <c r="N517" s="13" t="str">
        <f>IFERROR(__xludf.DUMMYFUNCTION("IF(ISBLANK(M517),"""",M517*GOOGLEFINANCE(""USDGBP""))"),"")</f>
        <v/>
      </c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</row>
    <row r="518">
      <c r="A518" s="8" t="str">
        <f>IFERROR(__xludf.DUMMYFUNCTION("""COMPUTED_VALUE"""),"110202420200600750")</f>
        <v>110202420200600750</v>
      </c>
      <c r="B518" s="9" t="str">
        <f>IFERROR(__xludf.DUMMYFUNCTION("""COMPUTED_VALUE"""),"Italy")</f>
        <v>Italy</v>
      </c>
      <c r="C518" s="9" t="str">
        <f>IFERROR(__xludf.DUMMYFUNCTION("""COMPUTED_VALUE"""),"tuscany")</f>
        <v>tuscany</v>
      </c>
      <c r="D518" s="9" t="str">
        <f>IFERROR(__xludf.DUMMYFUNCTION("""COMPUTED_VALUE"""),"Ornellaia, Bolgheri")</f>
        <v>Ornellaia, Bolgheri</v>
      </c>
      <c r="E518" s="9">
        <f>IFERROR(__xludf.DUMMYFUNCTION("""COMPUTED_VALUE"""),2020.0)</f>
        <v>2020</v>
      </c>
      <c r="F518" s="9">
        <f>IFERROR(__xludf.DUMMYFUNCTION("""COMPUTED_VALUE"""),750.0)</f>
        <v>750</v>
      </c>
      <c r="G518" s="9">
        <f>IFERROR(__xludf.DUMMYFUNCTION("""COMPUTED_VALUE"""),6.0)</f>
        <v>6</v>
      </c>
      <c r="H518" s="10">
        <f>IFERROR(__xludf.DUMMYFUNCTION("""COMPUTED_VALUE"""),7.0)</f>
        <v>7</v>
      </c>
      <c r="I518" s="11">
        <f>IFERROR(__xludf.DUMMYFUNCTION("""COMPUTED_VALUE"""),957.0)</f>
        <v>957</v>
      </c>
      <c r="J518" s="9" t="str">
        <f>IFERROR(__xludf.DUMMYFUNCTION("""COMPUTED_VALUE"""),"Multiple Stock Locations")</f>
        <v>Multiple Stock Locations</v>
      </c>
      <c r="K518" s="8"/>
      <c r="L518" s="12"/>
      <c r="M518" s="13"/>
      <c r="N518" s="13" t="str">
        <f>IFERROR(__xludf.DUMMYFUNCTION("IF(ISBLANK(M518),"""",M518*GOOGLEFINANCE(""USDGBP""))"),"")</f>
        <v/>
      </c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</row>
    <row r="519">
      <c r="A519" s="8" t="str">
        <f>IFERROR(__xludf.DUMMYFUNCTION("""COMPUTED_VALUE"""),"110307620130600750")</f>
        <v>110307620130600750</v>
      </c>
      <c r="B519" s="9" t="str">
        <f>IFERROR(__xludf.DUMMYFUNCTION("""COMPUTED_VALUE"""),"Italy")</f>
        <v>Italy</v>
      </c>
      <c r="C519" s="9" t="str">
        <f>IFERROR(__xludf.DUMMYFUNCTION("""COMPUTED_VALUE"""),"tuscany")</f>
        <v>tuscany</v>
      </c>
      <c r="D519" s="9" t="str">
        <f>IFERROR(__xludf.DUMMYFUNCTION("""COMPUTED_VALUE"""),"Poggio di Sotto, Brunello di Montalcino")</f>
        <v>Poggio di Sotto, Brunello di Montalcino</v>
      </c>
      <c r="E519" s="9">
        <f>IFERROR(__xludf.DUMMYFUNCTION("""COMPUTED_VALUE"""),2013.0)</f>
        <v>2013</v>
      </c>
      <c r="F519" s="9">
        <f>IFERROR(__xludf.DUMMYFUNCTION("""COMPUTED_VALUE"""),750.0)</f>
        <v>750</v>
      </c>
      <c r="G519" s="9">
        <f>IFERROR(__xludf.DUMMYFUNCTION("""COMPUTED_VALUE"""),6.0)</f>
        <v>6</v>
      </c>
      <c r="H519" s="10">
        <f>IFERROR(__xludf.DUMMYFUNCTION("""COMPUTED_VALUE"""),3.0)</f>
        <v>3</v>
      </c>
      <c r="I519" s="11">
        <f>IFERROR(__xludf.DUMMYFUNCTION("""COMPUTED_VALUE"""),1075.0)</f>
        <v>1075</v>
      </c>
      <c r="J519" s="9" t="str">
        <f>IFERROR(__xludf.DUMMYFUNCTION("""COMPUTED_VALUE"""),"Multiple Stock Locations")</f>
        <v>Multiple Stock Locations</v>
      </c>
      <c r="K519" s="8"/>
      <c r="L519" s="12"/>
      <c r="M519" s="13"/>
      <c r="N519" s="13" t="str">
        <f>IFERROR(__xludf.DUMMYFUNCTION("IF(ISBLANK(M519),"""",M519*GOOGLEFINANCE(""USDGBP""))"),"")</f>
        <v/>
      </c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</row>
    <row r="520">
      <c r="A520" s="8" t="str">
        <f>IFERROR(__xludf.DUMMYFUNCTION("""COMPUTED_VALUE"""),"110307620150600750")</f>
        <v>110307620150600750</v>
      </c>
      <c r="B520" s="9" t="str">
        <f>IFERROR(__xludf.DUMMYFUNCTION("""COMPUTED_VALUE"""),"Italy")</f>
        <v>Italy</v>
      </c>
      <c r="C520" s="9" t="str">
        <f>IFERROR(__xludf.DUMMYFUNCTION("""COMPUTED_VALUE"""),"tuscany")</f>
        <v>tuscany</v>
      </c>
      <c r="D520" s="9" t="str">
        <f>IFERROR(__xludf.DUMMYFUNCTION("""COMPUTED_VALUE"""),"Poggio di Sotto, Brunello di Montalcino")</f>
        <v>Poggio di Sotto, Brunello di Montalcino</v>
      </c>
      <c r="E520" s="9">
        <f>IFERROR(__xludf.DUMMYFUNCTION("""COMPUTED_VALUE"""),2015.0)</f>
        <v>2015</v>
      </c>
      <c r="F520" s="9">
        <f>IFERROR(__xludf.DUMMYFUNCTION("""COMPUTED_VALUE"""),750.0)</f>
        <v>750</v>
      </c>
      <c r="G520" s="9">
        <f>IFERROR(__xludf.DUMMYFUNCTION("""COMPUTED_VALUE"""),6.0)</f>
        <v>6</v>
      </c>
      <c r="H520" s="10">
        <f>IFERROR(__xludf.DUMMYFUNCTION("""COMPUTED_VALUE"""),2.0)</f>
        <v>2</v>
      </c>
      <c r="I520" s="11">
        <f>IFERROR(__xludf.DUMMYFUNCTION("""COMPUTED_VALUE"""),806.0)</f>
        <v>806</v>
      </c>
      <c r="J520" s="9" t="str">
        <f>IFERROR(__xludf.DUMMYFUNCTION("""COMPUTED_VALUE"""),"Multiple Stock Locations")</f>
        <v>Multiple Stock Locations</v>
      </c>
      <c r="K520" s="8"/>
      <c r="L520" s="12"/>
      <c r="M520" s="13"/>
      <c r="N520" s="13" t="str">
        <f>IFERROR(__xludf.DUMMYFUNCTION("IF(ISBLANK(M520),"""",M520*GOOGLEFINANCE(""USDGBP""))"),"")</f>
        <v/>
      </c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</row>
    <row r="521">
      <c r="A521" s="8" t="str">
        <f>IFERROR(__xludf.DUMMYFUNCTION("""COMPUTED_VALUE"""),"110307620160600750")</f>
        <v>110307620160600750</v>
      </c>
      <c r="B521" s="9" t="str">
        <f>IFERROR(__xludf.DUMMYFUNCTION("""COMPUTED_VALUE"""),"Italy")</f>
        <v>Italy</v>
      </c>
      <c r="C521" s="9" t="str">
        <f>IFERROR(__xludf.DUMMYFUNCTION("""COMPUTED_VALUE"""),"tuscany")</f>
        <v>tuscany</v>
      </c>
      <c r="D521" s="9" t="str">
        <f>IFERROR(__xludf.DUMMYFUNCTION("""COMPUTED_VALUE"""),"Poggio di Sotto, Brunello di Montalcino")</f>
        <v>Poggio di Sotto, Brunello di Montalcino</v>
      </c>
      <c r="E521" s="9">
        <f>IFERROR(__xludf.DUMMYFUNCTION("""COMPUTED_VALUE"""),2016.0)</f>
        <v>2016</v>
      </c>
      <c r="F521" s="9">
        <f>IFERROR(__xludf.DUMMYFUNCTION("""COMPUTED_VALUE"""),750.0)</f>
        <v>750</v>
      </c>
      <c r="G521" s="9">
        <f>IFERROR(__xludf.DUMMYFUNCTION("""COMPUTED_VALUE"""),6.0)</f>
        <v>6</v>
      </c>
      <c r="H521" s="10">
        <f>IFERROR(__xludf.DUMMYFUNCTION("""COMPUTED_VALUE"""),6.0)</f>
        <v>6</v>
      </c>
      <c r="I521" s="11">
        <f>IFERROR(__xludf.DUMMYFUNCTION("""COMPUTED_VALUE"""),931.0)</f>
        <v>931</v>
      </c>
      <c r="J521" s="9" t="str">
        <f>IFERROR(__xludf.DUMMYFUNCTION("""COMPUTED_VALUE"""),"Multiple Stock Locations")</f>
        <v>Multiple Stock Locations</v>
      </c>
      <c r="K521" s="8"/>
      <c r="L521" s="12"/>
      <c r="M521" s="13"/>
      <c r="N521" s="13" t="str">
        <f>IFERROR(__xludf.DUMMYFUNCTION("IF(ISBLANK(M521),"""",M521*GOOGLEFINANCE(""USDGBP""))"),"")</f>
        <v/>
      </c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</row>
    <row r="522">
      <c r="A522" s="8" t="str">
        <f>IFERROR(__xludf.DUMMYFUNCTION("""COMPUTED_VALUE"""),"110307620170600750")</f>
        <v>110307620170600750</v>
      </c>
      <c r="B522" s="9" t="str">
        <f>IFERROR(__xludf.DUMMYFUNCTION("""COMPUTED_VALUE"""),"Italy")</f>
        <v>Italy</v>
      </c>
      <c r="C522" s="9" t="str">
        <f>IFERROR(__xludf.DUMMYFUNCTION("""COMPUTED_VALUE"""),"tuscany")</f>
        <v>tuscany</v>
      </c>
      <c r="D522" s="9" t="str">
        <f>IFERROR(__xludf.DUMMYFUNCTION("""COMPUTED_VALUE"""),"Poggio di Sotto, Brunello di Montalcino")</f>
        <v>Poggio di Sotto, Brunello di Montalcino</v>
      </c>
      <c r="E522" s="9">
        <f>IFERROR(__xludf.DUMMYFUNCTION("""COMPUTED_VALUE"""),2017.0)</f>
        <v>2017</v>
      </c>
      <c r="F522" s="9">
        <f>IFERROR(__xludf.DUMMYFUNCTION("""COMPUTED_VALUE"""),750.0)</f>
        <v>750</v>
      </c>
      <c r="G522" s="9">
        <f>IFERROR(__xludf.DUMMYFUNCTION("""COMPUTED_VALUE"""),6.0)</f>
        <v>6</v>
      </c>
      <c r="H522" s="10">
        <f>IFERROR(__xludf.DUMMYFUNCTION("""COMPUTED_VALUE"""),11.0)</f>
        <v>11</v>
      </c>
      <c r="I522" s="11">
        <f>IFERROR(__xludf.DUMMYFUNCTION("""COMPUTED_VALUE"""),744.0)</f>
        <v>744</v>
      </c>
      <c r="J522" s="9" t="str">
        <f>IFERROR(__xludf.DUMMYFUNCTION("""COMPUTED_VALUE"""),"Multiple Stock Locations")</f>
        <v>Multiple Stock Locations</v>
      </c>
      <c r="K522" s="8"/>
      <c r="L522" s="12"/>
      <c r="M522" s="13"/>
      <c r="N522" s="13" t="str">
        <f>IFERROR(__xludf.DUMMYFUNCTION("IF(ISBLANK(M522),"""",M522*GOOGLEFINANCE(""USDGBP""))"),"")</f>
        <v/>
      </c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</row>
    <row r="523">
      <c r="A523" s="8" t="str">
        <f>IFERROR(__xludf.DUMMYFUNCTION("""COMPUTED_VALUE"""),"117525120150600750")</f>
        <v>117525120150600750</v>
      </c>
      <c r="B523" s="9" t="str">
        <f>IFERROR(__xludf.DUMMYFUNCTION("""COMPUTED_VALUE"""),"Italy")</f>
        <v>Italy</v>
      </c>
      <c r="C523" s="9" t="str">
        <f>IFERROR(__xludf.DUMMYFUNCTION("""COMPUTED_VALUE"""),"tuscany")</f>
        <v>tuscany</v>
      </c>
      <c r="D523" s="9" t="str">
        <f>IFERROR(__xludf.DUMMYFUNCTION("""COMPUTED_VALUE"""),"Poggio di Sotto, Brunello di Montalcino, Riserva")</f>
        <v>Poggio di Sotto, Brunello di Montalcino, Riserva</v>
      </c>
      <c r="E523" s="9">
        <f>IFERROR(__xludf.DUMMYFUNCTION("""COMPUTED_VALUE"""),2015.0)</f>
        <v>2015</v>
      </c>
      <c r="F523" s="9">
        <f>IFERROR(__xludf.DUMMYFUNCTION("""COMPUTED_VALUE"""),750.0)</f>
        <v>750</v>
      </c>
      <c r="G523" s="9">
        <f>IFERROR(__xludf.DUMMYFUNCTION("""COMPUTED_VALUE"""),6.0)</f>
        <v>6</v>
      </c>
      <c r="H523" s="10">
        <f>IFERROR(__xludf.DUMMYFUNCTION("""COMPUTED_VALUE"""),2.0)</f>
        <v>2</v>
      </c>
      <c r="I523" s="11">
        <f>IFERROR(__xludf.DUMMYFUNCTION("""COMPUTED_VALUE"""),1506.0)</f>
        <v>1506</v>
      </c>
      <c r="J523" s="9" t="str">
        <f>IFERROR(__xludf.DUMMYFUNCTION("""COMPUTED_VALUE"""),"Multiple Stock Locations")</f>
        <v>Multiple Stock Locations</v>
      </c>
      <c r="K523" s="8"/>
      <c r="L523" s="12"/>
      <c r="M523" s="13"/>
      <c r="N523" s="13" t="str">
        <f>IFERROR(__xludf.DUMMYFUNCTION("IF(ISBLANK(M523),"""",M523*GOOGLEFINANCE(""USDGBP""))"),"")</f>
        <v/>
      </c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</row>
    <row r="524">
      <c r="A524" s="8" t="str">
        <f>IFERROR(__xludf.DUMMYFUNCTION("""COMPUTED_VALUE"""),"117525120160600750")</f>
        <v>117525120160600750</v>
      </c>
      <c r="B524" s="9" t="str">
        <f>IFERROR(__xludf.DUMMYFUNCTION("""COMPUTED_VALUE"""),"Italy")</f>
        <v>Italy</v>
      </c>
      <c r="C524" s="9" t="str">
        <f>IFERROR(__xludf.DUMMYFUNCTION("""COMPUTED_VALUE"""),"tuscany")</f>
        <v>tuscany</v>
      </c>
      <c r="D524" s="9" t="str">
        <f>IFERROR(__xludf.DUMMYFUNCTION("""COMPUTED_VALUE"""),"Poggio di Sotto, Brunello di Montalcino, Riserva")</f>
        <v>Poggio di Sotto, Brunello di Montalcino, Riserva</v>
      </c>
      <c r="E524" s="9">
        <f>IFERROR(__xludf.DUMMYFUNCTION("""COMPUTED_VALUE"""),2016.0)</f>
        <v>2016</v>
      </c>
      <c r="F524" s="9">
        <f>IFERROR(__xludf.DUMMYFUNCTION("""COMPUTED_VALUE"""),750.0)</f>
        <v>750</v>
      </c>
      <c r="G524" s="9">
        <f>IFERROR(__xludf.DUMMYFUNCTION("""COMPUTED_VALUE"""),6.0)</f>
        <v>6</v>
      </c>
      <c r="H524" s="10">
        <f>IFERROR(__xludf.DUMMYFUNCTION("""COMPUTED_VALUE"""),5.0)</f>
        <v>5</v>
      </c>
      <c r="I524" s="11">
        <f>IFERROR(__xludf.DUMMYFUNCTION("""COMPUTED_VALUE"""),2414.0)</f>
        <v>2414</v>
      </c>
      <c r="J524" s="9" t="str">
        <f>IFERROR(__xludf.DUMMYFUNCTION("""COMPUTED_VALUE"""),"Multiple Stock Locations")</f>
        <v>Multiple Stock Locations</v>
      </c>
      <c r="K524" s="8"/>
      <c r="L524" s="12"/>
      <c r="M524" s="13"/>
      <c r="N524" s="13" t="str">
        <f>IFERROR(__xludf.DUMMYFUNCTION("IF(ISBLANK(M524),"""",M524*GOOGLEFINANCE(""USDGBP""))"),"")</f>
        <v/>
      </c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</row>
    <row r="525">
      <c r="A525" s="8" t="str">
        <f>IFERROR(__xludf.DUMMYFUNCTION("""COMPUTED_VALUE"""),"110203720150600750")</f>
        <v>110203720150600750</v>
      </c>
      <c r="B525" s="9" t="str">
        <f>IFERROR(__xludf.DUMMYFUNCTION("""COMPUTED_VALUE"""),"Italy")</f>
        <v>Italy</v>
      </c>
      <c r="C525" s="9" t="str">
        <f>IFERROR(__xludf.DUMMYFUNCTION("""COMPUTED_VALUE"""),"tuscany")</f>
        <v>tuscany</v>
      </c>
      <c r="D525" s="9" t="str">
        <f>IFERROR(__xludf.DUMMYFUNCTION("""COMPUTED_VALUE"""),"Sassicaia, Tenuta San Guido, Bolgheri")</f>
        <v>Sassicaia, Tenuta San Guido, Bolgheri</v>
      </c>
      <c r="E525" s="9">
        <f>IFERROR(__xludf.DUMMYFUNCTION("""COMPUTED_VALUE"""),2015.0)</f>
        <v>2015</v>
      </c>
      <c r="F525" s="9">
        <f>IFERROR(__xludf.DUMMYFUNCTION("""COMPUTED_VALUE"""),750.0)</f>
        <v>750</v>
      </c>
      <c r="G525" s="9">
        <f>IFERROR(__xludf.DUMMYFUNCTION("""COMPUTED_VALUE"""),6.0)</f>
        <v>6</v>
      </c>
      <c r="H525" s="10">
        <f>IFERROR(__xludf.DUMMYFUNCTION("""COMPUTED_VALUE"""),4.0)</f>
        <v>4</v>
      </c>
      <c r="I525" s="11">
        <f>IFERROR(__xludf.DUMMYFUNCTION("""COMPUTED_VALUE"""),1470.0)</f>
        <v>1470</v>
      </c>
      <c r="J525" s="9" t="str">
        <f>IFERROR(__xludf.DUMMYFUNCTION("""COMPUTED_VALUE"""),"Multiple Stock Locations")</f>
        <v>Multiple Stock Locations</v>
      </c>
      <c r="K525" s="8"/>
      <c r="L525" s="12"/>
      <c r="M525" s="13"/>
      <c r="N525" s="13" t="str">
        <f>IFERROR(__xludf.DUMMYFUNCTION("IF(ISBLANK(M525),"""",M525*GOOGLEFINANCE(""USDGBP""))"),"")</f>
        <v/>
      </c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</row>
    <row r="526">
      <c r="A526" s="8" t="str">
        <f>IFERROR(__xludf.DUMMYFUNCTION("""COMPUTED_VALUE"""),"109538820090600750")</f>
        <v>109538820090600750</v>
      </c>
      <c r="B526" s="9" t="str">
        <f>IFERROR(__xludf.DUMMYFUNCTION("""COMPUTED_VALUE"""),"Italy")</f>
        <v>Italy</v>
      </c>
      <c r="C526" s="9" t="str">
        <f>IFERROR(__xludf.DUMMYFUNCTION("""COMPUTED_VALUE"""),"tuscany")</f>
        <v>tuscany</v>
      </c>
      <c r="D526" s="9" t="str">
        <f>IFERROR(__xludf.DUMMYFUNCTION("""COMPUTED_VALUE"""),"Solaia, Toscana")</f>
        <v>Solaia, Toscana</v>
      </c>
      <c r="E526" s="9">
        <f>IFERROR(__xludf.DUMMYFUNCTION("""COMPUTED_VALUE"""),2009.0)</f>
        <v>2009</v>
      </c>
      <c r="F526" s="9">
        <f>IFERROR(__xludf.DUMMYFUNCTION("""COMPUTED_VALUE"""),750.0)</f>
        <v>750</v>
      </c>
      <c r="G526" s="9">
        <f>IFERROR(__xludf.DUMMYFUNCTION("""COMPUTED_VALUE"""),6.0)</f>
        <v>6</v>
      </c>
      <c r="H526" s="10">
        <f>IFERROR(__xludf.DUMMYFUNCTION("""COMPUTED_VALUE"""),2.0)</f>
        <v>2</v>
      </c>
      <c r="I526" s="11">
        <f>IFERROR(__xludf.DUMMYFUNCTION("""COMPUTED_VALUE"""),1537.0)</f>
        <v>1537</v>
      </c>
      <c r="J526" s="9" t="str">
        <f>IFERROR(__xludf.DUMMYFUNCTION("""COMPUTED_VALUE"""),"Multiple Stock Locations")</f>
        <v>Multiple Stock Locations</v>
      </c>
      <c r="K526" s="8"/>
      <c r="L526" s="12"/>
      <c r="M526" s="13"/>
      <c r="N526" s="13" t="str">
        <f>IFERROR(__xludf.DUMMYFUNCTION("IF(ISBLANK(M526),"""",M526*GOOGLEFINANCE(""USDGBP""))"),"")</f>
        <v/>
      </c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</row>
    <row r="527">
      <c r="A527" s="8" t="str">
        <f>IFERROR(__xludf.DUMMYFUNCTION("""COMPUTED_VALUE"""),"109538820130600750")</f>
        <v>109538820130600750</v>
      </c>
      <c r="B527" s="9" t="str">
        <f>IFERROR(__xludf.DUMMYFUNCTION("""COMPUTED_VALUE"""),"Italy")</f>
        <v>Italy</v>
      </c>
      <c r="C527" s="9" t="str">
        <f>IFERROR(__xludf.DUMMYFUNCTION("""COMPUTED_VALUE"""),"tuscany")</f>
        <v>tuscany</v>
      </c>
      <c r="D527" s="9" t="str">
        <f>IFERROR(__xludf.DUMMYFUNCTION("""COMPUTED_VALUE"""),"Solaia, Toscana")</f>
        <v>Solaia, Toscana</v>
      </c>
      <c r="E527" s="9">
        <f>IFERROR(__xludf.DUMMYFUNCTION("""COMPUTED_VALUE"""),2013.0)</f>
        <v>2013</v>
      </c>
      <c r="F527" s="9">
        <f>IFERROR(__xludf.DUMMYFUNCTION("""COMPUTED_VALUE"""),750.0)</f>
        <v>750</v>
      </c>
      <c r="G527" s="9">
        <f>IFERROR(__xludf.DUMMYFUNCTION("""COMPUTED_VALUE"""),6.0)</f>
        <v>6</v>
      </c>
      <c r="H527" s="10">
        <f>IFERROR(__xludf.DUMMYFUNCTION("""COMPUTED_VALUE"""),1.0)</f>
        <v>1</v>
      </c>
      <c r="I527" s="11">
        <f>IFERROR(__xludf.DUMMYFUNCTION("""COMPUTED_VALUE"""),1567.0)</f>
        <v>1567</v>
      </c>
      <c r="J527" s="9" t="str">
        <f>IFERROR(__xludf.DUMMYFUNCTION("""COMPUTED_VALUE"""),"Multiple Stock Locations")</f>
        <v>Multiple Stock Locations</v>
      </c>
      <c r="K527" s="8"/>
      <c r="L527" s="12"/>
      <c r="M527" s="13"/>
      <c r="N527" s="13" t="str">
        <f>IFERROR(__xludf.DUMMYFUNCTION("IF(ISBLANK(M527),"""",M527*GOOGLEFINANCE(""USDGBP""))"),"")</f>
        <v/>
      </c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</row>
    <row r="528">
      <c r="A528" s="8" t="str">
        <f>IFERROR(__xludf.DUMMYFUNCTION("""COMPUTED_VALUE"""),"109538820160600750")</f>
        <v>109538820160600750</v>
      </c>
      <c r="B528" s="9" t="str">
        <f>IFERROR(__xludf.DUMMYFUNCTION("""COMPUTED_VALUE"""),"Italy")</f>
        <v>Italy</v>
      </c>
      <c r="C528" s="9" t="str">
        <f>IFERROR(__xludf.DUMMYFUNCTION("""COMPUTED_VALUE"""),"tuscany")</f>
        <v>tuscany</v>
      </c>
      <c r="D528" s="9" t="str">
        <f>IFERROR(__xludf.DUMMYFUNCTION("""COMPUTED_VALUE"""),"Solaia, Toscana")</f>
        <v>Solaia, Toscana</v>
      </c>
      <c r="E528" s="9">
        <f>IFERROR(__xludf.DUMMYFUNCTION("""COMPUTED_VALUE"""),2016.0)</f>
        <v>2016</v>
      </c>
      <c r="F528" s="9">
        <f>IFERROR(__xludf.DUMMYFUNCTION("""COMPUTED_VALUE"""),750.0)</f>
        <v>750</v>
      </c>
      <c r="G528" s="9">
        <f>IFERROR(__xludf.DUMMYFUNCTION("""COMPUTED_VALUE"""),6.0)</f>
        <v>6</v>
      </c>
      <c r="H528" s="10">
        <f>IFERROR(__xludf.DUMMYFUNCTION("""COMPUTED_VALUE"""),1.0)</f>
        <v>1</v>
      </c>
      <c r="I528" s="11">
        <f>IFERROR(__xludf.DUMMYFUNCTION("""COMPUTED_VALUE"""),2099.0)</f>
        <v>2099</v>
      </c>
      <c r="J528" s="9" t="str">
        <f>IFERROR(__xludf.DUMMYFUNCTION("""COMPUTED_VALUE"""),"Multiple Stock Locations")</f>
        <v>Multiple Stock Locations</v>
      </c>
      <c r="K528" s="8"/>
      <c r="L528" s="12"/>
      <c r="M528" s="13"/>
      <c r="N528" s="13" t="str">
        <f>IFERROR(__xludf.DUMMYFUNCTION("IF(ISBLANK(M528),"""",M528*GOOGLEFINANCE(""USDGBP""))"),"")</f>
        <v/>
      </c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</row>
    <row r="529">
      <c r="A529" s="8" t="str">
        <f>IFERROR(__xludf.DUMMYFUNCTION("""COMPUTED_VALUE"""),"109538820170600750")</f>
        <v>109538820170600750</v>
      </c>
      <c r="B529" s="9" t="str">
        <f>IFERROR(__xludf.DUMMYFUNCTION("""COMPUTED_VALUE"""),"Italy")</f>
        <v>Italy</v>
      </c>
      <c r="C529" s="9" t="str">
        <f>IFERROR(__xludf.DUMMYFUNCTION("""COMPUTED_VALUE"""),"tuscany")</f>
        <v>tuscany</v>
      </c>
      <c r="D529" s="9" t="str">
        <f>IFERROR(__xludf.DUMMYFUNCTION("""COMPUTED_VALUE"""),"Solaia, Toscana")</f>
        <v>Solaia, Toscana</v>
      </c>
      <c r="E529" s="9">
        <f>IFERROR(__xludf.DUMMYFUNCTION("""COMPUTED_VALUE"""),2017.0)</f>
        <v>2017</v>
      </c>
      <c r="F529" s="9">
        <f>IFERROR(__xludf.DUMMYFUNCTION("""COMPUTED_VALUE"""),750.0)</f>
        <v>750</v>
      </c>
      <c r="G529" s="9">
        <f>IFERROR(__xludf.DUMMYFUNCTION("""COMPUTED_VALUE"""),6.0)</f>
        <v>6</v>
      </c>
      <c r="H529" s="10">
        <f>IFERROR(__xludf.DUMMYFUNCTION("""COMPUTED_VALUE"""),5.0)</f>
        <v>5</v>
      </c>
      <c r="I529" s="11">
        <f>IFERROR(__xludf.DUMMYFUNCTION("""COMPUTED_VALUE"""),1355.0)</f>
        <v>1355</v>
      </c>
      <c r="J529" s="9" t="str">
        <f>IFERROR(__xludf.DUMMYFUNCTION("""COMPUTED_VALUE"""),"Multiple Stock Locations")</f>
        <v>Multiple Stock Locations</v>
      </c>
      <c r="K529" s="8"/>
      <c r="L529" s="12"/>
      <c r="M529" s="13"/>
      <c r="N529" s="13" t="str">
        <f>IFERROR(__xludf.DUMMYFUNCTION("IF(ISBLANK(M529),"""",M529*GOOGLEFINANCE(""USDGBP""))"),"")</f>
        <v/>
      </c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</row>
    <row r="530">
      <c r="A530" s="8" t="str">
        <f>IFERROR(__xludf.DUMMYFUNCTION("""COMPUTED_VALUE"""),"109538820180600750")</f>
        <v>109538820180600750</v>
      </c>
      <c r="B530" s="9" t="str">
        <f>IFERROR(__xludf.DUMMYFUNCTION("""COMPUTED_VALUE"""),"Italy")</f>
        <v>Italy</v>
      </c>
      <c r="C530" s="9" t="str">
        <f>IFERROR(__xludf.DUMMYFUNCTION("""COMPUTED_VALUE"""),"tuscany")</f>
        <v>tuscany</v>
      </c>
      <c r="D530" s="9" t="str">
        <f>IFERROR(__xludf.DUMMYFUNCTION("""COMPUTED_VALUE"""),"Solaia, Toscana")</f>
        <v>Solaia, Toscana</v>
      </c>
      <c r="E530" s="9">
        <f>IFERROR(__xludf.DUMMYFUNCTION("""COMPUTED_VALUE"""),2018.0)</f>
        <v>2018</v>
      </c>
      <c r="F530" s="9">
        <f>IFERROR(__xludf.DUMMYFUNCTION("""COMPUTED_VALUE"""),750.0)</f>
        <v>750</v>
      </c>
      <c r="G530" s="9">
        <f>IFERROR(__xludf.DUMMYFUNCTION("""COMPUTED_VALUE"""),6.0)</f>
        <v>6</v>
      </c>
      <c r="H530" s="10">
        <f>IFERROR(__xludf.DUMMYFUNCTION("""COMPUTED_VALUE"""),1.0)</f>
        <v>1</v>
      </c>
      <c r="I530" s="11">
        <f>IFERROR(__xludf.DUMMYFUNCTION("""COMPUTED_VALUE"""),1429.0)</f>
        <v>1429</v>
      </c>
      <c r="J530" s="9" t="str">
        <f>IFERROR(__xludf.DUMMYFUNCTION("""COMPUTED_VALUE"""),"Multiple Stock Locations")</f>
        <v>Multiple Stock Locations</v>
      </c>
      <c r="K530" s="8"/>
      <c r="L530" s="12"/>
      <c r="M530" s="13"/>
      <c r="N530" s="13" t="str">
        <f>IFERROR(__xludf.DUMMYFUNCTION("IF(ISBLANK(M530),"""",M530*GOOGLEFINANCE(""USDGBP""))"),"")</f>
        <v/>
      </c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</row>
    <row r="531">
      <c r="A531" s="8" t="str">
        <f>IFERROR(__xludf.DUMMYFUNCTION("""COMPUTED_VALUE"""),"109538820190300750")</f>
        <v>109538820190300750</v>
      </c>
      <c r="B531" s="9" t="str">
        <f>IFERROR(__xludf.DUMMYFUNCTION("""COMPUTED_VALUE"""),"Italy")</f>
        <v>Italy</v>
      </c>
      <c r="C531" s="9" t="str">
        <f>IFERROR(__xludf.DUMMYFUNCTION("""COMPUTED_VALUE"""),"tuscany")</f>
        <v>tuscany</v>
      </c>
      <c r="D531" s="9" t="str">
        <f>IFERROR(__xludf.DUMMYFUNCTION("""COMPUTED_VALUE"""),"Solaia, Toscana")</f>
        <v>Solaia, Toscana</v>
      </c>
      <c r="E531" s="9">
        <f>IFERROR(__xludf.DUMMYFUNCTION("""COMPUTED_VALUE"""),2019.0)</f>
        <v>2019</v>
      </c>
      <c r="F531" s="9">
        <f>IFERROR(__xludf.DUMMYFUNCTION("""COMPUTED_VALUE"""),750.0)</f>
        <v>750</v>
      </c>
      <c r="G531" s="9">
        <f>IFERROR(__xludf.DUMMYFUNCTION("""COMPUTED_VALUE"""),3.0)</f>
        <v>3</v>
      </c>
      <c r="H531" s="10">
        <f>IFERROR(__xludf.DUMMYFUNCTION("""COMPUTED_VALUE"""),2.0)</f>
        <v>2</v>
      </c>
      <c r="I531" s="11">
        <f>IFERROR(__xludf.DUMMYFUNCTION("""COMPUTED_VALUE"""),734.0)</f>
        <v>734</v>
      </c>
      <c r="J531" s="9" t="str">
        <f>IFERROR(__xludf.DUMMYFUNCTION("""COMPUTED_VALUE"""),"Multiple Stock Locations")</f>
        <v>Multiple Stock Locations</v>
      </c>
      <c r="K531" s="8"/>
      <c r="L531" s="12"/>
      <c r="M531" s="13"/>
      <c r="N531" s="13" t="str">
        <f>IFERROR(__xludf.DUMMYFUNCTION("IF(ISBLANK(M531),"""",M531*GOOGLEFINANCE(""USDGBP""))"),"")</f>
        <v/>
      </c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</row>
    <row r="532">
      <c r="A532" s="8" t="str">
        <f>IFERROR(__xludf.DUMMYFUNCTION("""COMPUTED_VALUE"""),"109538820200300750")</f>
        <v>109538820200300750</v>
      </c>
      <c r="B532" s="9" t="str">
        <f>IFERROR(__xludf.DUMMYFUNCTION("""COMPUTED_VALUE"""),"Italy")</f>
        <v>Italy</v>
      </c>
      <c r="C532" s="9" t="str">
        <f>IFERROR(__xludf.DUMMYFUNCTION("""COMPUTED_VALUE"""),"tuscany")</f>
        <v>tuscany</v>
      </c>
      <c r="D532" s="9" t="str">
        <f>IFERROR(__xludf.DUMMYFUNCTION("""COMPUTED_VALUE"""),"Solaia, Toscana")</f>
        <v>Solaia, Toscana</v>
      </c>
      <c r="E532" s="9">
        <f>IFERROR(__xludf.DUMMYFUNCTION("""COMPUTED_VALUE"""),2020.0)</f>
        <v>2020</v>
      </c>
      <c r="F532" s="9">
        <f>IFERROR(__xludf.DUMMYFUNCTION("""COMPUTED_VALUE"""),750.0)</f>
        <v>750</v>
      </c>
      <c r="G532" s="9">
        <f>IFERROR(__xludf.DUMMYFUNCTION("""COMPUTED_VALUE"""),3.0)</f>
        <v>3</v>
      </c>
      <c r="H532" s="10">
        <f>IFERROR(__xludf.DUMMYFUNCTION("""COMPUTED_VALUE"""),2.0)</f>
        <v>2</v>
      </c>
      <c r="I532" s="11">
        <f>IFERROR(__xludf.DUMMYFUNCTION("""COMPUTED_VALUE"""),747.0)</f>
        <v>747</v>
      </c>
      <c r="J532" s="9" t="str">
        <f>IFERROR(__xludf.DUMMYFUNCTION("""COMPUTED_VALUE"""),"Multiple Stock Locations")</f>
        <v>Multiple Stock Locations</v>
      </c>
      <c r="K532" s="8"/>
      <c r="L532" s="12"/>
      <c r="M532" s="13"/>
      <c r="N532" s="13" t="str">
        <f>IFERROR(__xludf.DUMMYFUNCTION("IF(ISBLANK(M532),"""",M532*GOOGLEFINANCE(""USDGBP""))"),"")</f>
        <v/>
      </c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</row>
    <row r="533">
      <c r="A533" s="8" t="str">
        <f>IFERROR(__xludf.DUMMYFUNCTION("""COMPUTED_VALUE"""),"126663420180300750")</f>
        <v>126663420180300750</v>
      </c>
      <c r="B533" s="9" t="str">
        <f>IFERROR(__xludf.DUMMYFUNCTION("""COMPUTED_VALUE"""),"Italy")</f>
        <v>Italy</v>
      </c>
      <c r="C533" s="9" t="str">
        <f>IFERROR(__xludf.DUMMYFUNCTION("""COMPUTED_VALUE"""),"tuscany")</f>
        <v>tuscany</v>
      </c>
      <c r="D533" s="9" t="str">
        <f>IFERROR(__xludf.DUMMYFUNCTION("""COMPUTED_VALUE"""),"Tenuta di Biserno, Lodovico, Toscana")</f>
        <v>Tenuta di Biserno, Lodovico, Toscana</v>
      </c>
      <c r="E533" s="9">
        <f>IFERROR(__xludf.DUMMYFUNCTION("""COMPUTED_VALUE"""),2018.0)</f>
        <v>2018</v>
      </c>
      <c r="F533" s="9">
        <f>IFERROR(__xludf.DUMMYFUNCTION("""COMPUTED_VALUE"""),750.0)</f>
        <v>750</v>
      </c>
      <c r="G533" s="9">
        <f>IFERROR(__xludf.DUMMYFUNCTION("""COMPUTED_VALUE"""),3.0)</f>
        <v>3</v>
      </c>
      <c r="H533" s="10">
        <f>IFERROR(__xludf.DUMMYFUNCTION("""COMPUTED_VALUE"""),1.0)</f>
        <v>1</v>
      </c>
      <c r="I533" s="11">
        <f>IFERROR(__xludf.DUMMYFUNCTION("""COMPUTED_VALUE"""),1027.0)</f>
        <v>1027</v>
      </c>
      <c r="J533" s="9" t="str">
        <f>IFERROR(__xludf.DUMMYFUNCTION("""COMPUTED_VALUE"""),"Multiple Stock Locations")</f>
        <v>Multiple Stock Locations</v>
      </c>
      <c r="K533" s="8"/>
      <c r="L533" s="12"/>
      <c r="M533" s="13"/>
      <c r="N533" s="13" t="str">
        <f>IFERROR(__xludf.DUMMYFUNCTION("IF(ISBLANK(M533),"""",M533*GOOGLEFINANCE(""USDGBP""))"),"")</f>
        <v/>
      </c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</row>
    <row r="534">
      <c r="A534" s="8" t="str">
        <f>IFERROR(__xludf.DUMMYFUNCTION("""COMPUTED_VALUE"""),"109539120160600750")</f>
        <v>109539120160600750</v>
      </c>
      <c r="B534" s="9" t="str">
        <f>IFERROR(__xludf.DUMMYFUNCTION("""COMPUTED_VALUE"""),"Italy")</f>
        <v>Italy</v>
      </c>
      <c r="C534" s="9" t="str">
        <f>IFERROR(__xludf.DUMMYFUNCTION("""COMPUTED_VALUE"""),"tuscany")</f>
        <v>tuscany</v>
      </c>
      <c r="D534" s="9" t="str">
        <f>IFERROR(__xludf.DUMMYFUNCTION("""COMPUTED_VALUE"""),"Tignanello, Toscana")</f>
        <v>Tignanello, Toscana</v>
      </c>
      <c r="E534" s="9">
        <f>IFERROR(__xludf.DUMMYFUNCTION("""COMPUTED_VALUE"""),2016.0)</f>
        <v>2016</v>
      </c>
      <c r="F534" s="9">
        <f>IFERROR(__xludf.DUMMYFUNCTION("""COMPUTED_VALUE"""),750.0)</f>
        <v>750</v>
      </c>
      <c r="G534" s="9">
        <f>IFERROR(__xludf.DUMMYFUNCTION("""COMPUTED_VALUE"""),6.0)</f>
        <v>6</v>
      </c>
      <c r="H534" s="10">
        <f>IFERROR(__xludf.DUMMYFUNCTION("""COMPUTED_VALUE"""),25.0)</f>
        <v>25</v>
      </c>
      <c r="I534" s="11">
        <f>IFERROR(__xludf.DUMMYFUNCTION("""COMPUTED_VALUE"""),903.0)</f>
        <v>903</v>
      </c>
      <c r="J534" s="9" t="str">
        <f>IFERROR(__xludf.DUMMYFUNCTION("""COMPUTED_VALUE"""),"Multiple Stock Locations")</f>
        <v>Multiple Stock Locations</v>
      </c>
      <c r="K534" s="8"/>
      <c r="L534" s="12"/>
      <c r="M534" s="13"/>
      <c r="N534" s="13" t="str">
        <f>IFERROR(__xludf.DUMMYFUNCTION("IF(ISBLANK(M534),"""",M534*GOOGLEFINANCE(""USDGBP""))"),"")</f>
        <v/>
      </c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</row>
    <row r="535">
      <c r="A535" s="8" t="str">
        <f>IFERROR(__xludf.DUMMYFUNCTION("""COMPUTED_VALUE"""),"109539120190600750")</f>
        <v>109539120190600750</v>
      </c>
      <c r="B535" s="9" t="str">
        <f>IFERROR(__xludf.DUMMYFUNCTION("""COMPUTED_VALUE"""),"Italy")</f>
        <v>Italy</v>
      </c>
      <c r="C535" s="9" t="str">
        <f>IFERROR(__xludf.DUMMYFUNCTION("""COMPUTED_VALUE"""),"tuscany")</f>
        <v>tuscany</v>
      </c>
      <c r="D535" s="9" t="str">
        <f>IFERROR(__xludf.DUMMYFUNCTION("""COMPUTED_VALUE"""),"Tignanello, Toscana")</f>
        <v>Tignanello, Toscana</v>
      </c>
      <c r="E535" s="9">
        <f>IFERROR(__xludf.DUMMYFUNCTION("""COMPUTED_VALUE"""),2019.0)</f>
        <v>2019</v>
      </c>
      <c r="F535" s="9">
        <f>IFERROR(__xludf.DUMMYFUNCTION("""COMPUTED_VALUE"""),750.0)</f>
        <v>750</v>
      </c>
      <c r="G535" s="9">
        <f>IFERROR(__xludf.DUMMYFUNCTION("""COMPUTED_VALUE"""),6.0)</f>
        <v>6</v>
      </c>
      <c r="H535" s="10">
        <f>IFERROR(__xludf.DUMMYFUNCTION("""COMPUTED_VALUE"""),1.0)</f>
        <v>1</v>
      </c>
      <c r="I535" s="11">
        <f>IFERROR(__xludf.DUMMYFUNCTION("""COMPUTED_VALUE"""),744.0)</f>
        <v>744</v>
      </c>
      <c r="J535" s="9" t="str">
        <f>IFERROR(__xludf.DUMMYFUNCTION("""COMPUTED_VALUE"""),"Multiple Stock Locations")</f>
        <v>Multiple Stock Locations</v>
      </c>
      <c r="K535" s="8"/>
      <c r="L535" s="12"/>
      <c r="M535" s="13"/>
      <c r="N535" s="13" t="str">
        <f>IFERROR(__xludf.DUMMYFUNCTION("IF(ISBLANK(M535),"""",M535*GOOGLEFINANCE(""USDGBP""))"),"")</f>
        <v/>
      </c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</row>
    <row r="536">
      <c r="A536" s="8" t="str">
        <f>IFERROR(__xludf.DUMMYFUNCTION("""COMPUTED_VALUE"""),"110582320190300750")</f>
        <v>110582320190300750</v>
      </c>
      <c r="B536" s="9" t="str">
        <f>IFERROR(__xludf.DUMMYFUNCTION("""COMPUTED_VALUE"""),"Italy")</f>
        <v>Italy</v>
      </c>
      <c r="C536" s="9" t="str">
        <f>IFERROR(__xludf.DUMMYFUNCTION("""COMPUTED_VALUE"""),"tuscany")</f>
        <v>tuscany</v>
      </c>
      <c r="D536" s="9" t="str">
        <f>IFERROR(__xludf.DUMMYFUNCTION("""COMPUTED_VALUE"""),"Tua Rita, Redigaffi, Toscana")</f>
        <v>Tua Rita, Redigaffi, Toscana</v>
      </c>
      <c r="E536" s="9">
        <f>IFERROR(__xludf.DUMMYFUNCTION("""COMPUTED_VALUE"""),2019.0)</f>
        <v>2019</v>
      </c>
      <c r="F536" s="9">
        <f>IFERROR(__xludf.DUMMYFUNCTION("""COMPUTED_VALUE"""),750.0)</f>
        <v>750</v>
      </c>
      <c r="G536" s="9">
        <f>IFERROR(__xludf.DUMMYFUNCTION("""COMPUTED_VALUE"""),3.0)</f>
        <v>3</v>
      </c>
      <c r="H536" s="10">
        <f>IFERROR(__xludf.DUMMYFUNCTION("""COMPUTED_VALUE"""),17.0)</f>
        <v>17</v>
      </c>
      <c r="I536" s="11">
        <f>IFERROR(__xludf.DUMMYFUNCTION("""COMPUTED_VALUE"""),477.0)</f>
        <v>477</v>
      </c>
      <c r="J536" s="9" t="str">
        <f>IFERROR(__xludf.DUMMYFUNCTION("""COMPUTED_VALUE"""),"Multiple Stock Locations")</f>
        <v>Multiple Stock Locations</v>
      </c>
      <c r="K536" s="8"/>
      <c r="L536" s="12"/>
      <c r="M536" s="13"/>
      <c r="N536" s="13" t="str">
        <f>IFERROR(__xludf.DUMMYFUNCTION("IF(ISBLANK(M536),"""",M536*GOOGLEFINANCE(""USDGBP""))"),"")</f>
        <v/>
      </c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</row>
    <row r="537">
      <c r="A537" s="8" t="str">
        <f>IFERROR(__xludf.DUMMYFUNCTION("""COMPUTED_VALUE"""),"110582320200300750")</f>
        <v>110582320200300750</v>
      </c>
      <c r="B537" s="9" t="str">
        <f>IFERROR(__xludf.DUMMYFUNCTION("""COMPUTED_VALUE"""),"Italy")</f>
        <v>Italy</v>
      </c>
      <c r="C537" s="9" t="str">
        <f>IFERROR(__xludf.DUMMYFUNCTION("""COMPUTED_VALUE"""),"tuscany")</f>
        <v>tuscany</v>
      </c>
      <c r="D537" s="9" t="str">
        <f>IFERROR(__xludf.DUMMYFUNCTION("""COMPUTED_VALUE"""),"Tua Rita, Redigaffi, Toscana")</f>
        <v>Tua Rita, Redigaffi, Toscana</v>
      </c>
      <c r="E537" s="9">
        <f>IFERROR(__xludf.DUMMYFUNCTION("""COMPUTED_VALUE"""),2020.0)</f>
        <v>2020</v>
      </c>
      <c r="F537" s="9">
        <f>IFERROR(__xludf.DUMMYFUNCTION("""COMPUTED_VALUE"""),750.0)</f>
        <v>750</v>
      </c>
      <c r="G537" s="9">
        <f>IFERROR(__xludf.DUMMYFUNCTION("""COMPUTED_VALUE"""),3.0)</f>
        <v>3</v>
      </c>
      <c r="H537" s="10">
        <f>IFERROR(__xludf.DUMMYFUNCTION("""COMPUTED_VALUE"""),15.0)</f>
        <v>15</v>
      </c>
      <c r="I537" s="11">
        <f>IFERROR(__xludf.DUMMYFUNCTION("""COMPUTED_VALUE"""),403.0)</f>
        <v>403</v>
      </c>
      <c r="J537" s="9" t="str">
        <f>IFERROR(__xludf.DUMMYFUNCTION("""COMPUTED_VALUE"""),"Multiple Stock Locations")</f>
        <v>Multiple Stock Locations</v>
      </c>
      <c r="K537" s="8"/>
      <c r="L537" s="12"/>
      <c r="M537" s="13"/>
      <c r="N537" s="13" t="str">
        <f>IFERROR(__xludf.DUMMYFUNCTION("IF(ISBLANK(M537),"""",M537*GOOGLEFINANCE(""USDGBP""))"),"")</f>
        <v/>
      </c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</row>
    <row r="538">
      <c r="A538" s="8" t="str">
        <f>IFERROR(__xludf.DUMMYFUNCTION("""COMPUTED_VALUE"""),"110596620100600750")</f>
        <v>110596620100600750</v>
      </c>
      <c r="B538" s="9" t="str">
        <f>IFERROR(__xludf.DUMMYFUNCTION("""COMPUTED_VALUE"""),"Italy")</f>
        <v>Italy</v>
      </c>
      <c r="C538" s="9" t="str">
        <f>IFERROR(__xludf.DUMMYFUNCTION("""COMPUTED_VALUE"""),"tuscany")</f>
        <v>tuscany</v>
      </c>
      <c r="D538" s="9" t="str">
        <f>IFERROR(__xludf.DUMMYFUNCTION("""COMPUTED_VALUE"""),"Valdicava, Brunello di Montalcino, Riserva Madonna Piano")</f>
        <v>Valdicava, Brunello di Montalcino, Riserva Madonna Piano</v>
      </c>
      <c r="E538" s="9">
        <f>IFERROR(__xludf.DUMMYFUNCTION("""COMPUTED_VALUE"""),2010.0)</f>
        <v>2010</v>
      </c>
      <c r="F538" s="9">
        <f>IFERROR(__xludf.DUMMYFUNCTION("""COMPUTED_VALUE"""),750.0)</f>
        <v>750</v>
      </c>
      <c r="G538" s="9">
        <f>IFERROR(__xludf.DUMMYFUNCTION("""COMPUTED_VALUE"""),6.0)</f>
        <v>6</v>
      </c>
      <c r="H538" s="10">
        <f>IFERROR(__xludf.DUMMYFUNCTION("""COMPUTED_VALUE"""),3.0)</f>
        <v>3</v>
      </c>
      <c r="I538" s="11">
        <f>IFERROR(__xludf.DUMMYFUNCTION("""COMPUTED_VALUE"""),907.0)</f>
        <v>907</v>
      </c>
      <c r="J538" s="9" t="str">
        <f>IFERROR(__xludf.DUMMYFUNCTION("""COMPUTED_VALUE"""),"Multiple Stock Locations")</f>
        <v>Multiple Stock Locations</v>
      </c>
      <c r="K538" s="8"/>
      <c r="L538" s="12"/>
      <c r="M538" s="13"/>
      <c r="N538" s="13" t="str">
        <f>IFERROR(__xludf.DUMMYFUNCTION("IF(ISBLANK(M538),"""",M538*GOOGLEFINANCE(""USDGBP""))"),"")</f>
        <v/>
      </c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</row>
    <row r="539">
      <c r="A539" s="8" t="str">
        <f>IFERROR(__xludf.DUMMYFUNCTION("""COMPUTED_VALUE"""),"110596620130600750")</f>
        <v>110596620130600750</v>
      </c>
      <c r="B539" s="9" t="str">
        <f>IFERROR(__xludf.DUMMYFUNCTION("""COMPUTED_VALUE"""),"Italy")</f>
        <v>Italy</v>
      </c>
      <c r="C539" s="9" t="str">
        <f>IFERROR(__xludf.DUMMYFUNCTION("""COMPUTED_VALUE"""),"tuscany")</f>
        <v>tuscany</v>
      </c>
      <c r="D539" s="9" t="str">
        <f>IFERROR(__xludf.DUMMYFUNCTION("""COMPUTED_VALUE"""),"Valdicava, Brunello di Montalcino, Riserva Madonna Piano")</f>
        <v>Valdicava, Brunello di Montalcino, Riserva Madonna Piano</v>
      </c>
      <c r="E539" s="9">
        <f>IFERROR(__xludf.DUMMYFUNCTION("""COMPUTED_VALUE"""),2013.0)</f>
        <v>2013</v>
      </c>
      <c r="F539" s="9">
        <f>IFERROR(__xludf.DUMMYFUNCTION("""COMPUTED_VALUE"""),750.0)</f>
        <v>750</v>
      </c>
      <c r="G539" s="9">
        <f>IFERROR(__xludf.DUMMYFUNCTION("""COMPUTED_VALUE"""),6.0)</f>
        <v>6</v>
      </c>
      <c r="H539" s="10">
        <f>IFERROR(__xludf.DUMMYFUNCTION("""COMPUTED_VALUE"""),1.0)</f>
        <v>1</v>
      </c>
      <c r="I539" s="11">
        <f>IFERROR(__xludf.DUMMYFUNCTION("""COMPUTED_VALUE"""),884.0)</f>
        <v>884</v>
      </c>
      <c r="J539" s="9" t="str">
        <f>IFERROR(__xludf.DUMMYFUNCTION("""COMPUTED_VALUE"""),"Multiple Stock Locations")</f>
        <v>Multiple Stock Locations</v>
      </c>
      <c r="K539" s="8"/>
      <c r="L539" s="12"/>
      <c r="M539" s="13"/>
      <c r="N539" s="13" t="str">
        <f>IFERROR(__xludf.DUMMYFUNCTION("IF(ISBLANK(M539),"""",M539*GOOGLEFINANCE(""USDGBP""))"),"")</f>
        <v/>
      </c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</row>
    <row r="540">
      <c r="A540" s="8" t="str">
        <f>IFERROR(__xludf.DUMMYFUNCTION("""COMPUTED_VALUE"""),"110596620150600750")</f>
        <v>110596620150600750</v>
      </c>
      <c r="B540" s="9" t="str">
        <f>IFERROR(__xludf.DUMMYFUNCTION("""COMPUTED_VALUE"""),"Italy")</f>
        <v>Italy</v>
      </c>
      <c r="C540" s="9" t="str">
        <f>IFERROR(__xludf.DUMMYFUNCTION("""COMPUTED_VALUE"""),"tuscany")</f>
        <v>tuscany</v>
      </c>
      <c r="D540" s="9" t="str">
        <f>IFERROR(__xludf.DUMMYFUNCTION("""COMPUTED_VALUE"""),"Valdicava, Brunello di Montalcino, Riserva Madonna Piano")</f>
        <v>Valdicava, Brunello di Montalcino, Riserva Madonna Piano</v>
      </c>
      <c r="E540" s="9">
        <f>IFERROR(__xludf.DUMMYFUNCTION("""COMPUTED_VALUE"""),2015.0)</f>
        <v>2015</v>
      </c>
      <c r="F540" s="9">
        <f>IFERROR(__xludf.DUMMYFUNCTION("""COMPUTED_VALUE"""),750.0)</f>
        <v>750</v>
      </c>
      <c r="G540" s="9">
        <f>IFERROR(__xludf.DUMMYFUNCTION("""COMPUTED_VALUE"""),6.0)</f>
        <v>6</v>
      </c>
      <c r="H540" s="10">
        <f>IFERROR(__xludf.DUMMYFUNCTION("""COMPUTED_VALUE"""),5.0)</f>
        <v>5</v>
      </c>
      <c r="I540" s="11">
        <f>IFERROR(__xludf.DUMMYFUNCTION("""COMPUTED_VALUE"""),1007.0)</f>
        <v>1007</v>
      </c>
      <c r="J540" s="9" t="str">
        <f>IFERROR(__xludf.DUMMYFUNCTION("""COMPUTED_VALUE"""),"Multiple Stock Locations")</f>
        <v>Multiple Stock Locations</v>
      </c>
      <c r="K540" s="8"/>
      <c r="L540" s="12"/>
      <c r="M540" s="13"/>
      <c r="N540" s="13" t="str">
        <f>IFERROR(__xludf.DUMMYFUNCTION("IF(ISBLANK(M540),"""",M540*GOOGLEFINANCE(""USDGBP""))"),"")</f>
        <v/>
      </c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</row>
    <row r="541">
      <c r="A541" s="8" t="str">
        <f>IFERROR(__xludf.DUMMYFUNCTION("""COMPUTED_VALUE"""),"108321720070600750")</f>
        <v>108321720070600750</v>
      </c>
      <c r="B541" s="9" t="str">
        <f>IFERROR(__xludf.DUMMYFUNCTION("""COMPUTED_VALUE"""),"Chile")</f>
        <v>Chile</v>
      </c>
      <c r="C541" s="9" t="str">
        <f>IFERROR(__xludf.DUMMYFUNCTION("""COMPUTED_VALUE"""),"aconcagua")</f>
        <v>aconcagua</v>
      </c>
      <c r="D541" s="9" t="str">
        <f>IFERROR(__xludf.DUMMYFUNCTION("""COMPUTED_VALUE"""),"Sena, Aconcagua Valley")</f>
        <v>Sena, Aconcagua Valley</v>
      </c>
      <c r="E541" s="9">
        <f>IFERROR(__xludf.DUMMYFUNCTION("""COMPUTED_VALUE"""),2007.0)</f>
        <v>2007</v>
      </c>
      <c r="F541" s="9">
        <f>IFERROR(__xludf.DUMMYFUNCTION("""COMPUTED_VALUE"""),750.0)</f>
        <v>750</v>
      </c>
      <c r="G541" s="9">
        <f>IFERROR(__xludf.DUMMYFUNCTION("""COMPUTED_VALUE"""),6.0)</f>
        <v>6</v>
      </c>
      <c r="H541" s="10">
        <f>IFERROR(__xludf.DUMMYFUNCTION("""COMPUTED_VALUE"""),1.0)</f>
        <v>1</v>
      </c>
      <c r="I541" s="11">
        <f>IFERROR(__xludf.DUMMYFUNCTION("""COMPUTED_VALUE"""),654.0)</f>
        <v>654</v>
      </c>
      <c r="J541" s="9" t="str">
        <f>IFERROR(__xludf.DUMMYFUNCTION("""COMPUTED_VALUE"""),"UK")</f>
        <v>UK</v>
      </c>
      <c r="K541" s="8"/>
      <c r="L541" s="12"/>
      <c r="M541" s="13"/>
      <c r="N541" s="13" t="str">
        <f>IFERROR(__xludf.DUMMYFUNCTION("IF(ISBLANK(M541),"""",M541*GOOGLEFINANCE(""USDGBP""))"),"")</f>
        <v/>
      </c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</row>
    <row r="542">
      <c r="A542" s="8" t="str">
        <f>IFERROR(__xludf.DUMMYFUNCTION("""COMPUTED_VALUE"""),"108321720090600750")</f>
        <v>108321720090600750</v>
      </c>
      <c r="B542" s="9" t="str">
        <f>IFERROR(__xludf.DUMMYFUNCTION("""COMPUTED_VALUE"""),"Chile")</f>
        <v>Chile</v>
      </c>
      <c r="C542" s="9" t="str">
        <f>IFERROR(__xludf.DUMMYFUNCTION("""COMPUTED_VALUE"""),"aconcagua")</f>
        <v>aconcagua</v>
      </c>
      <c r="D542" s="9" t="str">
        <f>IFERROR(__xludf.DUMMYFUNCTION("""COMPUTED_VALUE"""),"Sena, Aconcagua Valley")</f>
        <v>Sena, Aconcagua Valley</v>
      </c>
      <c r="E542" s="9">
        <f>IFERROR(__xludf.DUMMYFUNCTION("""COMPUTED_VALUE"""),2009.0)</f>
        <v>2009</v>
      </c>
      <c r="F542" s="9">
        <f>IFERROR(__xludf.DUMMYFUNCTION("""COMPUTED_VALUE"""),750.0)</f>
        <v>750</v>
      </c>
      <c r="G542" s="9">
        <f>IFERROR(__xludf.DUMMYFUNCTION("""COMPUTED_VALUE"""),6.0)</f>
        <v>6</v>
      </c>
      <c r="H542" s="10">
        <f>IFERROR(__xludf.DUMMYFUNCTION("""COMPUTED_VALUE"""),1.0)</f>
        <v>1</v>
      </c>
      <c r="I542" s="11">
        <f>IFERROR(__xludf.DUMMYFUNCTION("""COMPUTED_VALUE"""),532.0)</f>
        <v>532</v>
      </c>
      <c r="J542" s="9" t="str">
        <f>IFERROR(__xludf.DUMMYFUNCTION("""COMPUTED_VALUE"""),"UK")</f>
        <v>UK</v>
      </c>
      <c r="K542" s="8"/>
      <c r="L542" s="12"/>
      <c r="M542" s="13"/>
      <c r="N542" s="13" t="str">
        <f>IFERROR(__xludf.DUMMYFUNCTION("IF(ISBLANK(M542),"""",M542*GOOGLEFINANCE(""USDGBP""))"),"")</f>
        <v/>
      </c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</row>
    <row r="543">
      <c r="A543" s="8" t="str">
        <f>IFERROR(__xludf.DUMMYFUNCTION("""COMPUTED_VALUE"""),"108321720180600750")</f>
        <v>108321720180600750</v>
      </c>
      <c r="B543" s="9" t="str">
        <f>IFERROR(__xludf.DUMMYFUNCTION("""COMPUTED_VALUE"""),"Chile")</f>
        <v>Chile</v>
      </c>
      <c r="C543" s="9" t="str">
        <f>IFERROR(__xludf.DUMMYFUNCTION("""COMPUTED_VALUE"""),"aconcagua")</f>
        <v>aconcagua</v>
      </c>
      <c r="D543" s="9" t="str">
        <f>IFERROR(__xludf.DUMMYFUNCTION("""COMPUTED_VALUE"""),"Sena, Aconcagua Valley")</f>
        <v>Sena, Aconcagua Valley</v>
      </c>
      <c r="E543" s="9">
        <f>IFERROR(__xludf.DUMMYFUNCTION("""COMPUTED_VALUE"""),2018.0)</f>
        <v>2018</v>
      </c>
      <c r="F543" s="9">
        <f>IFERROR(__xludf.DUMMYFUNCTION("""COMPUTED_VALUE"""),750.0)</f>
        <v>750</v>
      </c>
      <c r="G543" s="9">
        <f>IFERROR(__xludf.DUMMYFUNCTION("""COMPUTED_VALUE"""),6.0)</f>
        <v>6</v>
      </c>
      <c r="H543" s="10">
        <f>IFERROR(__xludf.DUMMYFUNCTION("""COMPUTED_VALUE"""),2.0)</f>
        <v>2</v>
      </c>
      <c r="I543" s="11">
        <f>IFERROR(__xludf.DUMMYFUNCTION("""COMPUTED_VALUE"""),484.0)</f>
        <v>484</v>
      </c>
      <c r="J543" s="9" t="str">
        <f>IFERROR(__xludf.DUMMYFUNCTION("""COMPUTED_VALUE"""),"UK")</f>
        <v>UK</v>
      </c>
      <c r="K543" s="8"/>
      <c r="L543" s="12"/>
      <c r="M543" s="13"/>
      <c r="N543" s="13" t="str">
        <f>IFERROR(__xludf.DUMMYFUNCTION("IF(ISBLANK(M543),"""",M543*GOOGLEFINANCE(""USDGBP""))"),"")</f>
        <v/>
      </c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</row>
    <row r="544">
      <c r="A544" s="8" t="str">
        <f>IFERROR(__xludf.DUMMYFUNCTION("""COMPUTED_VALUE"""),"100946620200900750")</f>
        <v>100946620200900750</v>
      </c>
      <c r="B544" s="9" t="str">
        <f>IFERROR(__xludf.DUMMYFUNCTION("""COMPUTED_VALUE"""),"France")</f>
        <v>France</v>
      </c>
      <c r="C544" s="9" t="str">
        <f>IFERROR(__xludf.DUMMYFUNCTION("""COMPUTED_VALUE"""),"bordeaux")</f>
        <v>bordeaux</v>
      </c>
      <c r="D544" s="9" t="str">
        <f>IFERROR(__xludf.DUMMYFUNCTION("""COMPUTED_VALUE"""),"Duclot, Collection Assortment Case")</f>
        <v>Duclot, Collection Assortment Case</v>
      </c>
      <c r="E544" s="9">
        <f>IFERROR(__xludf.DUMMYFUNCTION("""COMPUTED_VALUE"""),2020.0)</f>
        <v>2020</v>
      </c>
      <c r="F544" s="9">
        <f>IFERROR(__xludf.DUMMYFUNCTION("""COMPUTED_VALUE"""),750.0)</f>
        <v>750</v>
      </c>
      <c r="G544" s="9">
        <f>IFERROR(__xludf.DUMMYFUNCTION("""COMPUTED_VALUE"""),9.0)</f>
        <v>9</v>
      </c>
      <c r="H544" s="10">
        <f>IFERROR(__xludf.DUMMYFUNCTION("""COMPUTED_VALUE"""),1.0)</f>
        <v>1</v>
      </c>
      <c r="I544" s="11">
        <f>IFERROR(__xludf.DUMMYFUNCTION("""COMPUTED_VALUE"""),8672.0)</f>
        <v>8672</v>
      </c>
      <c r="J544" s="9" t="str">
        <f>IFERROR(__xludf.DUMMYFUNCTION("""COMPUTED_VALUE"""),"UK")</f>
        <v>UK</v>
      </c>
      <c r="K544" s="8"/>
      <c r="L544" s="12"/>
      <c r="M544" s="13"/>
      <c r="N544" s="13" t="str">
        <f>IFERROR(__xludf.DUMMYFUNCTION("IF(ISBLANK(M544),"""",M544*GOOGLEFINANCE(""USDGBP""))"),"")</f>
        <v/>
      </c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</row>
    <row r="545">
      <c r="A545" s="8" t="str">
        <f>IFERROR(__xludf.DUMMYFUNCTION("""COMPUTED_VALUE"""),"100696020120600750")</f>
        <v>100696020120600750</v>
      </c>
      <c r="B545" s="9" t="str">
        <f>IFERROR(__xludf.DUMMYFUNCTION("""COMPUTED_VALUE"""),"France")</f>
        <v>France</v>
      </c>
      <c r="C545" s="9" t="str">
        <f>IFERROR(__xludf.DUMMYFUNCTION("""COMPUTED_VALUE"""),"bordeaux")</f>
        <v>bordeaux</v>
      </c>
      <c r="D545" s="9" t="str">
        <f>IFERROR(__xludf.DUMMYFUNCTION("""COMPUTED_VALUE"""),"Bellevue Mondotte, Saint-Emilion Grand Cru")</f>
        <v>Bellevue Mondotte, Saint-Emilion Grand Cru</v>
      </c>
      <c r="E545" s="9">
        <f>IFERROR(__xludf.DUMMYFUNCTION("""COMPUTED_VALUE"""),2012.0)</f>
        <v>2012</v>
      </c>
      <c r="F545" s="9">
        <f>IFERROR(__xludf.DUMMYFUNCTION("""COMPUTED_VALUE"""),750.0)</f>
        <v>750</v>
      </c>
      <c r="G545" s="9">
        <f>IFERROR(__xludf.DUMMYFUNCTION("""COMPUTED_VALUE"""),6.0)</f>
        <v>6</v>
      </c>
      <c r="H545" s="10">
        <f>IFERROR(__xludf.DUMMYFUNCTION("""COMPUTED_VALUE"""),4.0)</f>
        <v>4</v>
      </c>
      <c r="I545" s="11">
        <f>IFERROR(__xludf.DUMMYFUNCTION("""COMPUTED_VALUE"""),556.0)</f>
        <v>556</v>
      </c>
      <c r="J545" s="9" t="str">
        <f>IFERROR(__xludf.DUMMYFUNCTION("""COMPUTED_VALUE"""),"UK")</f>
        <v>UK</v>
      </c>
      <c r="K545" s="8"/>
      <c r="L545" s="12"/>
      <c r="M545" s="13"/>
      <c r="N545" s="13" t="str">
        <f>IFERROR(__xludf.DUMMYFUNCTION("IF(ISBLANK(M545),"""",M545*GOOGLEFINANCE(""USDGBP""))"),"")</f>
        <v/>
      </c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</row>
    <row r="546">
      <c r="A546" s="8" t="str">
        <f>IFERROR(__xludf.DUMMYFUNCTION("""COMPUTED_VALUE"""),"100696020200600750")</f>
        <v>100696020200600750</v>
      </c>
      <c r="B546" s="9" t="str">
        <f>IFERROR(__xludf.DUMMYFUNCTION("""COMPUTED_VALUE"""),"France")</f>
        <v>France</v>
      </c>
      <c r="C546" s="9" t="str">
        <f>IFERROR(__xludf.DUMMYFUNCTION("""COMPUTED_VALUE"""),"bordeaux")</f>
        <v>bordeaux</v>
      </c>
      <c r="D546" s="9" t="str">
        <f>IFERROR(__xludf.DUMMYFUNCTION("""COMPUTED_VALUE"""),"Bellevue Mondotte, Saint-Emilion Grand Cru")</f>
        <v>Bellevue Mondotte, Saint-Emilion Grand Cru</v>
      </c>
      <c r="E546" s="9">
        <f>IFERROR(__xludf.DUMMYFUNCTION("""COMPUTED_VALUE"""),2020.0)</f>
        <v>2020</v>
      </c>
      <c r="F546" s="9">
        <f>IFERROR(__xludf.DUMMYFUNCTION("""COMPUTED_VALUE"""),750.0)</f>
        <v>750</v>
      </c>
      <c r="G546" s="9">
        <f>IFERROR(__xludf.DUMMYFUNCTION("""COMPUTED_VALUE"""),6.0)</f>
        <v>6</v>
      </c>
      <c r="H546" s="10">
        <f>IFERROR(__xludf.DUMMYFUNCTION("""COMPUTED_VALUE"""),2.0)</f>
        <v>2</v>
      </c>
      <c r="I546" s="11">
        <f>IFERROR(__xludf.DUMMYFUNCTION("""COMPUTED_VALUE"""),552.0)</f>
        <v>552</v>
      </c>
      <c r="J546" s="9" t="str">
        <f>IFERROR(__xludf.DUMMYFUNCTION("""COMPUTED_VALUE"""),"UK")</f>
        <v>UK</v>
      </c>
      <c r="K546" s="8"/>
      <c r="L546" s="12"/>
      <c r="M546" s="13"/>
      <c r="N546" s="13" t="str">
        <f>IFERROR(__xludf.DUMMYFUNCTION("IF(ISBLANK(M546),"""",M546*GOOGLEFINANCE(""USDGBP""))"),"")</f>
        <v/>
      </c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</row>
    <row r="547">
      <c r="A547" s="8" t="str">
        <f>IFERROR(__xludf.DUMMYFUNCTION("""COMPUTED_VALUE"""),"100604520170600750")</f>
        <v>100604520170600750</v>
      </c>
      <c r="B547" s="9" t="str">
        <f>IFERROR(__xludf.DUMMYFUNCTION("""COMPUTED_VALUE"""),"France")</f>
        <v>France</v>
      </c>
      <c r="C547" s="9" t="str">
        <f>IFERROR(__xludf.DUMMYFUNCTION("""COMPUTED_VALUE"""),"bordeaux")</f>
        <v>bordeaux</v>
      </c>
      <c r="D547" s="9" t="str">
        <f>IFERROR(__xludf.DUMMYFUNCTION("""COMPUTED_VALUE"""),"Chateau Angelus, Saint-Emilion Grand Cru")</f>
        <v>Chateau Angelus, Saint-Emilion Grand Cru</v>
      </c>
      <c r="E547" s="9">
        <f>IFERROR(__xludf.DUMMYFUNCTION("""COMPUTED_VALUE"""),2017.0)</f>
        <v>2017</v>
      </c>
      <c r="F547" s="9">
        <f>IFERROR(__xludf.DUMMYFUNCTION("""COMPUTED_VALUE"""),750.0)</f>
        <v>750</v>
      </c>
      <c r="G547" s="9">
        <f>IFERROR(__xludf.DUMMYFUNCTION("""COMPUTED_VALUE"""),6.0)</f>
        <v>6</v>
      </c>
      <c r="H547" s="10">
        <f>IFERROR(__xludf.DUMMYFUNCTION("""COMPUTED_VALUE"""),12.0)</f>
        <v>12</v>
      </c>
      <c r="I547" s="11">
        <f>IFERROR(__xludf.DUMMYFUNCTION("""COMPUTED_VALUE"""),1469.0)</f>
        <v>1469</v>
      </c>
      <c r="J547" s="9" t="str">
        <f>IFERROR(__xludf.DUMMYFUNCTION("""COMPUTED_VALUE"""),"UK")</f>
        <v>UK</v>
      </c>
      <c r="K547" s="8"/>
      <c r="L547" s="12"/>
      <c r="M547" s="13"/>
      <c r="N547" s="13" t="str">
        <f>IFERROR(__xludf.DUMMYFUNCTION("IF(ISBLANK(M547),"""",M547*GOOGLEFINANCE(""USDGBP""))"),"")</f>
        <v/>
      </c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</row>
    <row r="548">
      <c r="A548" s="8" t="str">
        <f>IFERROR(__xludf.DUMMYFUNCTION("""COMPUTED_VALUE"""),"100604520180600750")</f>
        <v>100604520180600750</v>
      </c>
      <c r="B548" s="9" t="str">
        <f>IFERROR(__xludf.DUMMYFUNCTION("""COMPUTED_VALUE"""),"France")</f>
        <v>France</v>
      </c>
      <c r="C548" s="9" t="str">
        <f>IFERROR(__xludf.DUMMYFUNCTION("""COMPUTED_VALUE"""),"bordeaux")</f>
        <v>bordeaux</v>
      </c>
      <c r="D548" s="9" t="str">
        <f>IFERROR(__xludf.DUMMYFUNCTION("""COMPUTED_VALUE"""),"Chateau Angelus, Saint-Emilion Grand Cru")</f>
        <v>Chateau Angelus, Saint-Emilion Grand Cru</v>
      </c>
      <c r="E548" s="9">
        <f>IFERROR(__xludf.DUMMYFUNCTION("""COMPUTED_VALUE"""),2018.0)</f>
        <v>2018</v>
      </c>
      <c r="F548" s="9">
        <f>IFERROR(__xludf.DUMMYFUNCTION("""COMPUTED_VALUE"""),750.0)</f>
        <v>750</v>
      </c>
      <c r="G548" s="9">
        <f>IFERROR(__xludf.DUMMYFUNCTION("""COMPUTED_VALUE"""),6.0)</f>
        <v>6</v>
      </c>
      <c r="H548" s="10">
        <f>IFERROR(__xludf.DUMMYFUNCTION("""COMPUTED_VALUE"""),2.0)</f>
        <v>2</v>
      </c>
      <c r="I548" s="11">
        <f>IFERROR(__xludf.DUMMYFUNCTION("""COMPUTED_VALUE"""),1556.0)</f>
        <v>1556</v>
      </c>
      <c r="J548" s="9" t="str">
        <f>IFERROR(__xludf.DUMMYFUNCTION("""COMPUTED_VALUE"""),"UK")</f>
        <v>UK</v>
      </c>
      <c r="K548" s="8"/>
      <c r="L548" s="12"/>
      <c r="M548" s="13"/>
      <c r="N548" s="13" t="str">
        <f>IFERROR(__xludf.DUMMYFUNCTION("IF(ISBLANK(M548),"""",M548*GOOGLEFINANCE(""USDGBP""))"),"")</f>
        <v/>
      </c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</row>
    <row r="549">
      <c r="A549" s="8" t="str">
        <f>IFERROR(__xludf.DUMMYFUNCTION("""COMPUTED_VALUE"""),"100604520190600750")</f>
        <v>100604520190600750</v>
      </c>
      <c r="B549" s="9" t="str">
        <f>IFERROR(__xludf.DUMMYFUNCTION("""COMPUTED_VALUE"""),"France")</f>
        <v>France</v>
      </c>
      <c r="C549" s="9" t="str">
        <f>IFERROR(__xludf.DUMMYFUNCTION("""COMPUTED_VALUE"""),"bordeaux")</f>
        <v>bordeaux</v>
      </c>
      <c r="D549" s="9" t="str">
        <f>IFERROR(__xludf.DUMMYFUNCTION("""COMPUTED_VALUE"""),"Chateau Angelus, Saint-Emilion Grand Cru")</f>
        <v>Chateau Angelus, Saint-Emilion Grand Cru</v>
      </c>
      <c r="E549" s="9">
        <f>IFERROR(__xludf.DUMMYFUNCTION("""COMPUTED_VALUE"""),2019.0)</f>
        <v>2019</v>
      </c>
      <c r="F549" s="9">
        <f>IFERROR(__xludf.DUMMYFUNCTION("""COMPUTED_VALUE"""),750.0)</f>
        <v>750</v>
      </c>
      <c r="G549" s="9">
        <f>IFERROR(__xludf.DUMMYFUNCTION("""COMPUTED_VALUE"""),6.0)</f>
        <v>6</v>
      </c>
      <c r="H549" s="10">
        <f>IFERROR(__xludf.DUMMYFUNCTION("""COMPUTED_VALUE"""),2.0)</f>
        <v>2</v>
      </c>
      <c r="I549" s="11">
        <f>IFERROR(__xludf.DUMMYFUNCTION("""COMPUTED_VALUE"""),1567.0)</f>
        <v>1567</v>
      </c>
      <c r="J549" s="9" t="str">
        <f>IFERROR(__xludf.DUMMYFUNCTION("""COMPUTED_VALUE"""),"UK")</f>
        <v>UK</v>
      </c>
      <c r="K549" s="8"/>
      <c r="L549" s="12"/>
      <c r="M549" s="13"/>
      <c r="N549" s="13" t="str">
        <f>IFERROR(__xludf.DUMMYFUNCTION("IF(ISBLANK(M549),"""",M549*GOOGLEFINANCE(""USDGBP""))"),"")</f>
        <v/>
      </c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</row>
    <row r="550">
      <c r="A550" s="8" t="str">
        <f>IFERROR(__xludf.DUMMYFUNCTION("""COMPUTED_VALUE"""),"100620520170600750")</f>
        <v>100620520170600750</v>
      </c>
      <c r="B550" s="9" t="str">
        <f>IFERROR(__xludf.DUMMYFUNCTION("""COMPUTED_VALUE"""),"France")</f>
        <v>France</v>
      </c>
      <c r="C550" s="9" t="str">
        <f>IFERROR(__xludf.DUMMYFUNCTION("""COMPUTED_VALUE"""),"bordeaux")</f>
        <v>bordeaux</v>
      </c>
      <c r="D550" s="9" t="str">
        <f>IFERROR(__xludf.DUMMYFUNCTION("""COMPUTED_VALUE"""),"Chateau Ausone, Saint-Emilion Grand Cru")</f>
        <v>Chateau Ausone, Saint-Emilion Grand Cru</v>
      </c>
      <c r="E550" s="9">
        <f>IFERROR(__xludf.DUMMYFUNCTION("""COMPUTED_VALUE"""),2017.0)</f>
        <v>2017</v>
      </c>
      <c r="F550" s="9">
        <f>IFERROR(__xludf.DUMMYFUNCTION("""COMPUTED_VALUE"""),750.0)</f>
        <v>750</v>
      </c>
      <c r="G550" s="9">
        <f>IFERROR(__xludf.DUMMYFUNCTION("""COMPUTED_VALUE"""),6.0)</f>
        <v>6</v>
      </c>
      <c r="H550" s="10">
        <f>IFERROR(__xludf.DUMMYFUNCTION("""COMPUTED_VALUE"""),1.0)</f>
        <v>1</v>
      </c>
      <c r="I550" s="11">
        <f>IFERROR(__xludf.DUMMYFUNCTION("""COMPUTED_VALUE"""),2488.0)</f>
        <v>2488</v>
      </c>
      <c r="J550" s="9" t="str">
        <f>IFERROR(__xludf.DUMMYFUNCTION("""COMPUTED_VALUE"""),"UK")</f>
        <v>UK</v>
      </c>
      <c r="K550" s="8"/>
      <c r="L550" s="12"/>
      <c r="M550" s="13"/>
      <c r="N550" s="13" t="str">
        <f>IFERROR(__xludf.DUMMYFUNCTION("IF(ISBLANK(M550),"""",M550*GOOGLEFINANCE(""USDGBP""))"),"")</f>
        <v/>
      </c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</row>
    <row r="551">
      <c r="A551" s="8" t="str">
        <f>IFERROR(__xludf.DUMMYFUNCTION("""COMPUTED_VALUE"""),"100620520180600750")</f>
        <v>100620520180600750</v>
      </c>
      <c r="B551" s="9" t="str">
        <f>IFERROR(__xludf.DUMMYFUNCTION("""COMPUTED_VALUE"""),"France")</f>
        <v>France</v>
      </c>
      <c r="C551" s="9" t="str">
        <f>IFERROR(__xludf.DUMMYFUNCTION("""COMPUTED_VALUE"""),"bordeaux")</f>
        <v>bordeaux</v>
      </c>
      <c r="D551" s="9" t="str">
        <f>IFERROR(__xludf.DUMMYFUNCTION("""COMPUTED_VALUE"""),"Chateau Ausone, Saint-Emilion Grand Cru")</f>
        <v>Chateau Ausone, Saint-Emilion Grand Cru</v>
      </c>
      <c r="E551" s="9">
        <f>IFERROR(__xludf.DUMMYFUNCTION("""COMPUTED_VALUE"""),2018.0)</f>
        <v>2018</v>
      </c>
      <c r="F551" s="9">
        <f>IFERROR(__xludf.DUMMYFUNCTION("""COMPUTED_VALUE"""),750.0)</f>
        <v>750</v>
      </c>
      <c r="G551" s="9">
        <f>IFERROR(__xludf.DUMMYFUNCTION("""COMPUTED_VALUE"""),6.0)</f>
        <v>6</v>
      </c>
      <c r="H551" s="10">
        <f>IFERROR(__xludf.DUMMYFUNCTION("""COMPUTED_VALUE"""),1.0)</f>
        <v>1</v>
      </c>
      <c r="I551" s="11">
        <f>IFERROR(__xludf.DUMMYFUNCTION("""COMPUTED_VALUE"""),3403.0)</f>
        <v>3403</v>
      </c>
      <c r="J551" s="9" t="str">
        <f>IFERROR(__xludf.DUMMYFUNCTION("""COMPUTED_VALUE"""),"UK")</f>
        <v>UK</v>
      </c>
      <c r="K551" s="8"/>
      <c r="L551" s="12"/>
      <c r="M551" s="13"/>
      <c r="N551" s="13" t="str">
        <f>IFERROR(__xludf.DUMMYFUNCTION("IF(ISBLANK(M551),"""",M551*GOOGLEFINANCE(""USDGBP""))"),"")</f>
        <v/>
      </c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</row>
    <row r="552">
      <c r="A552" s="8" t="str">
        <f>IFERROR(__xludf.DUMMYFUNCTION("""COMPUTED_VALUE"""),"100620520210300750")</f>
        <v>100620520210300750</v>
      </c>
      <c r="B552" s="9" t="str">
        <f>IFERROR(__xludf.DUMMYFUNCTION("""COMPUTED_VALUE"""),"France")</f>
        <v>France</v>
      </c>
      <c r="C552" s="9" t="str">
        <f>IFERROR(__xludf.DUMMYFUNCTION("""COMPUTED_VALUE"""),"bordeaux")</f>
        <v>bordeaux</v>
      </c>
      <c r="D552" s="9" t="str">
        <f>IFERROR(__xludf.DUMMYFUNCTION("""COMPUTED_VALUE"""),"Chateau Ausone, Saint-Emilion Grand Cru")</f>
        <v>Chateau Ausone, Saint-Emilion Grand Cru</v>
      </c>
      <c r="E552" s="9">
        <f>IFERROR(__xludf.DUMMYFUNCTION("""COMPUTED_VALUE"""),2021.0)</f>
        <v>2021</v>
      </c>
      <c r="F552" s="9">
        <f>IFERROR(__xludf.DUMMYFUNCTION("""COMPUTED_VALUE"""),750.0)</f>
        <v>750</v>
      </c>
      <c r="G552" s="9">
        <f>IFERROR(__xludf.DUMMYFUNCTION("""COMPUTED_VALUE"""),3.0)</f>
        <v>3</v>
      </c>
      <c r="H552" s="10">
        <f>IFERROR(__xludf.DUMMYFUNCTION("""COMPUTED_VALUE"""),1.0)</f>
        <v>1</v>
      </c>
      <c r="I552" s="11">
        <f>IFERROR(__xludf.DUMMYFUNCTION("""COMPUTED_VALUE"""),1553.0)</f>
        <v>1553</v>
      </c>
      <c r="J552" s="9" t="str">
        <f>IFERROR(__xludf.DUMMYFUNCTION("""COMPUTED_VALUE"""),"UK")</f>
        <v>UK</v>
      </c>
      <c r="K552" s="8"/>
      <c r="L552" s="12"/>
      <c r="M552" s="13"/>
      <c r="N552" s="13" t="str">
        <f>IFERROR(__xludf.DUMMYFUNCTION("IF(ISBLANK(M552),"""",M552*GOOGLEFINANCE(""USDGBP""))"),"")</f>
        <v/>
      </c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</row>
    <row r="553">
      <c r="A553" s="8" t="str">
        <f>IFERROR(__xludf.DUMMYFUNCTION("""COMPUTED_VALUE"""),"100632220081200750")</f>
        <v>100632220081200750</v>
      </c>
      <c r="B553" s="9" t="str">
        <f>IFERROR(__xludf.DUMMYFUNCTION("""COMPUTED_VALUE"""),"France")</f>
        <v>France</v>
      </c>
      <c r="C553" s="9" t="str">
        <f>IFERROR(__xludf.DUMMYFUNCTION("""COMPUTED_VALUE"""),"bordeaux")</f>
        <v>bordeaux</v>
      </c>
      <c r="D553" s="9" t="str">
        <f>IFERROR(__xludf.DUMMYFUNCTION("""COMPUTED_VALUE"""),"Chateau Batailley 5eme Cru Classe, Pauillac")</f>
        <v>Chateau Batailley 5eme Cru Classe, Pauillac</v>
      </c>
      <c r="E553" s="9">
        <f>IFERROR(__xludf.DUMMYFUNCTION("""COMPUTED_VALUE"""),2008.0)</f>
        <v>2008</v>
      </c>
      <c r="F553" s="9">
        <f>IFERROR(__xludf.DUMMYFUNCTION("""COMPUTED_VALUE"""),750.0)</f>
        <v>750</v>
      </c>
      <c r="G553" s="9">
        <f>IFERROR(__xludf.DUMMYFUNCTION("""COMPUTED_VALUE"""),12.0)</f>
        <v>12</v>
      </c>
      <c r="H553" s="10">
        <f>IFERROR(__xludf.DUMMYFUNCTION("""COMPUTED_VALUE"""),2.0)</f>
        <v>2</v>
      </c>
      <c r="I553" s="11">
        <f>IFERROR(__xludf.DUMMYFUNCTION("""COMPUTED_VALUE"""),604.0)</f>
        <v>604</v>
      </c>
      <c r="J553" s="9" t="str">
        <f>IFERROR(__xludf.DUMMYFUNCTION("""COMPUTED_VALUE"""),"UK")</f>
        <v>UK</v>
      </c>
      <c r="K553" s="8"/>
      <c r="L553" s="12"/>
      <c r="M553" s="13"/>
      <c r="N553" s="13" t="str">
        <f>IFERROR(__xludf.DUMMYFUNCTION("IF(ISBLANK(M553),"""",M553*GOOGLEFINANCE(""USDGBP""))"),"")</f>
        <v/>
      </c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</row>
    <row r="554">
      <c r="A554" s="8" t="str">
        <f>IFERROR(__xludf.DUMMYFUNCTION("""COMPUTED_VALUE"""),"100642320101200750")</f>
        <v>100642320101200750</v>
      </c>
      <c r="B554" s="9" t="str">
        <f>IFERROR(__xludf.DUMMYFUNCTION("""COMPUTED_VALUE"""),"France")</f>
        <v>France</v>
      </c>
      <c r="C554" s="9" t="str">
        <f>IFERROR(__xludf.DUMMYFUNCTION("""COMPUTED_VALUE"""),"bordeaux")</f>
        <v>bordeaux</v>
      </c>
      <c r="D554" s="9" t="str">
        <f>IFERROR(__xludf.DUMMYFUNCTION("""COMPUTED_VALUE"""),"Chateau Beausejour Duffau-Lagarrosse Premier Grand Cru Classe B, Saint-Emilion Grand Cru")</f>
        <v>Chateau Beausejour Duffau-Lagarrosse Premier Grand Cru Classe B, Saint-Emilion Grand Cru</v>
      </c>
      <c r="E554" s="9">
        <f>IFERROR(__xludf.DUMMYFUNCTION("""COMPUTED_VALUE"""),2010.0)</f>
        <v>2010</v>
      </c>
      <c r="F554" s="9">
        <f>IFERROR(__xludf.DUMMYFUNCTION("""COMPUTED_VALUE"""),750.0)</f>
        <v>750</v>
      </c>
      <c r="G554" s="9">
        <f>IFERROR(__xludf.DUMMYFUNCTION("""COMPUTED_VALUE"""),12.0)</f>
        <v>12</v>
      </c>
      <c r="H554" s="10">
        <f>IFERROR(__xludf.DUMMYFUNCTION("""COMPUTED_VALUE"""),1.0)</f>
        <v>1</v>
      </c>
      <c r="I554" s="11">
        <f>IFERROR(__xludf.DUMMYFUNCTION("""COMPUTED_VALUE"""),3040.0)</f>
        <v>3040</v>
      </c>
      <c r="J554" s="9" t="str">
        <f>IFERROR(__xludf.DUMMYFUNCTION("""COMPUTED_VALUE"""),"UK")</f>
        <v>UK</v>
      </c>
      <c r="K554" s="8"/>
      <c r="L554" s="12"/>
      <c r="M554" s="13"/>
      <c r="N554" s="13" t="str">
        <f>IFERROR(__xludf.DUMMYFUNCTION("IF(ISBLANK(M554),"""",M554*GOOGLEFINANCE(""USDGBP""))"),"")</f>
        <v/>
      </c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</row>
    <row r="555">
      <c r="A555" s="8" t="str">
        <f>IFERROR(__xludf.DUMMYFUNCTION("""COMPUTED_VALUE"""),"100642320140600750")</f>
        <v>100642320140600750</v>
      </c>
      <c r="B555" s="9" t="str">
        <f>IFERROR(__xludf.DUMMYFUNCTION("""COMPUTED_VALUE"""),"France")</f>
        <v>France</v>
      </c>
      <c r="C555" s="9" t="str">
        <f>IFERROR(__xludf.DUMMYFUNCTION("""COMPUTED_VALUE"""),"bordeaux")</f>
        <v>bordeaux</v>
      </c>
      <c r="D555" s="9" t="str">
        <f>IFERROR(__xludf.DUMMYFUNCTION("""COMPUTED_VALUE"""),"Chateau Beausejour Duffau-Lagarrosse Premier Grand Cru Classe B, Saint-Emilion Grand Cru")</f>
        <v>Chateau Beausejour Duffau-Lagarrosse Premier Grand Cru Classe B, Saint-Emilion Grand Cru</v>
      </c>
      <c r="E555" s="9">
        <f>IFERROR(__xludf.DUMMYFUNCTION("""COMPUTED_VALUE"""),2014.0)</f>
        <v>2014</v>
      </c>
      <c r="F555" s="9">
        <f>IFERROR(__xludf.DUMMYFUNCTION("""COMPUTED_VALUE"""),750.0)</f>
        <v>750</v>
      </c>
      <c r="G555" s="9">
        <f>IFERROR(__xludf.DUMMYFUNCTION("""COMPUTED_VALUE"""),6.0)</f>
        <v>6</v>
      </c>
      <c r="H555" s="10">
        <f>IFERROR(__xludf.DUMMYFUNCTION("""COMPUTED_VALUE"""),1.0)</f>
        <v>1</v>
      </c>
      <c r="I555" s="11">
        <f>IFERROR(__xludf.DUMMYFUNCTION("""COMPUTED_VALUE"""),381.0)</f>
        <v>381</v>
      </c>
      <c r="J555" s="9" t="str">
        <f>IFERROR(__xludf.DUMMYFUNCTION("""COMPUTED_VALUE"""),"UK")</f>
        <v>UK</v>
      </c>
      <c r="K555" s="8"/>
      <c r="L555" s="12"/>
      <c r="M555" s="13"/>
      <c r="N555" s="13" t="str">
        <f>IFERROR(__xludf.DUMMYFUNCTION("IF(ISBLANK(M555),"""",M555*GOOGLEFINANCE(""USDGBP""))"),"")</f>
        <v/>
      </c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</row>
    <row r="556">
      <c r="A556" s="8" t="str">
        <f>IFERROR(__xludf.DUMMYFUNCTION("""COMPUTED_VALUE"""),"100642320140301500")</f>
        <v>100642320140301500</v>
      </c>
      <c r="B556" s="9" t="str">
        <f>IFERROR(__xludf.DUMMYFUNCTION("""COMPUTED_VALUE"""),"France")</f>
        <v>France</v>
      </c>
      <c r="C556" s="9" t="str">
        <f>IFERROR(__xludf.DUMMYFUNCTION("""COMPUTED_VALUE"""),"bordeaux")</f>
        <v>bordeaux</v>
      </c>
      <c r="D556" s="9" t="str">
        <f>IFERROR(__xludf.DUMMYFUNCTION("""COMPUTED_VALUE"""),"Chateau Beausejour Duffau-Lagarrosse Premier Grand Cru Classe B, Saint-Emilion Grand Cru")</f>
        <v>Chateau Beausejour Duffau-Lagarrosse Premier Grand Cru Classe B, Saint-Emilion Grand Cru</v>
      </c>
      <c r="E556" s="9">
        <f>IFERROR(__xludf.DUMMYFUNCTION("""COMPUTED_VALUE"""),2014.0)</f>
        <v>2014</v>
      </c>
      <c r="F556" s="9">
        <f>IFERROR(__xludf.DUMMYFUNCTION("""COMPUTED_VALUE"""),1500.0)</f>
        <v>1500</v>
      </c>
      <c r="G556" s="9">
        <f>IFERROR(__xludf.DUMMYFUNCTION("""COMPUTED_VALUE"""),3.0)</f>
        <v>3</v>
      </c>
      <c r="H556" s="10">
        <f>IFERROR(__xludf.DUMMYFUNCTION("""COMPUTED_VALUE"""),1.0)</f>
        <v>1</v>
      </c>
      <c r="I556" s="11">
        <f>IFERROR(__xludf.DUMMYFUNCTION("""COMPUTED_VALUE"""),381.0)</f>
        <v>381</v>
      </c>
      <c r="J556" s="9" t="str">
        <f>IFERROR(__xludf.DUMMYFUNCTION("""COMPUTED_VALUE"""),"UK")</f>
        <v>UK</v>
      </c>
      <c r="K556" s="8"/>
      <c r="L556" s="12"/>
      <c r="M556" s="13"/>
      <c r="N556" s="13" t="str">
        <f>IFERROR(__xludf.DUMMYFUNCTION("IF(ISBLANK(M556),"""",M556*GOOGLEFINANCE(""USDGBP""))"),"")</f>
        <v/>
      </c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</row>
    <row r="557">
      <c r="A557" s="8" t="str">
        <f>IFERROR(__xludf.DUMMYFUNCTION("""COMPUTED_VALUE"""),"100642320150600750")</f>
        <v>100642320150600750</v>
      </c>
      <c r="B557" s="9" t="str">
        <f>IFERROR(__xludf.DUMMYFUNCTION("""COMPUTED_VALUE"""),"France")</f>
        <v>France</v>
      </c>
      <c r="C557" s="9" t="str">
        <f>IFERROR(__xludf.DUMMYFUNCTION("""COMPUTED_VALUE"""),"bordeaux")</f>
        <v>bordeaux</v>
      </c>
      <c r="D557" s="9" t="str">
        <f>IFERROR(__xludf.DUMMYFUNCTION("""COMPUTED_VALUE"""),"Chateau Beausejour Duffau-Lagarrosse Premier Grand Cru Classe B, Saint-Emilion Grand Cru")</f>
        <v>Chateau Beausejour Duffau-Lagarrosse Premier Grand Cru Classe B, Saint-Emilion Grand Cru</v>
      </c>
      <c r="E557" s="9">
        <f>IFERROR(__xludf.DUMMYFUNCTION("""COMPUTED_VALUE"""),2015.0)</f>
        <v>2015</v>
      </c>
      <c r="F557" s="9">
        <f>IFERROR(__xludf.DUMMYFUNCTION("""COMPUTED_VALUE"""),750.0)</f>
        <v>750</v>
      </c>
      <c r="G557" s="9">
        <f>IFERROR(__xludf.DUMMYFUNCTION("""COMPUTED_VALUE"""),6.0)</f>
        <v>6</v>
      </c>
      <c r="H557" s="10">
        <f>IFERROR(__xludf.DUMMYFUNCTION("""COMPUTED_VALUE"""),2.0)</f>
        <v>2</v>
      </c>
      <c r="I557" s="11">
        <f>IFERROR(__xludf.DUMMYFUNCTION("""COMPUTED_VALUE"""),683.0)</f>
        <v>683</v>
      </c>
      <c r="J557" s="9" t="str">
        <f>IFERROR(__xludf.DUMMYFUNCTION("""COMPUTED_VALUE"""),"UK")</f>
        <v>UK</v>
      </c>
      <c r="K557" s="8"/>
      <c r="L557" s="12"/>
      <c r="M557" s="13"/>
      <c r="N557" s="13" t="str">
        <f>IFERROR(__xludf.DUMMYFUNCTION("IF(ISBLANK(M557),"""",M557*GOOGLEFINANCE(""USDGBP""))"),"")</f>
        <v/>
      </c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</row>
    <row r="558">
      <c r="A558" s="8" t="str">
        <f>IFERROR(__xludf.DUMMYFUNCTION("""COMPUTED_VALUE"""),"100642320161200750")</f>
        <v>100642320161200750</v>
      </c>
      <c r="B558" s="9" t="str">
        <f>IFERROR(__xludf.DUMMYFUNCTION("""COMPUTED_VALUE"""),"France")</f>
        <v>France</v>
      </c>
      <c r="C558" s="9" t="str">
        <f>IFERROR(__xludf.DUMMYFUNCTION("""COMPUTED_VALUE"""),"bordeaux")</f>
        <v>bordeaux</v>
      </c>
      <c r="D558" s="9" t="str">
        <f>IFERROR(__xludf.DUMMYFUNCTION("""COMPUTED_VALUE"""),"Chateau Beausejour Duffau-Lagarrosse Premier Grand Cru Classe B, Saint-Emilion Grand Cru")</f>
        <v>Chateau Beausejour Duffau-Lagarrosse Premier Grand Cru Classe B, Saint-Emilion Grand Cru</v>
      </c>
      <c r="E558" s="9">
        <f>IFERROR(__xludf.DUMMYFUNCTION("""COMPUTED_VALUE"""),2016.0)</f>
        <v>2016</v>
      </c>
      <c r="F558" s="9">
        <f>IFERROR(__xludf.DUMMYFUNCTION("""COMPUTED_VALUE"""),750.0)</f>
        <v>750</v>
      </c>
      <c r="G558" s="9">
        <f>IFERROR(__xludf.DUMMYFUNCTION("""COMPUTED_VALUE"""),12.0)</f>
        <v>12</v>
      </c>
      <c r="H558" s="10">
        <f>IFERROR(__xludf.DUMMYFUNCTION("""COMPUTED_VALUE"""),3.0)</f>
        <v>3</v>
      </c>
      <c r="I558" s="11">
        <f>IFERROR(__xludf.DUMMYFUNCTION("""COMPUTED_VALUE"""),1343.0)</f>
        <v>1343</v>
      </c>
      <c r="J558" s="9" t="str">
        <f>IFERROR(__xludf.DUMMYFUNCTION("""COMPUTED_VALUE"""),"UK")</f>
        <v>UK</v>
      </c>
      <c r="K558" s="8"/>
      <c r="L558" s="12"/>
      <c r="M558" s="13"/>
      <c r="N558" s="13" t="str">
        <f>IFERROR(__xludf.DUMMYFUNCTION("IF(ISBLANK(M558),"""",M558*GOOGLEFINANCE(""USDGBP""))"),"")</f>
        <v/>
      </c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</row>
    <row r="559">
      <c r="A559" s="8" t="str">
        <f>IFERROR(__xludf.DUMMYFUNCTION("""COMPUTED_VALUE"""),"100642320171200750")</f>
        <v>100642320171200750</v>
      </c>
      <c r="B559" s="9" t="str">
        <f>IFERROR(__xludf.DUMMYFUNCTION("""COMPUTED_VALUE"""),"France")</f>
        <v>France</v>
      </c>
      <c r="C559" s="9" t="str">
        <f>IFERROR(__xludf.DUMMYFUNCTION("""COMPUTED_VALUE"""),"bordeaux")</f>
        <v>bordeaux</v>
      </c>
      <c r="D559" s="9" t="str">
        <f>IFERROR(__xludf.DUMMYFUNCTION("""COMPUTED_VALUE"""),"Chateau Beausejour Duffau-Lagarrosse Premier Grand Cru Classe B, Saint-Emilion Grand Cru")</f>
        <v>Chateau Beausejour Duffau-Lagarrosse Premier Grand Cru Classe B, Saint-Emilion Grand Cru</v>
      </c>
      <c r="E559" s="9">
        <f>IFERROR(__xludf.DUMMYFUNCTION("""COMPUTED_VALUE"""),2017.0)</f>
        <v>2017</v>
      </c>
      <c r="F559" s="9">
        <f>IFERROR(__xludf.DUMMYFUNCTION("""COMPUTED_VALUE"""),750.0)</f>
        <v>750</v>
      </c>
      <c r="G559" s="9">
        <f>IFERROR(__xludf.DUMMYFUNCTION("""COMPUTED_VALUE"""),12.0)</f>
        <v>12</v>
      </c>
      <c r="H559" s="10">
        <f>IFERROR(__xludf.DUMMYFUNCTION("""COMPUTED_VALUE"""),1.0)</f>
        <v>1</v>
      </c>
      <c r="I559" s="11">
        <f>IFERROR(__xludf.DUMMYFUNCTION("""COMPUTED_VALUE"""),851.0)</f>
        <v>851</v>
      </c>
      <c r="J559" s="9" t="str">
        <f>IFERROR(__xludf.DUMMYFUNCTION("""COMPUTED_VALUE"""),"UK")</f>
        <v>UK</v>
      </c>
      <c r="K559" s="8"/>
      <c r="L559" s="12"/>
      <c r="M559" s="13"/>
      <c r="N559" s="13" t="str">
        <f>IFERROR(__xludf.DUMMYFUNCTION("IF(ISBLANK(M559),"""",M559*GOOGLEFINANCE(""USDGBP""))"),"")</f>
        <v/>
      </c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</row>
    <row r="560">
      <c r="A560" s="8" t="str">
        <f>IFERROR(__xludf.DUMMYFUNCTION("""COMPUTED_VALUE"""),"100642320170600750")</f>
        <v>100642320170600750</v>
      </c>
      <c r="B560" s="9" t="str">
        <f>IFERROR(__xludf.DUMMYFUNCTION("""COMPUTED_VALUE"""),"France")</f>
        <v>France</v>
      </c>
      <c r="C560" s="9" t="str">
        <f>IFERROR(__xludf.DUMMYFUNCTION("""COMPUTED_VALUE"""),"bordeaux")</f>
        <v>bordeaux</v>
      </c>
      <c r="D560" s="9" t="str">
        <f>IFERROR(__xludf.DUMMYFUNCTION("""COMPUTED_VALUE"""),"Chateau Beausejour Duffau-Lagarrosse Premier Grand Cru Classe B, Saint-Emilion Grand Cru")</f>
        <v>Chateau Beausejour Duffau-Lagarrosse Premier Grand Cru Classe B, Saint-Emilion Grand Cru</v>
      </c>
      <c r="E560" s="9">
        <f>IFERROR(__xludf.DUMMYFUNCTION("""COMPUTED_VALUE"""),2017.0)</f>
        <v>2017</v>
      </c>
      <c r="F560" s="9">
        <f>IFERROR(__xludf.DUMMYFUNCTION("""COMPUTED_VALUE"""),750.0)</f>
        <v>750</v>
      </c>
      <c r="G560" s="9">
        <f>IFERROR(__xludf.DUMMYFUNCTION("""COMPUTED_VALUE"""),6.0)</f>
        <v>6</v>
      </c>
      <c r="H560" s="10">
        <f>IFERROR(__xludf.DUMMYFUNCTION("""COMPUTED_VALUE"""),15.0)</f>
        <v>15</v>
      </c>
      <c r="I560" s="11">
        <f>IFERROR(__xludf.DUMMYFUNCTION("""COMPUTED_VALUE"""),425.0)</f>
        <v>425</v>
      </c>
      <c r="J560" s="9" t="str">
        <f>IFERROR(__xludf.DUMMYFUNCTION("""COMPUTED_VALUE"""),"UK")</f>
        <v>UK</v>
      </c>
      <c r="K560" s="8"/>
      <c r="L560" s="12"/>
      <c r="M560" s="13"/>
      <c r="N560" s="13" t="str">
        <f>IFERROR(__xludf.DUMMYFUNCTION("IF(ISBLANK(M560),"""",M560*GOOGLEFINANCE(""USDGBP""))"),"")</f>
        <v/>
      </c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</row>
    <row r="561">
      <c r="A561" s="8" t="str">
        <f>IFERROR(__xludf.DUMMYFUNCTION("""COMPUTED_VALUE"""),"100642320180600750")</f>
        <v>100642320180600750</v>
      </c>
      <c r="B561" s="9" t="str">
        <f>IFERROR(__xludf.DUMMYFUNCTION("""COMPUTED_VALUE"""),"France")</f>
        <v>France</v>
      </c>
      <c r="C561" s="9" t="str">
        <f>IFERROR(__xludf.DUMMYFUNCTION("""COMPUTED_VALUE"""),"bordeaux")</f>
        <v>bordeaux</v>
      </c>
      <c r="D561" s="9" t="str">
        <f>IFERROR(__xludf.DUMMYFUNCTION("""COMPUTED_VALUE"""),"Chateau Beausejour Duffau-Lagarrosse Premier Grand Cru Classe B, Saint-Emilion Grand Cru")</f>
        <v>Chateau Beausejour Duffau-Lagarrosse Premier Grand Cru Classe B, Saint-Emilion Grand Cru</v>
      </c>
      <c r="E561" s="9">
        <f>IFERROR(__xludf.DUMMYFUNCTION("""COMPUTED_VALUE"""),2018.0)</f>
        <v>2018</v>
      </c>
      <c r="F561" s="9">
        <f>IFERROR(__xludf.DUMMYFUNCTION("""COMPUTED_VALUE"""),750.0)</f>
        <v>750</v>
      </c>
      <c r="G561" s="9">
        <f>IFERROR(__xludf.DUMMYFUNCTION("""COMPUTED_VALUE"""),6.0)</f>
        <v>6</v>
      </c>
      <c r="H561" s="10">
        <f>IFERROR(__xludf.DUMMYFUNCTION("""COMPUTED_VALUE"""),2.0)</f>
        <v>2</v>
      </c>
      <c r="I561" s="11">
        <f>IFERROR(__xludf.DUMMYFUNCTION("""COMPUTED_VALUE"""),616.0)</f>
        <v>616</v>
      </c>
      <c r="J561" s="9" t="str">
        <f>IFERROR(__xludf.DUMMYFUNCTION("""COMPUTED_VALUE"""),"UK")</f>
        <v>UK</v>
      </c>
      <c r="K561" s="8"/>
      <c r="L561" s="12"/>
      <c r="M561" s="13"/>
      <c r="N561" s="13" t="str">
        <f>IFERROR(__xludf.DUMMYFUNCTION("IF(ISBLANK(M561),"""",M561*GOOGLEFINANCE(""USDGBP""))"),"")</f>
        <v/>
      </c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</row>
    <row r="562">
      <c r="A562" s="8" t="str">
        <f>IFERROR(__xludf.DUMMYFUNCTION("""COMPUTED_VALUE"""),"100670020080600750")</f>
        <v>100670020080600750</v>
      </c>
      <c r="B562" s="9" t="str">
        <f>IFERROR(__xludf.DUMMYFUNCTION("""COMPUTED_VALUE"""),"France")</f>
        <v>France</v>
      </c>
      <c r="C562" s="9" t="str">
        <f>IFERROR(__xludf.DUMMYFUNCTION("""COMPUTED_VALUE"""),"bordeaux")</f>
        <v>bordeaux</v>
      </c>
      <c r="D562" s="9" t="str">
        <f>IFERROR(__xludf.DUMMYFUNCTION("""COMPUTED_VALUE"""),"Chateau Belair-Monange Premier Grand Cru Classe B, Saint-Emilion Grand Cru")</f>
        <v>Chateau Belair-Monange Premier Grand Cru Classe B, Saint-Emilion Grand Cru</v>
      </c>
      <c r="E562" s="9">
        <f>IFERROR(__xludf.DUMMYFUNCTION("""COMPUTED_VALUE"""),2008.0)</f>
        <v>2008</v>
      </c>
      <c r="F562" s="9">
        <f>IFERROR(__xludf.DUMMYFUNCTION("""COMPUTED_VALUE"""),750.0)</f>
        <v>750</v>
      </c>
      <c r="G562" s="9">
        <f>IFERROR(__xludf.DUMMYFUNCTION("""COMPUTED_VALUE"""),6.0)</f>
        <v>6</v>
      </c>
      <c r="H562" s="10">
        <f>IFERROR(__xludf.DUMMYFUNCTION("""COMPUTED_VALUE"""),1.0)</f>
        <v>1</v>
      </c>
      <c r="I562" s="11">
        <f>IFERROR(__xludf.DUMMYFUNCTION("""COMPUTED_VALUE"""),448.0)</f>
        <v>448</v>
      </c>
      <c r="J562" s="9" t="str">
        <f>IFERROR(__xludf.DUMMYFUNCTION("""COMPUTED_VALUE"""),"UK")</f>
        <v>UK</v>
      </c>
      <c r="K562" s="8"/>
      <c r="L562" s="12"/>
      <c r="M562" s="13"/>
      <c r="N562" s="13" t="str">
        <f>IFERROR(__xludf.DUMMYFUNCTION("IF(ISBLANK(M562),"""",M562*GOOGLEFINANCE(""USDGBP""))"),"")</f>
        <v/>
      </c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</row>
    <row r="563">
      <c r="A563" s="8" t="str">
        <f>IFERROR(__xludf.DUMMYFUNCTION("""COMPUTED_VALUE"""),"100670020090301500")</f>
        <v>100670020090301500</v>
      </c>
      <c r="B563" s="9" t="str">
        <f>IFERROR(__xludf.DUMMYFUNCTION("""COMPUTED_VALUE"""),"France")</f>
        <v>France</v>
      </c>
      <c r="C563" s="9" t="str">
        <f>IFERROR(__xludf.DUMMYFUNCTION("""COMPUTED_VALUE"""),"bordeaux")</f>
        <v>bordeaux</v>
      </c>
      <c r="D563" s="9" t="str">
        <f>IFERROR(__xludf.DUMMYFUNCTION("""COMPUTED_VALUE"""),"Chateau Belair-Monange Premier Grand Cru Classe B, Saint-Emilion Grand Cru")</f>
        <v>Chateau Belair-Monange Premier Grand Cru Classe B, Saint-Emilion Grand Cru</v>
      </c>
      <c r="E563" s="9">
        <f>IFERROR(__xludf.DUMMYFUNCTION("""COMPUTED_VALUE"""),2009.0)</f>
        <v>2009</v>
      </c>
      <c r="F563" s="9">
        <f>IFERROR(__xludf.DUMMYFUNCTION("""COMPUTED_VALUE"""),1500.0)</f>
        <v>1500</v>
      </c>
      <c r="G563" s="9">
        <f>IFERROR(__xludf.DUMMYFUNCTION("""COMPUTED_VALUE"""),3.0)</f>
        <v>3</v>
      </c>
      <c r="H563" s="10">
        <f>IFERROR(__xludf.DUMMYFUNCTION("""COMPUTED_VALUE"""),1.0)</f>
        <v>1</v>
      </c>
      <c r="I563" s="11">
        <f>IFERROR(__xludf.DUMMYFUNCTION("""COMPUTED_VALUE"""),593.0)</f>
        <v>593</v>
      </c>
      <c r="J563" s="9" t="str">
        <f>IFERROR(__xludf.DUMMYFUNCTION("""COMPUTED_VALUE"""),"UK")</f>
        <v>UK</v>
      </c>
      <c r="K563" s="8"/>
      <c r="L563" s="12"/>
      <c r="M563" s="13"/>
      <c r="N563" s="13" t="str">
        <f>IFERROR(__xludf.DUMMYFUNCTION("IF(ISBLANK(M563),"""",M563*GOOGLEFINANCE(""USDGBP""))"),"")</f>
        <v/>
      </c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</row>
    <row r="564">
      <c r="A564" s="8" t="str">
        <f>IFERROR(__xludf.DUMMYFUNCTION("""COMPUTED_VALUE"""),"100670020140600750")</f>
        <v>100670020140600750</v>
      </c>
      <c r="B564" s="9" t="str">
        <f>IFERROR(__xludf.DUMMYFUNCTION("""COMPUTED_VALUE"""),"France")</f>
        <v>France</v>
      </c>
      <c r="C564" s="9" t="str">
        <f>IFERROR(__xludf.DUMMYFUNCTION("""COMPUTED_VALUE"""),"bordeaux")</f>
        <v>bordeaux</v>
      </c>
      <c r="D564" s="9" t="str">
        <f>IFERROR(__xludf.DUMMYFUNCTION("""COMPUTED_VALUE"""),"Chateau Belair-Monange Premier Grand Cru Classe B, Saint-Emilion Grand Cru")</f>
        <v>Chateau Belair-Monange Premier Grand Cru Classe B, Saint-Emilion Grand Cru</v>
      </c>
      <c r="E564" s="9">
        <f>IFERROR(__xludf.DUMMYFUNCTION("""COMPUTED_VALUE"""),2014.0)</f>
        <v>2014</v>
      </c>
      <c r="F564" s="9">
        <f>IFERROR(__xludf.DUMMYFUNCTION("""COMPUTED_VALUE"""),750.0)</f>
        <v>750</v>
      </c>
      <c r="G564" s="9">
        <f>IFERROR(__xludf.DUMMYFUNCTION("""COMPUTED_VALUE"""),6.0)</f>
        <v>6</v>
      </c>
      <c r="H564" s="10">
        <f>IFERROR(__xludf.DUMMYFUNCTION("""COMPUTED_VALUE"""),1.0)</f>
        <v>1</v>
      </c>
      <c r="I564" s="11">
        <f>IFERROR(__xludf.DUMMYFUNCTION("""COMPUTED_VALUE"""),415.0)</f>
        <v>415</v>
      </c>
      <c r="J564" s="9" t="str">
        <f>IFERROR(__xludf.DUMMYFUNCTION("""COMPUTED_VALUE"""),"UK")</f>
        <v>UK</v>
      </c>
      <c r="K564" s="8"/>
      <c r="L564" s="12"/>
      <c r="M564" s="13"/>
      <c r="N564" s="13" t="str">
        <f>IFERROR(__xludf.DUMMYFUNCTION("IF(ISBLANK(M564),"""",M564*GOOGLEFINANCE(""USDGBP""))"),"")</f>
        <v/>
      </c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</row>
    <row r="565">
      <c r="A565" s="8" t="str">
        <f>IFERROR(__xludf.DUMMYFUNCTION("""COMPUTED_VALUE"""),"100670020150600750")</f>
        <v>100670020150600750</v>
      </c>
      <c r="B565" s="9" t="str">
        <f>IFERROR(__xludf.DUMMYFUNCTION("""COMPUTED_VALUE"""),"France")</f>
        <v>France</v>
      </c>
      <c r="C565" s="9" t="str">
        <f>IFERROR(__xludf.DUMMYFUNCTION("""COMPUTED_VALUE"""),"bordeaux")</f>
        <v>bordeaux</v>
      </c>
      <c r="D565" s="9" t="str">
        <f>IFERROR(__xludf.DUMMYFUNCTION("""COMPUTED_VALUE"""),"Chateau Belair-Monange Premier Grand Cru Classe B, Saint-Emilion Grand Cru")</f>
        <v>Chateau Belair-Monange Premier Grand Cru Classe B, Saint-Emilion Grand Cru</v>
      </c>
      <c r="E565" s="9">
        <f>IFERROR(__xludf.DUMMYFUNCTION("""COMPUTED_VALUE"""),2015.0)</f>
        <v>2015</v>
      </c>
      <c r="F565" s="9">
        <f>IFERROR(__xludf.DUMMYFUNCTION("""COMPUTED_VALUE"""),750.0)</f>
        <v>750</v>
      </c>
      <c r="G565" s="9">
        <f>IFERROR(__xludf.DUMMYFUNCTION("""COMPUTED_VALUE"""),6.0)</f>
        <v>6</v>
      </c>
      <c r="H565" s="10">
        <f>IFERROR(__xludf.DUMMYFUNCTION("""COMPUTED_VALUE"""),3.0)</f>
        <v>3</v>
      </c>
      <c r="I565" s="11">
        <f>IFERROR(__xludf.DUMMYFUNCTION("""COMPUTED_VALUE"""),789.0)</f>
        <v>789</v>
      </c>
      <c r="J565" s="9" t="str">
        <f>IFERROR(__xludf.DUMMYFUNCTION("""COMPUTED_VALUE"""),"UK")</f>
        <v>UK</v>
      </c>
      <c r="K565" s="8"/>
      <c r="L565" s="12"/>
      <c r="M565" s="13"/>
      <c r="N565" s="13" t="str">
        <f>IFERROR(__xludf.DUMMYFUNCTION("IF(ISBLANK(M565),"""",M565*GOOGLEFINANCE(""USDGBP""))"),"")</f>
        <v/>
      </c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</row>
    <row r="566">
      <c r="A566" s="8" t="str">
        <f>IFERROR(__xludf.DUMMYFUNCTION("""COMPUTED_VALUE"""),"100670020160600750")</f>
        <v>100670020160600750</v>
      </c>
      <c r="B566" s="9" t="str">
        <f>IFERROR(__xludf.DUMMYFUNCTION("""COMPUTED_VALUE"""),"France")</f>
        <v>France</v>
      </c>
      <c r="C566" s="9" t="str">
        <f>IFERROR(__xludf.DUMMYFUNCTION("""COMPUTED_VALUE"""),"bordeaux")</f>
        <v>bordeaux</v>
      </c>
      <c r="D566" s="9" t="str">
        <f>IFERROR(__xludf.DUMMYFUNCTION("""COMPUTED_VALUE"""),"Chateau Belair-Monange Premier Grand Cru Classe B, Saint-Emilion Grand Cru")</f>
        <v>Chateau Belair-Monange Premier Grand Cru Classe B, Saint-Emilion Grand Cru</v>
      </c>
      <c r="E566" s="9">
        <f>IFERROR(__xludf.DUMMYFUNCTION("""COMPUTED_VALUE"""),2016.0)</f>
        <v>2016</v>
      </c>
      <c r="F566" s="9">
        <f>IFERROR(__xludf.DUMMYFUNCTION("""COMPUTED_VALUE"""),750.0)</f>
        <v>750</v>
      </c>
      <c r="G566" s="9">
        <f>IFERROR(__xludf.DUMMYFUNCTION("""COMPUTED_VALUE"""),6.0)</f>
        <v>6</v>
      </c>
      <c r="H566" s="10">
        <f>IFERROR(__xludf.DUMMYFUNCTION("""COMPUTED_VALUE"""),2.0)</f>
        <v>2</v>
      </c>
      <c r="I566" s="11">
        <f>IFERROR(__xludf.DUMMYFUNCTION("""COMPUTED_VALUE"""),694.0)</f>
        <v>694</v>
      </c>
      <c r="J566" s="9" t="str">
        <f>IFERROR(__xludf.DUMMYFUNCTION("""COMPUTED_VALUE"""),"UK")</f>
        <v>UK</v>
      </c>
      <c r="K566" s="8"/>
      <c r="L566" s="12"/>
      <c r="M566" s="13"/>
      <c r="N566" s="13" t="str">
        <f>IFERROR(__xludf.DUMMYFUNCTION("IF(ISBLANK(M566),"""",M566*GOOGLEFINANCE(""USDGBP""))"),"")</f>
        <v/>
      </c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</row>
    <row r="567">
      <c r="A567" s="8" t="str">
        <f>IFERROR(__xludf.DUMMYFUNCTION("""COMPUTED_VALUE"""),"100670020170600750")</f>
        <v>100670020170600750</v>
      </c>
      <c r="B567" s="9" t="str">
        <f>IFERROR(__xludf.DUMMYFUNCTION("""COMPUTED_VALUE"""),"France")</f>
        <v>France</v>
      </c>
      <c r="C567" s="9" t="str">
        <f>IFERROR(__xludf.DUMMYFUNCTION("""COMPUTED_VALUE"""),"bordeaux")</f>
        <v>bordeaux</v>
      </c>
      <c r="D567" s="9" t="str">
        <f>IFERROR(__xludf.DUMMYFUNCTION("""COMPUTED_VALUE"""),"Chateau Belair-Monange Premier Grand Cru Classe B, Saint-Emilion Grand Cru")</f>
        <v>Chateau Belair-Monange Premier Grand Cru Classe B, Saint-Emilion Grand Cru</v>
      </c>
      <c r="E567" s="9">
        <f>IFERROR(__xludf.DUMMYFUNCTION("""COMPUTED_VALUE"""),2017.0)</f>
        <v>2017</v>
      </c>
      <c r="F567" s="9">
        <f>IFERROR(__xludf.DUMMYFUNCTION("""COMPUTED_VALUE"""),750.0)</f>
        <v>750</v>
      </c>
      <c r="G567" s="9">
        <f>IFERROR(__xludf.DUMMYFUNCTION("""COMPUTED_VALUE"""),6.0)</f>
        <v>6</v>
      </c>
      <c r="H567" s="10">
        <f>IFERROR(__xludf.DUMMYFUNCTION("""COMPUTED_VALUE"""),7.0)</f>
        <v>7</v>
      </c>
      <c r="I567" s="11">
        <f>IFERROR(__xludf.DUMMYFUNCTION("""COMPUTED_VALUE"""),542.0)</f>
        <v>542</v>
      </c>
      <c r="J567" s="9" t="str">
        <f>IFERROR(__xludf.DUMMYFUNCTION("""COMPUTED_VALUE"""),"UK")</f>
        <v>UK</v>
      </c>
      <c r="K567" s="8"/>
      <c r="L567" s="12"/>
      <c r="M567" s="13"/>
      <c r="N567" s="13" t="str">
        <f>IFERROR(__xludf.DUMMYFUNCTION("IF(ISBLANK(M567),"""",M567*GOOGLEFINANCE(""USDGBP""))"),"")</f>
        <v/>
      </c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</row>
    <row r="568">
      <c r="A568" s="8" t="str">
        <f>IFERROR(__xludf.DUMMYFUNCTION("""COMPUTED_VALUE"""),"100670020170301500")</f>
        <v>100670020170301500</v>
      </c>
      <c r="B568" s="9" t="str">
        <f>IFERROR(__xludf.DUMMYFUNCTION("""COMPUTED_VALUE"""),"France")</f>
        <v>France</v>
      </c>
      <c r="C568" s="9" t="str">
        <f>IFERROR(__xludf.DUMMYFUNCTION("""COMPUTED_VALUE"""),"bordeaux")</f>
        <v>bordeaux</v>
      </c>
      <c r="D568" s="9" t="str">
        <f>IFERROR(__xludf.DUMMYFUNCTION("""COMPUTED_VALUE"""),"Chateau Belair-Monange Premier Grand Cru Classe B, Saint-Emilion Grand Cru")</f>
        <v>Chateau Belair-Monange Premier Grand Cru Classe B, Saint-Emilion Grand Cru</v>
      </c>
      <c r="E568" s="9">
        <f>IFERROR(__xludf.DUMMYFUNCTION("""COMPUTED_VALUE"""),2017.0)</f>
        <v>2017</v>
      </c>
      <c r="F568" s="9">
        <f>IFERROR(__xludf.DUMMYFUNCTION("""COMPUTED_VALUE"""),1500.0)</f>
        <v>1500</v>
      </c>
      <c r="G568" s="9">
        <f>IFERROR(__xludf.DUMMYFUNCTION("""COMPUTED_VALUE"""),3.0)</f>
        <v>3</v>
      </c>
      <c r="H568" s="10">
        <f>IFERROR(__xludf.DUMMYFUNCTION("""COMPUTED_VALUE"""),1.0)</f>
        <v>1</v>
      </c>
      <c r="I568" s="11">
        <f>IFERROR(__xludf.DUMMYFUNCTION("""COMPUTED_VALUE"""),526.0)</f>
        <v>526</v>
      </c>
      <c r="J568" s="9" t="str">
        <f>IFERROR(__xludf.DUMMYFUNCTION("""COMPUTED_VALUE"""),"UK")</f>
        <v>UK</v>
      </c>
      <c r="K568" s="8"/>
      <c r="L568" s="12"/>
      <c r="M568" s="13"/>
      <c r="N568" s="13" t="str">
        <f>IFERROR(__xludf.DUMMYFUNCTION("IF(ISBLANK(M568),"""",M568*GOOGLEFINANCE(""USDGBP""))"),"")</f>
        <v/>
      </c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</row>
    <row r="569">
      <c r="A569" s="8" t="str">
        <f>IFERROR(__xludf.DUMMYFUNCTION("""COMPUTED_VALUE"""),"100670020180600750")</f>
        <v>100670020180600750</v>
      </c>
      <c r="B569" s="9" t="str">
        <f>IFERROR(__xludf.DUMMYFUNCTION("""COMPUTED_VALUE"""),"France")</f>
        <v>France</v>
      </c>
      <c r="C569" s="9" t="str">
        <f>IFERROR(__xludf.DUMMYFUNCTION("""COMPUTED_VALUE"""),"bordeaux")</f>
        <v>bordeaux</v>
      </c>
      <c r="D569" s="9" t="str">
        <f>IFERROR(__xludf.DUMMYFUNCTION("""COMPUTED_VALUE"""),"Chateau Belair-Monange Premier Grand Cru Classe B, Saint-Emilion Grand Cru")</f>
        <v>Chateau Belair-Monange Premier Grand Cru Classe B, Saint-Emilion Grand Cru</v>
      </c>
      <c r="E569" s="9">
        <f>IFERROR(__xludf.DUMMYFUNCTION("""COMPUTED_VALUE"""),2018.0)</f>
        <v>2018</v>
      </c>
      <c r="F569" s="9">
        <f>IFERROR(__xludf.DUMMYFUNCTION("""COMPUTED_VALUE"""),750.0)</f>
        <v>750</v>
      </c>
      <c r="G569" s="9">
        <f>IFERROR(__xludf.DUMMYFUNCTION("""COMPUTED_VALUE"""),6.0)</f>
        <v>6</v>
      </c>
      <c r="H569" s="10">
        <f>IFERROR(__xludf.DUMMYFUNCTION("""COMPUTED_VALUE"""),4.0)</f>
        <v>4</v>
      </c>
      <c r="I569" s="11">
        <f>IFERROR(__xludf.DUMMYFUNCTION("""COMPUTED_VALUE"""),625.0)</f>
        <v>625</v>
      </c>
      <c r="J569" s="9" t="str">
        <f>IFERROR(__xludf.DUMMYFUNCTION("""COMPUTED_VALUE"""),"UK")</f>
        <v>UK</v>
      </c>
      <c r="K569" s="8"/>
      <c r="L569" s="12"/>
      <c r="M569" s="13"/>
      <c r="N569" s="13" t="str">
        <f>IFERROR(__xludf.DUMMYFUNCTION("IF(ISBLANK(M569),"""",M569*GOOGLEFINANCE(""USDGBP""))"),"")</f>
        <v/>
      </c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</row>
    <row r="570">
      <c r="A570" s="8" t="str">
        <f>IFERROR(__xludf.DUMMYFUNCTION("""COMPUTED_VALUE"""),"100670020200600750")</f>
        <v>100670020200600750</v>
      </c>
      <c r="B570" s="9" t="str">
        <f>IFERROR(__xludf.DUMMYFUNCTION("""COMPUTED_VALUE"""),"France")</f>
        <v>France</v>
      </c>
      <c r="C570" s="9" t="str">
        <f>IFERROR(__xludf.DUMMYFUNCTION("""COMPUTED_VALUE"""),"bordeaux")</f>
        <v>bordeaux</v>
      </c>
      <c r="D570" s="9" t="str">
        <f>IFERROR(__xludf.DUMMYFUNCTION("""COMPUTED_VALUE"""),"Chateau Belair-Monange Premier Grand Cru Classe B, Saint-Emilion Grand Cru")</f>
        <v>Chateau Belair-Monange Premier Grand Cru Classe B, Saint-Emilion Grand Cru</v>
      </c>
      <c r="E570" s="9">
        <f>IFERROR(__xludf.DUMMYFUNCTION("""COMPUTED_VALUE"""),2020.0)</f>
        <v>2020</v>
      </c>
      <c r="F570" s="9">
        <f>IFERROR(__xludf.DUMMYFUNCTION("""COMPUTED_VALUE"""),750.0)</f>
        <v>750</v>
      </c>
      <c r="G570" s="9">
        <f>IFERROR(__xludf.DUMMYFUNCTION("""COMPUTED_VALUE"""),6.0)</f>
        <v>6</v>
      </c>
      <c r="H570" s="10">
        <f>IFERROR(__xludf.DUMMYFUNCTION("""COMPUTED_VALUE"""),1.0)</f>
        <v>1</v>
      </c>
      <c r="I570" s="11">
        <f>IFERROR(__xludf.DUMMYFUNCTION("""COMPUTED_VALUE"""),700.0)</f>
        <v>700</v>
      </c>
      <c r="J570" s="9" t="str">
        <f>IFERROR(__xludf.DUMMYFUNCTION("""COMPUTED_VALUE"""),"UK")</f>
        <v>UK</v>
      </c>
      <c r="K570" s="8"/>
      <c r="L570" s="12"/>
      <c r="M570" s="13"/>
      <c r="N570" s="13" t="str">
        <f>IFERROR(__xludf.DUMMYFUNCTION("IF(ISBLANK(M570),"""",M570*GOOGLEFINANCE(""USDGBP""))"),"")</f>
        <v/>
      </c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</row>
    <row r="571">
      <c r="A571" s="8" t="str">
        <f>IFERROR(__xludf.DUMMYFUNCTION("""COMPUTED_VALUE"""),"100710120160600750")</f>
        <v>100710120160600750</v>
      </c>
      <c r="B571" s="9" t="str">
        <f>IFERROR(__xludf.DUMMYFUNCTION("""COMPUTED_VALUE"""),"France")</f>
        <v>France</v>
      </c>
      <c r="C571" s="9" t="str">
        <f>IFERROR(__xludf.DUMMYFUNCTION("""COMPUTED_VALUE"""),"bordeaux")</f>
        <v>bordeaux</v>
      </c>
      <c r="D571" s="9" t="str">
        <f>IFERROR(__xludf.DUMMYFUNCTION("""COMPUTED_VALUE"""),"Chateau Beychevelle 4eme Cru Classe, Saint-Julien")</f>
        <v>Chateau Beychevelle 4eme Cru Classe, Saint-Julien</v>
      </c>
      <c r="E571" s="9">
        <f>IFERROR(__xludf.DUMMYFUNCTION("""COMPUTED_VALUE"""),2016.0)</f>
        <v>2016</v>
      </c>
      <c r="F571" s="9">
        <f>IFERROR(__xludf.DUMMYFUNCTION("""COMPUTED_VALUE"""),750.0)</f>
        <v>750</v>
      </c>
      <c r="G571" s="9">
        <f>IFERROR(__xludf.DUMMYFUNCTION("""COMPUTED_VALUE"""),6.0)</f>
        <v>6</v>
      </c>
      <c r="H571" s="10">
        <f>IFERROR(__xludf.DUMMYFUNCTION("""COMPUTED_VALUE"""),1.0)</f>
        <v>1</v>
      </c>
      <c r="I571" s="11">
        <f>IFERROR(__xludf.DUMMYFUNCTION("""COMPUTED_VALUE"""),521.0)</f>
        <v>521</v>
      </c>
      <c r="J571" s="9" t="str">
        <f>IFERROR(__xludf.DUMMYFUNCTION("""COMPUTED_VALUE"""),"UK")</f>
        <v>UK</v>
      </c>
      <c r="K571" s="8"/>
      <c r="L571" s="12"/>
      <c r="M571" s="13"/>
      <c r="N571" s="13" t="str">
        <f>IFERROR(__xludf.DUMMYFUNCTION("IF(ISBLANK(M571),"""",M571*GOOGLEFINANCE(""USDGBP""))"),"")</f>
        <v/>
      </c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</row>
    <row r="572">
      <c r="A572" s="8" t="str">
        <f>IFERROR(__xludf.DUMMYFUNCTION("""COMPUTED_VALUE"""),"100710120180600750")</f>
        <v>100710120180600750</v>
      </c>
      <c r="B572" s="9" t="str">
        <f>IFERROR(__xludf.DUMMYFUNCTION("""COMPUTED_VALUE"""),"France")</f>
        <v>France</v>
      </c>
      <c r="C572" s="9" t="str">
        <f>IFERROR(__xludf.DUMMYFUNCTION("""COMPUTED_VALUE"""),"bordeaux")</f>
        <v>bordeaux</v>
      </c>
      <c r="D572" s="9" t="str">
        <f>IFERROR(__xludf.DUMMYFUNCTION("""COMPUTED_VALUE"""),"Chateau Beychevelle 4eme Cru Classe, Saint-Julien")</f>
        <v>Chateau Beychevelle 4eme Cru Classe, Saint-Julien</v>
      </c>
      <c r="E572" s="9">
        <f>IFERROR(__xludf.DUMMYFUNCTION("""COMPUTED_VALUE"""),2018.0)</f>
        <v>2018</v>
      </c>
      <c r="F572" s="9">
        <f>IFERROR(__xludf.DUMMYFUNCTION("""COMPUTED_VALUE"""),750.0)</f>
        <v>750</v>
      </c>
      <c r="G572" s="9">
        <f>IFERROR(__xludf.DUMMYFUNCTION("""COMPUTED_VALUE"""),6.0)</f>
        <v>6</v>
      </c>
      <c r="H572" s="10">
        <f>IFERROR(__xludf.DUMMYFUNCTION("""COMPUTED_VALUE"""),2.0)</f>
        <v>2</v>
      </c>
      <c r="I572" s="11">
        <f>IFERROR(__xludf.DUMMYFUNCTION("""COMPUTED_VALUE"""),488.0)</f>
        <v>488</v>
      </c>
      <c r="J572" s="9" t="str">
        <f>IFERROR(__xludf.DUMMYFUNCTION("""COMPUTED_VALUE"""),"UK")</f>
        <v>UK</v>
      </c>
      <c r="K572" s="8"/>
      <c r="L572" s="12"/>
      <c r="M572" s="13"/>
      <c r="N572" s="13" t="str">
        <f>IFERROR(__xludf.DUMMYFUNCTION("IF(ISBLANK(M572),"""",M572*GOOGLEFINANCE(""USDGBP""))"),"")</f>
        <v/>
      </c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</row>
    <row r="573">
      <c r="A573" s="8" t="str">
        <f>IFERROR(__xludf.DUMMYFUNCTION("""COMPUTED_VALUE"""),"100710120191200750")</f>
        <v>100710120191200750</v>
      </c>
      <c r="B573" s="9" t="str">
        <f>IFERROR(__xludf.DUMMYFUNCTION("""COMPUTED_VALUE"""),"France")</f>
        <v>France</v>
      </c>
      <c r="C573" s="9" t="str">
        <f>IFERROR(__xludf.DUMMYFUNCTION("""COMPUTED_VALUE"""),"bordeaux")</f>
        <v>bordeaux</v>
      </c>
      <c r="D573" s="9" t="str">
        <f>IFERROR(__xludf.DUMMYFUNCTION("""COMPUTED_VALUE"""),"Chateau Beychevelle 4eme Cru Classe, Saint-Julien")</f>
        <v>Chateau Beychevelle 4eme Cru Classe, Saint-Julien</v>
      </c>
      <c r="E573" s="9">
        <f>IFERROR(__xludf.DUMMYFUNCTION("""COMPUTED_VALUE"""),2019.0)</f>
        <v>2019</v>
      </c>
      <c r="F573" s="9">
        <f>IFERROR(__xludf.DUMMYFUNCTION("""COMPUTED_VALUE"""),750.0)</f>
        <v>750</v>
      </c>
      <c r="G573" s="9">
        <f>IFERROR(__xludf.DUMMYFUNCTION("""COMPUTED_VALUE"""),12.0)</f>
        <v>12</v>
      </c>
      <c r="H573" s="10">
        <f>IFERROR(__xludf.DUMMYFUNCTION("""COMPUTED_VALUE"""),1.0)</f>
        <v>1</v>
      </c>
      <c r="I573" s="11">
        <f>IFERROR(__xludf.DUMMYFUNCTION("""COMPUTED_VALUE"""),946.0)</f>
        <v>946</v>
      </c>
      <c r="J573" s="9" t="str">
        <f>IFERROR(__xludf.DUMMYFUNCTION("""COMPUTED_VALUE"""),"UK")</f>
        <v>UK</v>
      </c>
      <c r="K573" s="8"/>
      <c r="L573" s="12"/>
      <c r="M573" s="13"/>
      <c r="N573" s="13" t="str">
        <f>IFERROR(__xludf.DUMMYFUNCTION("IF(ISBLANK(M573),"""",M573*GOOGLEFINANCE(""USDGBP""))"),"")</f>
        <v/>
      </c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</row>
    <row r="574">
      <c r="A574" s="8" t="str">
        <f>IFERROR(__xludf.DUMMYFUNCTION("""COMPUTED_VALUE"""),"117602720200600750")</f>
        <v>117602720200600750</v>
      </c>
      <c r="B574" s="9" t="str">
        <f>IFERROR(__xludf.DUMMYFUNCTION("""COMPUTED_VALUE"""),"France")</f>
        <v>France</v>
      </c>
      <c r="C574" s="9" t="str">
        <f>IFERROR(__xludf.DUMMYFUNCTION("""COMPUTED_VALUE"""),"bordeaux")</f>
        <v>bordeaux</v>
      </c>
      <c r="D574" s="9" t="str">
        <f>IFERROR(__xludf.DUMMYFUNCTION("""COMPUTED_VALUE"""),"Chateau Bourgneuf, Pomerol")</f>
        <v>Chateau Bourgneuf, Pomerol</v>
      </c>
      <c r="E574" s="9">
        <f>IFERROR(__xludf.DUMMYFUNCTION("""COMPUTED_VALUE"""),2020.0)</f>
        <v>2020</v>
      </c>
      <c r="F574" s="9">
        <f>IFERROR(__xludf.DUMMYFUNCTION("""COMPUTED_VALUE"""),750.0)</f>
        <v>750</v>
      </c>
      <c r="G574" s="9">
        <f>IFERROR(__xludf.DUMMYFUNCTION("""COMPUTED_VALUE"""),6.0)</f>
        <v>6</v>
      </c>
      <c r="H574" s="10">
        <f>IFERROR(__xludf.DUMMYFUNCTION("""COMPUTED_VALUE"""),2.0)</f>
        <v>2</v>
      </c>
      <c r="I574" s="11">
        <f>IFERROR(__xludf.DUMMYFUNCTION("""COMPUTED_VALUE"""),241.0)</f>
        <v>241</v>
      </c>
      <c r="J574" s="9" t="str">
        <f>IFERROR(__xludf.DUMMYFUNCTION("""COMPUTED_VALUE"""),"UK")</f>
        <v>UK</v>
      </c>
      <c r="K574" s="8"/>
      <c r="L574" s="12"/>
      <c r="M574" s="13"/>
      <c r="N574" s="13" t="str">
        <f>IFERROR(__xludf.DUMMYFUNCTION("IF(ISBLANK(M574),"""",M574*GOOGLEFINANCE(""USDGBP""))"),"")</f>
        <v/>
      </c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</row>
    <row r="575">
      <c r="A575" s="8" t="str">
        <f>IFERROR(__xludf.DUMMYFUNCTION("""COMPUTED_VALUE"""),"100725720171200750")</f>
        <v>100725720171200750</v>
      </c>
      <c r="B575" s="9" t="str">
        <f>IFERROR(__xludf.DUMMYFUNCTION("""COMPUTED_VALUE"""),"France")</f>
        <v>France</v>
      </c>
      <c r="C575" s="9" t="str">
        <f>IFERROR(__xludf.DUMMYFUNCTION("""COMPUTED_VALUE"""),"bordeaux")</f>
        <v>bordeaux</v>
      </c>
      <c r="D575" s="9" t="str">
        <f>IFERROR(__xludf.DUMMYFUNCTION("""COMPUTED_VALUE"""),"Chateau Branaire-Ducru 4eme Cru Classe, Saint-Julien")</f>
        <v>Chateau Branaire-Ducru 4eme Cru Classe, Saint-Julien</v>
      </c>
      <c r="E575" s="9">
        <f>IFERROR(__xludf.DUMMYFUNCTION("""COMPUTED_VALUE"""),2017.0)</f>
        <v>2017</v>
      </c>
      <c r="F575" s="9">
        <f>IFERROR(__xludf.DUMMYFUNCTION("""COMPUTED_VALUE"""),750.0)</f>
        <v>750</v>
      </c>
      <c r="G575" s="9">
        <f>IFERROR(__xludf.DUMMYFUNCTION("""COMPUTED_VALUE"""),12.0)</f>
        <v>12</v>
      </c>
      <c r="H575" s="10">
        <f>IFERROR(__xludf.DUMMYFUNCTION("""COMPUTED_VALUE"""),1.0)</f>
        <v>1</v>
      </c>
      <c r="I575" s="11">
        <f>IFERROR(__xludf.DUMMYFUNCTION("""COMPUTED_VALUE"""),414.0)</f>
        <v>414</v>
      </c>
      <c r="J575" s="9" t="str">
        <f>IFERROR(__xludf.DUMMYFUNCTION("""COMPUTED_VALUE"""),"UK")</f>
        <v>UK</v>
      </c>
      <c r="K575" s="8"/>
      <c r="L575" s="12"/>
      <c r="M575" s="13"/>
      <c r="N575" s="13" t="str">
        <f>IFERROR(__xludf.DUMMYFUNCTION("IF(ISBLANK(M575),"""",M575*GOOGLEFINANCE(""USDGBP""))"),"")</f>
        <v/>
      </c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</row>
    <row r="576">
      <c r="A576" s="8" t="str">
        <f>IFERROR(__xludf.DUMMYFUNCTION("""COMPUTED_VALUE"""),"100728620090600750")</f>
        <v>100728620090600750</v>
      </c>
      <c r="B576" s="9" t="str">
        <f>IFERROR(__xludf.DUMMYFUNCTION("""COMPUTED_VALUE"""),"France")</f>
        <v>France</v>
      </c>
      <c r="C576" s="9" t="str">
        <f>IFERROR(__xludf.DUMMYFUNCTION("""COMPUTED_VALUE"""),"bordeaux")</f>
        <v>bordeaux</v>
      </c>
      <c r="D576" s="9" t="str">
        <f>IFERROR(__xludf.DUMMYFUNCTION("""COMPUTED_VALUE"""),"Chateau Brane-Cantenac 2eme Cru Classe, Margaux")</f>
        <v>Chateau Brane-Cantenac 2eme Cru Classe, Margaux</v>
      </c>
      <c r="E576" s="9">
        <f>IFERROR(__xludf.DUMMYFUNCTION("""COMPUTED_VALUE"""),2009.0)</f>
        <v>2009</v>
      </c>
      <c r="F576" s="9">
        <f>IFERROR(__xludf.DUMMYFUNCTION("""COMPUTED_VALUE"""),750.0)</f>
        <v>750</v>
      </c>
      <c r="G576" s="9">
        <f>IFERROR(__xludf.DUMMYFUNCTION("""COMPUTED_VALUE"""),6.0)</f>
        <v>6</v>
      </c>
      <c r="H576" s="10">
        <f>IFERROR(__xludf.DUMMYFUNCTION("""COMPUTED_VALUE"""),1.0)</f>
        <v>1</v>
      </c>
      <c r="I576" s="11">
        <f>IFERROR(__xludf.DUMMYFUNCTION("""COMPUTED_VALUE"""),459.0)</f>
        <v>459</v>
      </c>
      <c r="J576" s="9" t="str">
        <f>IFERROR(__xludf.DUMMYFUNCTION("""COMPUTED_VALUE"""),"UK")</f>
        <v>UK</v>
      </c>
      <c r="K576" s="8"/>
      <c r="L576" s="12"/>
      <c r="M576" s="13"/>
      <c r="N576" s="13" t="str">
        <f>IFERROR(__xludf.DUMMYFUNCTION("IF(ISBLANK(M576),"""",M576*GOOGLEFINANCE(""USDGBP""))"),"")</f>
        <v/>
      </c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</row>
    <row r="577">
      <c r="A577" s="8" t="str">
        <f>IFERROR(__xludf.DUMMYFUNCTION("""COMPUTED_VALUE"""),"100728620141200750")</f>
        <v>100728620141200750</v>
      </c>
      <c r="B577" s="9" t="str">
        <f>IFERROR(__xludf.DUMMYFUNCTION("""COMPUTED_VALUE"""),"France")</f>
        <v>France</v>
      </c>
      <c r="C577" s="9" t="str">
        <f>IFERROR(__xludf.DUMMYFUNCTION("""COMPUTED_VALUE"""),"bordeaux")</f>
        <v>bordeaux</v>
      </c>
      <c r="D577" s="9" t="str">
        <f>IFERROR(__xludf.DUMMYFUNCTION("""COMPUTED_VALUE"""),"Chateau Brane-Cantenac 2eme Cru Classe, Margaux")</f>
        <v>Chateau Brane-Cantenac 2eme Cru Classe, Margaux</v>
      </c>
      <c r="E577" s="9">
        <f>IFERROR(__xludf.DUMMYFUNCTION("""COMPUTED_VALUE"""),2014.0)</f>
        <v>2014</v>
      </c>
      <c r="F577" s="9">
        <f>IFERROR(__xludf.DUMMYFUNCTION("""COMPUTED_VALUE"""),750.0)</f>
        <v>750</v>
      </c>
      <c r="G577" s="9">
        <f>IFERROR(__xludf.DUMMYFUNCTION("""COMPUTED_VALUE"""),12.0)</f>
        <v>12</v>
      </c>
      <c r="H577" s="10">
        <f>IFERROR(__xludf.DUMMYFUNCTION("""COMPUTED_VALUE"""),1.0)</f>
        <v>1</v>
      </c>
      <c r="I577" s="11">
        <f>IFERROR(__xludf.DUMMYFUNCTION("""COMPUTED_VALUE"""),616.0)</f>
        <v>616</v>
      </c>
      <c r="J577" s="9" t="str">
        <f>IFERROR(__xludf.DUMMYFUNCTION("""COMPUTED_VALUE"""),"UK")</f>
        <v>UK</v>
      </c>
      <c r="K577" s="8"/>
      <c r="L577" s="12"/>
      <c r="M577" s="13"/>
      <c r="N577" s="13" t="str">
        <f>IFERROR(__xludf.DUMMYFUNCTION("IF(ISBLANK(M577),"""",M577*GOOGLEFINANCE(""USDGBP""))"),"")</f>
        <v/>
      </c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</row>
    <row r="578">
      <c r="A578" s="8" t="str">
        <f>IFERROR(__xludf.DUMMYFUNCTION("""COMPUTED_VALUE"""),"100728620161200750")</f>
        <v>100728620161200750</v>
      </c>
      <c r="B578" s="9" t="str">
        <f>IFERROR(__xludf.DUMMYFUNCTION("""COMPUTED_VALUE"""),"France")</f>
        <v>France</v>
      </c>
      <c r="C578" s="9" t="str">
        <f>IFERROR(__xludf.DUMMYFUNCTION("""COMPUTED_VALUE"""),"bordeaux")</f>
        <v>bordeaux</v>
      </c>
      <c r="D578" s="9" t="str">
        <f>IFERROR(__xludf.DUMMYFUNCTION("""COMPUTED_VALUE"""),"Chateau Brane-Cantenac 2eme Cru Classe, Margaux")</f>
        <v>Chateau Brane-Cantenac 2eme Cru Classe, Margaux</v>
      </c>
      <c r="E578" s="9">
        <f>IFERROR(__xludf.DUMMYFUNCTION("""COMPUTED_VALUE"""),2016.0)</f>
        <v>2016</v>
      </c>
      <c r="F578" s="9">
        <f>IFERROR(__xludf.DUMMYFUNCTION("""COMPUTED_VALUE"""),750.0)</f>
        <v>750</v>
      </c>
      <c r="G578" s="9">
        <f>IFERROR(__xludf.DUMMYFUNCTION("""COMPUTED_VALUE"""),12.0)</f>
        <v>12</v>
      </c>
      <c r="H578" s="10">
        <f>IFERROR(__xludf.DUMMYFUNCTION("""COMPUTED_VALUE"""),1.0)</f>
        <v>1</v>
      </c>
      <c r="I578" s="11">
        <f>IFERROR(__xludf.DUMMYFUNCTION("""COMPUTED_VALUE"""),647.0)</f>
        <v>647</v>
      </c>
      <c r="J578" s="9" t="str">
        <f>IFERROR(__xludf.DUMMYFUNCTION("""COMPUTED_VALUE"""),"UK")</f>
        <v>UK</v>
      </c>
      <c r="K578" s="8"/>
      <c r="L578" s="12"/>
      <c r="M578" s="13"/>
      <c r="N578" s="13" t="str">
        <f>IFERROR(__xludf.DUMMYFUNCTION("IF(ISBLANK(M578),"""",M578*GOOGLEFINANCE(""USDGBP""))"),"")</f>
        <v/>
      </c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</row>
    <row r="579">
      <c r="A579" s="8" t="str">
        <f>IFERROR(__xludf.DUMMYFUNCTION("""COMPUTED_VALUE"""),"100728620171200750")</f>
        <v>100728620171200750</v>
      </c>
      <c r="B579" s="9" t="str">
        <f>IFERROR(__xludf.DUMMYFUNCTION("""COMPUTED_VALUE"""),"France")</f>
        <v>France</v>
      </c>
      <c r="C579" s="9" t="str">
        <f>IFERROR(__xludf.DUMMYFUNCTION("""COMPUTED_VALUE"""),"bordeaux")</f>
        <v>bordeaux</v>
      </c>
      <c r="D579" s="9" t="str">
        <f>IFERROR(__xludf.DUMMYFUNCTION("""COMPUTED_VALUE"""),"Chateau Brane-Cantenac 2eme Cru Classe, Margaux")</f>
        <v>Chateau Brane-Cantenac 2eme Cru Classe, Margaux</v>
      </c>
      <c r="E579" s="9">
        <f>IFERROR(__xludf.DUMMYFUNCTION("""COMPUTED_VALUE"""),2017.0)</f>
        <v>2017</v>
      </c>
      <c r="F579" s="9">
        <f>IFERROR(__xludf.DUMMYFUNCTION("""COMPUTED_VALUE"""),750.0)</f>
        <v>750</v>
      </c>
      <c r="G579" s="9">
        <f>IFERROR(__xludf.DUMMYFUNCTION("""COMPUTED_VALUE"""),12.0)</f>
        <v>12</v>
      </c>
      <c r="H579" s="10">
        <f>IFERROR(__xludf.DUMMYFUNCTION("""COMPUTED_VALUE"""),1.0)</f>
        <v>1</v>
      </c>
      <c r="I579" s="11">
        <f>IFERROR(__xludf.DUMMYFUNCTION("""COMPUTED_VALUE"""),515.0)</f>
        <v>515</v>
      </c>
      <c r="J579" s="9" t="str">
        <f>IFERROR(__xludf.DUMMYFUNCTION("""COMPUTED_VALUE"""),"UK")</f>
        <v>UK</v>
      </c>
      <c r="K579" s="8"/>
      <c r="L579" s="12"/>
      <c r="M579" s="13"/>
      <c r="N579" s="13" t="str">
        <f>IFERROR(__xludf.DUMMYFUNCTION("IF(ISBLANK(M579),"""",M579*GOOGLEFINANCE(""USDGBP""))"),"")</f>
        <v/>
      </c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</row>
    <row r="580">
      <c r="A580" s="8" t="str">
        <f>IFERROR(__xludf.DUMMYFUNCTION("""COMPUTED_VALUE"""),"100747520170600750")</f>
        <v>100747520170600750</v>
      </c>
      <c r="B580" s="9" t="str">
        <f>IFERROR(__xludf.DUMMYFUNCTION("""COMPUTED_VALUE"""),"France")</f>
        <v>France</v>
      </c>
      <c r="C580" s="9" t="str">
        <f>IFERROR(__xludf.DUMMYFUNCTION("""COMPUTED_VALUE"""),"bordeaux")</f>
        <v>bordeaux</v>
      </c>
      <c r="D580" s="9" t="str">
        <f>IFERROR(__xludf.DUMMYFUNCTION("""COMPUTED_VALUE"""),"Chateau Calon Segur 3eme Cru Classe, Saint-Estephe")</f>
        <v>Chateau Calon Segur 3eme Cru Classe, Saint-Estephe</v>
      </c>
      <c r="E580" s="9">
        <f>IFERROR(__xludf.DUMMYFUNCTION("""COMPUTED_VALUE"""),2017.0)</f>
        <v>2017</v>
      </c>
      <c r="F580" s="9">
        <f>IFERROR(__xludf.DUMMYFUNCTION("""COMPUTED_VALUE"""),750.0)</f>
        <v>750</v>
      </c>
      <c r="G580" s="9">
        <f>IFERROR(__xludf.DUMMYFUNCTION("""COMPUTED_VALUE"""),6.0)</f>
        <v>6</v>
      </c>
      <c r="H580" s="10">
        <f>IFERROR(__xludf.DUMMYFUNCTION("""COMPUTED_VALUE"""),1.0)</f>
        <v>1</v>
      </c>
      <c r="I580" s="11">
        <f>IFERROR(__xludf.DUMMYFUNCTION("""COMPUTED_VALUE"""),481.0)</f>
        <v>481</v>
      </c>
      <c r="J580" s="9" t="str">
        <f>IFERROR(__xludf.DUMMYFUNCTION("""COMPUTED_VALUE"""),"UK")</f>
        <v>UK</v>
      </c>
      <c r="K580" s="8"/>
      <c r="L580" s="12"/>
      <c r="M580" s="13"/>
      <c r="N580" s="13" t="str">
        <f>IFERROR(__xludf.DUMMYFUNCTION("IF(ISBLANK(M580),"""",M580*GOOGLEFINANCE(""USDGBP""))"),"")</f>
        <v/>
      </c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</row>
    <row r="581">
      <c r="A581" s="8" t="str">
        <f>IFERROR(__xludf.DUMMYFUNCTION("""COMPUTED_VALUE"""),"100752120120600750")</f>
        <v>100752120120600750</v>
      </c>
      <c r="B581" s="9" t="str">
        <f>IFERROR(__xludf.DUMMYFUNCTION("""COMPUTED_VALUE"""),"France")</f>
        <v>France</v>
      </c>
      <c r="C581" s="9" t="str">
        <f>IFERROR(__xludf.DUMMYFUNCTION("""COMPUTED_VALUE"""),"bordeaux")</f>
        <v>bordeaux</v>
      </c>
      <c r="D581" s="9" t="str">
        <f>IFERROR(__xludf.DUMMYFUNCTION("""COMPUTED_VALUE"""),"Chateau Canon Premier Grand Cru Classe B, Saint-Emilion Grand Cru")</f>
        <v>Chateau Canon Premier Grand Cru Classe B, Saint-Emilion Grand Cru</v>
      </c>
      <c r="E581" s="9">
        <f>IFERROR(__xludf.DUMMYFUNCTION("""COMPUTED_VALUE"""),2012.0)</f>
        <v>2012</v>
      </c>
      <c r="F581" s="9">
        <f>IFERROR(__xludf.DUMMYFUNCTION("""COMPUTED_VALUE"""),750.0)</f>
        <v>750</v>
      </c>
      <c r="G581" s="9">
        <f>IFERROR(__xludf.DUMMYFUNCTION("""COMPUTED_VALUE"""),6.0)</f>
        <v>6</v>
      </c>
      <c r="H581" s="10">
        <f>IFERROR(__xludf.DUMMYFUNCTION("""COMPUTED_VALUE"""),1.0)</f>
        <v>1</v>
      </c>
      <c r="I581" s="11">
        <f>IFERROR(__xludf.DUMMYFUNCTION("""COMPUTED_VALUE"""),403.0)</f>
        <v>403</v>
      </c>
      <c r="J581" s="9" t="str">
        <f>IFERROR(__xludf.DUMMYFUNCTION("""COMPUTED_VALUE"""),"UK")</f>
        <v>UK</v>
      </c>
      <c r="K581" s="8"/>
      <c r="L581" s="12"/>
      <c r="M581" s="13"/>
      <c r="N581" s="13" t="str">
        <f>IFERROR(__xludf.DUMMYFUNCTION("IF(ISBLANK(M581),"""",M581*GOOGLEFINANCE(""USDGBP""))"),"")</f>
        <v/>
      </c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</row>
    <row r="582">
      <c r="A582" s="8" t="str">
        <f>IFERROR(__xludf.DUMMYFUNCTION("""COMPUTED_VALUE"""),"100752120180301500")</f>
        <v>100752120180301500</v>
      </c>
      <c r="B582" s="9" t="str">
        <f>IFERROR(__xludf.DUMMYFUNCTION("""COMPUTED_VALUE"""),"France")</f>
        <v>France</v>
      </c>
      <c r="C582" s="9" t="str">
        <f>IFERROR(__xludf.DUMMYFUNCTION("""COMPUTED_VALUE"""),"bordeaux")</f>
        <v>bordeaux</v>
      </c>
      <c r="D582" s="9" t="str">
        <f>IFERROR(__xludf.DUMMYFUNCTION("""COMPUTED_VALUE"""),"Chateau Canon Premier Grand Cru Classe B, Saint-Emilion Grand Cru")</f>
        <v>Chateau Canon Premier Grand Cru Classe B, Saint-Emilion Grand Cru</v>
      </c>
      <c r="E582" s="9">
        <f>IFERROR(__xludf.DUMMYFUNCTION("""COMPUTED_VALUE"""),2018.0)</f>
        <v>2018</v>
      </c>
      <c r="F582" s="9">
        <f>IFERROR(__xludf.DUMMYFUNCTION("""COMPUTED_VALUE"""),1500.0)</f>
        <v>1500</v>
      </c>
      <c r="G582" s="9">
        <f>IFERROR(__xludf.DUMMYFUNCTION("""COMPUTED_VALUE"""),3.0)</f>
        <v>3</v>
      </c>
      <c r="H582" s="10">
        <f>IFERROR(__xludf.DUMMYFUNCTION("""COMPUTED_VALUE"""),1.0)</f>
        <v>1</v>
      </c>
      <c r="I582" s="11">
        <f>IFERROR(__xludf.DUMMYFUNCTION("""COMPUTED_VALUE"""),509.0)</f>
        <v>509</v>
      </c>
      <c r="J582" s="9" t="str">
        <f>IFERROR(__xludf.DUMMYFUNCTION("""COMPUTED_VALUE"""),"UK")</f>
        <v>UK</v>
      </c>
      <c r="K582" s="8"/>
      <c r="L582" s="12"/>
      <c r="M582" s="13"/>
      <c r="N582" s="13" t="str">
        <f>IFERROR(__xludf.DUMMYFUNCTION("IF(ISBLANK(M582),"""",M582*GOOGLEFINANCE(""USDGBP""))"),"")</f>
        <v/>
      </c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</row>
    <row r="583">
      <c r="A583" s="8" t="str">
        <f>IFERROR(__xludf.DUMMYFUNCTION("""COMPUTED_VALUE"""),"100758920131200750")</f>
        <v>100758920131200750</v>
      </c>
      <c r="B583" s="9" t="str">
        <f>IFERROR(__xludf.DUMMYFUNCTION("""COMPUTED_VALUE"""),"France")</f>
        <v>France</v>
      </c>
      <c r="C583" s="9" t="str">
        <f>IFERROR(__xludf.DUMMYFUNCTION("""COMPUTED_VALUE"""),"bordeaux")</f>
        <v>bordeaux</v>
      </c>
      <c r="D583" s="9" t="str">
        <f>IFERROR(__xludf.DUMMYFUNCTION("""COMPUTED_VALUE"""),"Chateau Canon la Gaffeliere Premier Grand Cru Classe B, Saint-Emilion Grand Cru")</f>
        <v>Chateau Canon la Gaffeliere Premier Grand Cru Classe B, Saint-Emilion Grand Cru</v>
      </c>
      <c r="E583" s="9">
        <f>IFERROR(__xludf.DUMMYFUNCTION("""COMPUTED_VALUE"""),2013.0)</f>
        <v>2013</v>
      </c>
      <c r="F583" s="9">
        <f>IFERROR(__xludf.DUMMYFUNCTION("""COMPUTED_VALUE"""),750.0)</f>
        <v>750</v>
      </c>
      <c r="G583" s="9">
        <f>IFERROR(__xludf.DUMMYFUNCTION("""COMPUTED_VALUE"""),12.0)</f>
        <v>12</v>
      </c>
      <c r="H583" s="10">
        <f>IFERROR(__xludf.DUMMYFUNCTION("""COMPUTED_VALUE"""),1.0)</f>
        <v>1</v>
      </c>
      <c r="I583" s="11">
        <f>IFERROR(__xludf.DUMMYFUNCTION("""COMPUTED_VALUE"""),582.0)</f>
        <v>582</v>
      </c>
      <c r="J583" s="9" t="str">
        <f>IFERROR(__xludf.DUMMYFUNCTION("""COMPUTED_VALUE"""),"UK")</f>
        <v>UK</v>
      </c>
      <c r="K583" s="8"/>
      <c r="L583" s="12"/>
      <c r="M583" s="13"/>
      <c r="N583" s="13" t="str">
        <f>IFERROR(__xludf.DUMMYFUNCTION("IF(ISBLANK(M583),"""",M583*GOOGLEFINANCE(""USDGBP""))"),"")</f>
        <v/>
      </c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</row>
    <row r="584">
      <c r="A584" s="8" t="str">
        <f>IFERROR(__xludf.DUMMYFUNCTION("""COMPUTED_VALUE"""),"100758920161200750")</f>
        <v>100758920161200750</v>
      </c>
      <c r="B584" s="9" t="str">
        <f>IFERROR(__xludf.DUMMYFUNCTION("""COMPUTED_VALUE"""),"France")</f>
        <v>France</v>
      </c>
      <c r="C584" s="9" t="str">
        <f>IFERROR(__xludf.DUMMYFUNCTION("""COMPUTED_VALUE"""),"bordeaux")</f>
        <v>bordeaux</v>
      </c>
      <c r="D584" s="9" t="str">
        <f>IFERROR(__xludf.DUMMYFUNCTION("""COMPUTED_VALUE"""),"Chateau Canon la Gaffeliere Premier Grand Cru Classe B, Saint-Emilion Grand Cru")</f>
        <v>Chateau Canon la Gaffeliere Premier Grand Cru Classe B, Saint-Emilion Grand Cru</v>
      </c>
      <c r="E584" s="9">
        <f>IFERROR(__xludf.DUMMYFUNCTION("""COMPUTED_VALUE"""),2016.0)</f>
        <v>2016</v>
      </c>
      <c r="F584" s="9">
        <f>IFERROR(__xludf.DUMMYFUNCTION("""COMPUTED_VALUE"""),750.0)</f>
        <v>750</v>
      </c>
      <c r="G584" s="9">
        <f>IFERROR(__xludf.DUMMYFUNCTION("""COMPUTED_VALUE"""),12.0)</f>
        <v>12</v>
      </c>
      <c r="H584" s="10">
        <f>IFERROR(__xludf.DUMMYFUNCTION("""COMPUTED_VALUE"""),3.0)</f>
        <v>3</v>
      </c>
      <c r="I584" s="11">
        <f>IFERROR(__xludf.DUMMYFUNCTION("""COMPUTED_VALUE"""),784.0)</f>
        <v>784</v>
      </c>
      <c r="J584" s="9" t="str">
        <f>IFERROR(__xludf.DUMMYFUNCTION("""COMPUTED_VALUE"""),"UK")</f>
        <v>UK</v>
      </c>
      <c r="K584" s="8"/>
      <c r="L584" s="12"/>
      <c r="M584" s="13"/>
      <c r="N584" s="13" t="str">
        <f>IFERROR(__xludf.DUMMYFUNCTION("IF(ISBLANK(M584),"""",M584*GOOGLEFINANCE(""USDGBP""))"),"")</f>
        <v/>
      </c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</row>
    <row r="585">
      <c r="A585" s="8" t="str">
        <f>IFERROR(__xludf.DUMMYFUNCTION("""COMPUTED_VALUE"""),"100758920171200750")</f>
        <v>100758920171200750</v>
      </c>
      <c r="B585" s="9" t="str">
        <f>IFERROR(__xludf.DUMMYFUNCTION("""COMPUTED_VALUE"""),"France")</f>
        <v>France</v>
      </c>
      <c r="C585" s="9" t="str">
        <f>IFERROR(__xludf.DUMMYFUNCTION("""COMPUTED_VALUE"""),"bordeaux")</f>
        <v>bordeaux</v>
      </c>
      <c r="D585" s="9" t="str">
        <f>IFERROR(__xludf.DUMMYFUNCTION("""COMPUTED_VALUE"""),"Chateau Canon la Gaffeliere Premier Grand Cru Classe B, Saint-Emilion Grand Cru")</f>
        <v>Chateau Canon la Gaffeliere Premier Grand Cru Classe B, Saint-Emilion Grand Cru</v>
      </c>
      <c r="E585" s="9">
        <f>IFERROR(__xludf.DUMMYFUNCTION("""COMPUTED_VALUE"""),2017.0)</f>
        <v>2017</v>
      </c>
      <c r="F585" s="9">
        <f>IFERROR(__xludf.DUMMYFUNCTION("""COMPUTED_VALUE"""),750.0)</f>
        <v>750</v>
      </c>
      <c r="G585" s="9">
        <f>IFERROR(__xludf.DUMMYFUNCTION("""COMPUTED_VALUE"""),12.0)</f>
        <v>12</v>
      </c>
      <c r="H585" s="10">
        <f>IFERROR(__xludf.DUMMYFUNCTION("""COMPUTED_VALUE"""),2.0)</f>
        <v>2</v>
      </c>
      <c r="I585" s="11">
        <f>IFERROR(__xludf.DUMMYFUNCTION("""COMPUTED_VALUE"""),649.0)</f>
        <v>649</v>
      </c>
      <c r="J585" s="9" t="str">
        <f>IFERROR(__xludf.DUMMYFUNCTION("""COMPUTED_VALUE"""),"UK")</f>
        <v>UK</v>
      </c>
      <c r="K585" s="8"/>
      <c r="L585" s="12"/>
      <c r="M585" s="13"/>
      <c r="N585" s="13" t="str">
        <f>IFERROR(__xludf.DUMMYFUNCTION("IF(ISBLANK(M585),"""",M585*GOOGLEFINANCE(""USDGBP""))"),"")</f>
        <v/>
      </c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</row>
    <row r="586">
      <c r="A586" s="8" t="str">
        <f>IFERROR(__xludf.DUMMYFUNCTION("""COMPUTED_VALUE"""),"100765120001200750")</f>
        <v>100765120001200750</v>
      </c>
      <c r="B586" s="9" t="str">
        <f>IFERROR(__xludf.DUMMYFUNCTION("""COMPUTED_VALUE"""),"France")</f>
        <v>France</v>
      </c>
      <c r="C586" s="9" t="str">
        <f>IFERROR(__xludf.DUMMYFUNCTION("""COMPUTED_VALUE"""),"bordeaux")</f>
        <v>bordeaux</v>
      </c>
      <c r="D586" s="9" t="str">
        <f>IFERROR(__xludf.DUMMYFUNCTION("""COMPUTED_VALUE"""),"Chateau Cantemerle 5eme Cru Classe, Haut-Medoc")</f>
        <v>Chateau Cantemerle 5eme Cru Classe, Haut-Medoc</v>
      </c>
      <c r="E586" s="9">
        <f>IFERROR(__xludf.DUMMYFUNCTION("""COMPUTED_VALUE"""),2000.0)</f>
        <v>2000</v>
      </c>
      <c r="F586" s="9">
        <f>IFERROR(__xludf.DUMMYFUNCTION("""COMPUTED_VALUE"""),750.0)</f>
        <v>750</v>
      </c>
      <c r="G586" s="9">
        <f>IFERROR(__xludf.DUMMYFUNCTION("""COMPUTED_VALUE"""),12.0)</f>
        <v>12</v>
      </c>
      <c r="H586" s="10">
        <f>IFERROR(__xludf.DUMMYFUNCTION("""COMPUTED_VALUE"""),1.0)</f>
        <v>1</v>
      </c>
      <c r="I586" s="11">
        <f>IFERROR(__xludf.DUMMYFUNCTION("""COMPUTED_VALUE"""),604.0)</f>
        <v>604</v>
      </c>
      <c r="J586" s="9" t="str">
        <f>IFERROR(__xludf.DUMMYFUNCTION("""COMPUTED_VALUE"""),"UK")</f>
        <v>UK</v>
      </c>
      <c r="K586" s="8"/>
      <c r="L586" s="12"/>
      <c r="M586" s="13"/>
      <c r="N586" s="13" t="str">
        <f>IFERROR(__xludf.DUMMYFUNCTION("IF(ISBLANK(M586),"""",M586*GOOGLEFINANCE(""USDGBP""))"),"")</f>
        <v/>
      </c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</row>
    <row r="587">
      <c r="A587" s="8" t="str">
        <f>IFERROR(__xludf.DUMMYFUNCTION("""COMPUTED_VALUE"""),"100790920170600750")</f>
        <v>100790920170600750</v>
      </c>
      <c r="B587" s="9" t="str">
        <f>IFERROR(__xludf.DUMMYFUNCTION("""COMPUTED_VALUE"""),"France")</f>
        <v>France</v>
      </c>
      <c r="C587" s="9" t="str">
        <f>IFERROR(__xludf.DUMMYFUNCTION("""COMPUTED_VALUE"""),"bordeaux")</f>
        <v>bordeaux</v>
      </c>
      <c r="D587" s="9" t="str">
        <f>IFERROR(__xludf.DUMMYFUNCTION("""COMPUTED_VALUE"""),"Chateau Certan de May, Pomerol")</f>
        <v>Chateau Certan de May, Pomerol</v>
      </c>
      <c r="E587" s="9">
        <f>IFERROR(__xludf.DUMMYFUNCTION("""COMPUTED_VALUE"""),2017.0)</f>
        <v>2017</v>
      </c>
      <c r="F587" s="9">
        <f>IFERROR(__xludf.DUMMYFUNCTION("""COMPUTED_VALUE"""),750.0)</f>
        <v>750</v>
      </c>
      <c r="G587" s="9">
        <f>IFERROR(__xludf.DUMMYFUNCTION("""COMPUTED_VALUE"""),6.0)</f>
        <v>6</v>
      </c>
      <c r="H587" s="10">
        <f>IFERROR(__xludf.DUMMYFUNCTION("""COMPUTED_VALUE"""),1.0)</f>
        <v>1</v>
      </c>
      <c r="I587" s="11">
        <f>IFERROR(__xludf.DUMMYFUNCTION("""COMPUTED_VALUE"""),526.0)</f>
        <v>526</v>
      </c>
      <c r="J587" s="9" t="str">
        <f>IFERROR(__xludf.DUMMYFUNCTION("""COMPUTED_VALUE"""),"UK")</f>
        <v>UK</v>
      </c>
      <c r="K587" s="8"/>
      <c r="L587" s="12"/>
      <c r="M587" s="13"/>
      <c r="N587" s="13" t="str">
        <f>IFERROR(__xludf.DUMMYFUNCTION("IF(ISBLANK(M587),"""",M587*GOOGLEFINANCE(""USDGBP""))"),"")</f>
        <v/>
      </c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</row>
    <row r="588">
      <c r="A588" s="8" t="str">
        <f>IFERROR(__xludf.DUMMYFUNCTION("""COMPUTED_VALUE"""),"100790920200600750")</f>
        <v>100790920200600750</v>
      </c>
      <c r="B588" s="9" t="str">
        <f>IFERROR(__xludf.DUMMYFUNCTION("""COMPUTED_VALUE"""),"France")</f>
        <v>France</v>
      </c>
      <c r="C588" s="9" t="str">
        <f>IFERROR(__xludf.DUMMYFUNCTION("""COMPUTED_VALUE"""),"bordeaux")</f>
        <v>bordeaux</v>
      </c>
      <c r="D588" s="9" t="str">
        <f>IFERROR(__xludf.DUMMYFUNCTION("""COMPUTED_VALUE"""),"Chateau Certan de May, Pomerol")</f>
        <v>Chateau Certan de May, Pomerol</v>
      </c>
      <c r="E588" s="9">
        <f>IFERROR(__xludf.DUMMYFUNCTION("""COMPUTED_VALUE"""),2020.0)</f>
        <v>2020</v>
      </c>
      <c r="F588" s="9">
        <f>IFERROR(__xludf.DUMMYFUNCTION("""COMPUTED_VALUE"""),750.0)</f>
        <v>750</v>
      </c>
      <c r="G588" s="9">
        <f>IFERROR(__xludf.DUMMYFUNCTION("""COMPUTED_VALUE"""),6.0)</f>
        <v>6</v>
      </c>
      <c r="H588" s="10">
        <f>IFERROR(__xludf.DUMMYFUNCTION("""COMPUTED_VALUE"""),5.0)</f>
        <v>5</v>
      </c>
      <c r="I588" s="11">
        <f>IFERROR(__xludf.DUMMYFUNCTION("""COMPUTED_VALUE"""),498.0)</f>
        <v>498</v>
      </c>
      <c r="J588" s="9" t="str">
        <f>IFERROR(__xludf.DUMMYFUNCTION("""COMPUTED_VALUE"""),"UK")</f>
        <v>UK</v>
      </c>
      <c r="K588" s="8"/>
      <c r="L588" s="12"/>
      <c r="M588" s="13"/>
      <c r="N588" s="13" t="str">
        <f>IFERROR(__xludf.DUMMYFUNCTION("IF(ISBLANK(M588),"""",M588*GOOGLEFINANCE(""USDGBP""))"),"")</f>
        <v/>
      </c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</row>
    <row r="589">
      <c r="A589" s="8" t="str">
        <f>IFERROR(__xludf.DUMMYFUNCTION("""COMPUTED_VALUE"""),"100821220160600750")</f>
        <v>100821220160600750</v>
      </c>
      <c r="B589" s="9" t="str">
        <f>IFERROR(__xludf.DUMMYFUNCTION("""COMPUTED_VALUE"""),"France")</f>
        <v>France</v>
      </c>
      <c r="C589" s="9" t="str">
        <f>IFERROR(__xludf.DUMMYFUNCTION("""COMPUTED_VALUE"""),"bordeaux")</f>
        <v>bordeaux</v>
      </c>
      <c r="D589" s="9" t="str">
        <f>IFERROR(__xludf.DUMMYFUNCTION("""COMPUTED_VALUE"""),"Chateau Clerc Milon 5eme Cru Classe, Pauillac")</f>
        <v>Chateau Clerc Milon 5eme Cru Classe, Pauillac</v>
      </c>
      <c r="E589" s="9">
        <f>IFERROR(__xludf.DUMMYFUNCTION("""COMPUTED_VALUE"""),2016.0)</f>
        <v>2016</v>
      </c>
      <c r="F589" s="9">
        <f>IFERROR(__xludf.DUMMYFUNCTION("""COMPUTED_VALUE"""),750.0)</f>
        <v>750</v>
      </c>
      <c r="G589" s="9">
        <f>IFERROR(__xludf.DUMMYFUNCTION("""COMPUTED_VALUE"""),6.0)</f>
        <v>6</v>
      </c>
      <c r="H589" s="10">
        <f>IFERROR(__xludf.DUMMYFUNCTION("""COMPUTED_VALUE"""),1.0)</f>
        <v>1</v>
      </c>
      <c r="I589" s="11">
        <f>IFERROR(__xludf.DUMMYFUNCTION("""COMPUTED_VALUE"""),431.0)</f>
        <v>431</v>
      </c>
      <c r="J589" s="9" t="str">
        <f>IFERROR(__xludf.DUMMYFUNCTION("""COMPUTED_VALUE"""),"UK")</f>
        <v>UK</v>
      </c>
      <c r="K589" s="8"/>
      <c r="L589" s="12"/>
      <c r="M589" s="13"/>
      <c r="N589" s="13" t="str">
        <f>IFERROR(__xludf.DUMMYFUNCTION("IF(ISBLANK(M589),"""",M589*GOOGLEFINANCE(""USDGBP""))"),"")</f>
        <v/>
      </c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</row>
    <row r="590">
      <c r="A590" s="8" t="str">
        <f>IFERROR(__xludf.DUMMYFUNCTION("""COMPUTED_VALUE"""),"100821220170600750")</f>
        <v>100821220170600750</v>
      </c>
      <c r="B590" s="9" t="str">
        <f>IFERROR(__xludf.DUMMYFUNCTION("""COMPUTED_VALUE"""),"France")</f>
        <v>France</v>
      </c>
      <c r="C590" s="9" t="str">
        <f>IFERROR(__xludf.DUMMYFUNCTION("""COMPUTED_VALUE"""),"bordeaux")</f>
        <v>bordeaux</v>
      </c>
      <c r="D590" s="9" t="str">
        <f>IFERROR(__xludf.DUMMYFUNCTION("""COMPUTED_VALUE"""),"Chateau Clerc Milon 5eme Cru Classe, Pauillac")</f>
        <v>Chateau Clerc Milon 5eme Cru Classe, Pauillac</v>
      </c>
      <c r="E590" s="9">
        <f>IFERROR(__xludf.DUMMYFUNCTION("""COMPUTED_VALUE"""),2017.0)</f>
        <v>2017</v>
      </c>
      <c r="F590" s="9">
        <f>IFERROR(__xludf.DUMMYFUNCTION("""COMPUTED_VALUE"""),750.0)</f>
        <v>750</v>
      </c>
      <c r="G590" s="9">
        <f>IFERROR(__xludf.DUMMYFUNCTION("""COMPUTED_VALUE"""),6.0)</f>
        <v>6</v>
      </c>
      <c r="H590" s="10">
        <f>IFERROR(__xludf.DUMMYFUNCTION("""COMPUTED_VALUE"""),2.0)</f>
        <v>2</v>
      </c>
      <c r="I590" s="11">
        <f>IFERROR(__xludf.DUMMYFUNCTION("""COMPUTED_VALUE"""),385.0)</f>
        <v>385</v>
      </c>
      <c r="J590" s="9" t="str">
        <f>IFERROR(__xludf.DUMMYFUNCTION("""COMPUTED_VALUE"""),"UK")</f>
        <v>UK</v>
      </c>
      <c r="K590" s="8"/>
      <c r="L590" s="12"/>
      <c r="M590" s="13"/>
      <c r="N590" s="13" t="str">
        <f>IFERROR(__xludf.DUMMYFUNCTION("IF(ISBLANK(M590),"""",M590*GOOGLEFINANCE(""USDGBP""))"),"")</f>
        <v/>
      </c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</row>
    <row r="591">
      <c r="A591" s="8" t="str">
        <f>IFERROR(__xludf.DUMMYFUNCTION("""COMPUTED_VALUE"""),"100821220201200750")</f>
        <v>100821220201200750</v>
      </c>
      <c r="B591" s="9" t="str">
        <f>IFERROR(__xludf.DUMMYFUNCTION("""COMPUTED_VALUE"""),"France")</f>
        <v>France</v>
      </c>
      <c r="C591" s="9" t="str">
        <f>IFERROR(__xludf.DUMMYFUNCTION("""COMPUTED_VALUE"""),"bordeaux")</f>
        <v>bordeaux</v>
      </c>
      <c r="D591" s="9" t="str">
        <f>IFERROR(__xludf.DUMMYFUNCTION("""COMPUTED_VALUE"""),"Chateau Clerc Milon 5eme Cru Classe, Pauillac")</f>
        <v>Chateau Clerc Milon 5eme Cru Classe, Pauillac</v>
      </c>
      <c r="E591" s="9">
        <f>IFERROR(__xludf.DUMMYFUNCTION("""COMPUTED_VALUE"""),2020.0)</f>
        <v>2020</v>
      </c>
      <c r="F591" s="9">
        <f>IFERROR(__xludf.DUMMYFUNCTION("""COMPUTED_VALUE"""),750.0)</f>
        <v>750</v>
      </c>
      <c r="G591" s="9">
        <f>IFERROR(__xludf.DUMMYFUNCTION("""COMPUTED_VALUE"""),12.0)</f>
        <v>12</v>
      </c>
      <c r="H591" s="10">
        <f>IFERROR(__xludf.DUMMYFUNCTION("""COMPUTED_VALUE"""),3.0)</f>
        <v>3</v>
      </c>
      <c r="I591" s="11">
        <f>IFERROR(__xludf.DUMMYFUNCTION("""COMPUTED_VALUE"""),737.0)</f>
        <v>737</v>
      </c>
      <c r="J591" s="9" t="str">
        <f>IFERROR(__xludf.DUMMYFUNCTION("""COMPUTED_VALUE"""),"UK")</f>
        <v>UK</v>
      </c>
      <c r="K591" s="8"/>
      <c r="L591" s="12"/>
      <c r="M591" s="13"/>
      <c r="N591" s="13" t="str">
        <f>IFERROR(__xludf.DUMMYFUNCTION("IF(ISBLANK(M591),"""",M591*GOOGLEFINANCE(""USDGBP""))"),"")</f>
        <v/>
      </c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</row>
    <row r="592">
      <c r="A592" s="8" t="str">
        <f>IFERROR(__xludf.DUMMYFUNCTION("""COMPUTED_VALUE"""),"100822520160600750")</f>
        <v>100822520160600750</v>
      </c>
      <c r="B592" s="9" t="str">
        <f>IFERROR(__xludf.DUMMYFUNCTION("""COMPUTED_VALUE"""),"France")</f>
        <v>France</v>
      </c>
      <c r="C592" s="9" t="str">
        <f>IFERROR(__xludf.DUMMYFUNCTION("""COMPUTED_VALUE"""),"bordeaux")</f>
        <v>bordeaux</v>
      </c>
      <c r="D592" s="9" t="str">
        <f>IFERROR(__xludf.DUMMYFUNCTION("""COMPUTED_VALUE"""),"Chateau Clinet, Pomerol")</f>
        <v>Chateau Clinet, Pomerol</v>
      </c>
      <c r="E592" s="9">
        <f>IFERROR(__xludf.DUMMYFUNCTION("""COMPUTED_VALUE"""),2016.0)</f>
        <v>2016</v>
      </c>
      <c r="F592" s="9">
        <f>IFERROR(__xludf.DUMMYFUNCTION("""COMPUTED_VALUE"""),750.0)</f>
        <v>750</v>
      </c>
      <c r="G592" s="9">
        <f>IFERROR(__xludf.DUMMYFUNCTION("""COMPUTED_VALUE"""),6.0)</f>
        <v>6</v>
      </c>
      <c r="H592" s="10">
        <f>IFERROR(__xludf.DUMMYFUNCTION("""COMPUTED_VALUE"""),1.0)</f>
        <v>1</v>
      </c>
      <c r="I592" s="11">
        <f>IFERROR(__xludf.DUMMYFUNCTION("""COMPUTED_VALUE"""),487.0)</f>
        <v>487</v>
      </c>
      <c r="J592" s="9" t="str">
        <f>IFERROR(__xludf.DUMMYFUNCTION("""COMPUTED_VALUE"""),"UK")</f>
        <v>UK</v>
      </c>
      <c r="K592" s="8"/>
      <c r="L592" s="12"/>
      <c r="M592" s="13"/>
      <c r="N592" s="13" t="str">
        <f>IFERROR(__xludf.DUMMYFUNCTION("IF(ISBLANK(M592),"""",M592*GOOGLEFINANCE(""USDGBP""))"),"")</f>
        <v/>
      </c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</row>
    <row r="593">
      <c r="A593" s="8" t="str">
        <f>IFERROR(__xludf.DUMMYFUNCTION("""COMPUTED_VALUE"""),"100822520180600750")</f>
        <v>100822520180600750</v>
      </c>
      <c r="B593" s="9" t="str">
        <f>IFERROR(__xludf.DUMMYFUNCTION("""COMPUTED_VALUE"""),"France")</f>
        <v>France</v>
      </c>
      <c r="C593" s="9" t="str">
        <f>IFERROR(__xludf.DUMMYFUNCTION("""COMPUTED_VALUE"""),"bordeaux")</f>
        <v>bordeaux</v>
      </c>
      <c r="D593" s="9" t="str">
        <f>IFERROR(__xludf.DUMMYFUNCTION("""COMPUTED_VALUE"""),"Chateau Clinet, Pomerol")</f>
        <v>Chateau Clinet, Pomerol</v>
      </c>
      <c r="E593" s="9">
        <f>IFERROR(__xludf.DUMMYFUNCTION("""COMPUTED_VALUE"""),2018.0)</f>
        <v>2018</v>
      </c>
      <c r="F593" s="9">
        <f>IFERROR(__xludf.DUMMYFUNCTION("""COMPUTED_VALUE"""),750.0)</f>
        <v>750</v>
      </c>
      <c r="G593" s="9">
        <f>IFERROR(__xludf.DUMMYFUNCTION("""COMPUTED_VALUE"""),6.0)</f>
        <v>6</v>
      </c>
      <c r="H593" s="10">
        <f>IFERROR(__xludf.DUMMYFUNCTION("""COMPUTED_VALUE"""),1.0)</f>
        <v>1</v>
      </c>
      <c r="I593" s="11">
        <f>IFERROR(__xludf.DUMMYFUNCTION("""COMPUTED_VALUE"""),453.0)</f>
        <v>453</v>
      </c>
      <c r="J593" s="9" t="str">
        <f>IFERROR(__xludf.DUMMYFUNCTION("""COMPUTED_VALUE"""),"UK")</f>
        <v>UK</v>
      </c>
      <c r="K593" s="8"/>
      <c r="L593" s="12"/>
      <c r="M593" s="13"/>
      <c r="N593" s="13" t="str">
        <f>IFERROR(__xludf.DUMMYFUNCTION("IF(ISBLANK(M593),"""",M593*GOOGLEFINANCE(""USDGBP""))"),"")</f>
        <v/>
      </c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</row>
    <row r="594">
      <c r="A594" s="8" t="str">
        <f>IFERROR(__xludf.DUMMYFUNCTION("""COMPUTED_VALUE"""),"100822520200600750")</f>
        <v>100822520200600750</v>
      </c>
      <c r="B594" s="9" t="str">
        <f>IFERROR(__xludf.DUMMYFUNCTION("""COMPUTED_VALUE"""),"France")</f>
        <v>France</v>
      </c>
      <c r="C594" s="9" t="str">
        <f>IFERROR(__xludf.DUMMYFUNCTION("""COMPUTED_VALUE"""),"bordeaux")</f>
        <v>bordeaux</v>
      </c>
      <c r="D594" s="9" t="str">
        <f>IFERROR(__xludf.DUMMYFUNCTION("""COMPUTED_VALUE"""),"Chateau Clinet, Pomerol")</f>
        <v>Chateau Clinet, Pomerol</v>
      </c>
      <c r="E594" s="9">
        <f>IFERROR(__xludf.DUMMYFUNCTION("""COMPUTED_VALUE"""),2020.0)</f>
        <v>2020</v>
      </c>
      <c r="F594" s="9">
        <f>IFERROR(__xludf.DUMMYFUNCTION("""COMPUTED_VALUE"""),750.0)</f>
        <v>750</v>
      </c>
      <c r="G594" s="9">
        <f>IFERROR(__xludf.DUMMYFUNCTION("""COMPUTED_VALUE"""),6.0)</f>
        <v>6</v>
      </c>
      <c r="H594" s="10">
        <f>IFERROR(__xludf.DUMMYFUNCTION("""COMPUTED_VALUE"""),1.0)</f>
        <v>1</v>
      </c>
      <c r="I594" s="11">
        <f>IFERROR(__xludf.DUMMYFUNCTION("""COMPUTED_VALUE"""),431.0)</f>
        <v>431</v>
      </c>
      <c r="J594" s="9" t="str">
        <f>IFERROR(__xludf.DUMMYFUNCTION("""COMPUTED_VALUE"""),"UK")</f>
        <v>UK</v>
      </c>
      <c r="K594" s="8"/>
      <c r="L594" s="12"/>
      <c r="M594" s="13"/>
      <c r="N594" s="13" t="str">
        <f>IFERROR(__xludf.DUMMYFUNCTION("IF(ISBLANK(M594),"""",M594*GOOGLEFINANCE(""USDGBP""))"),"")</f>
        <v/>
      </c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</row>
    <row r="595">
      <c r="A595" s="8" t="str">
        <f>IFERROR(__xludf.DUMMYFUNCTION("""COMPUTED_VALUE"""),"100892220191200750")</f>
        <v>100892220191200750</v>
      </c>
      <c r="B595" s="9" t="str">
        <f>IFERROR(__xludf.DUMMYFUNCTION("""COMPUTED_VALUE"""),"France")</f>
        <v>France</v>
      </c>
      <c r="C595" s="9" t="str">
        <f>IFERROR(__xludf.DUMMYFUNCTION("""COMPUTED_VALUE"""),"bordeaux")</f>
        <v>bordeaux</v>
      </c>
      <c r="D595" s="9" t="str">
        <f>IFERROR(__xludf.DUMMYFUNCTION("""COMPUTED_VALUE"""),"Chateau Coutet, Saint-Emilion")</f>
        <v>Chateau Coutet, Saint-Emilion</v>
      </c>
      <c r="E595" s="9">
        <f>IFERROR(__xludf.DUMMYFUNCTION("""COMPUTED_VALUE"""),2019.0)</f>
        <v>2019</v>
      </c>
      <c r="F595" s="9">
        <f>IFERROR(__xludf.DUMMYFUNCTION("""COMPUTED_VALUE"""),750.0)</f>
        <v>750</v>
      </c>
      <c r="G595" s="9">
        <f>IFERROR(__xludf.DUMMYFUNCTION("""COMPUTED_VALUE"""),12.0)</f>
        <v>12</v>
      </c>
      <c r="H595" s="10">
        <f>IFERROR(__xludf.DUMMYFUNCTION("""COMPUTED_VALUE"""),1.0)</f>
        <v>1</v>
      </c>
      <c r="I595" s="11">
        <f>IFERROR(__xludf.DUMMYFUNCTION("""COMPUTED_VALUE"""),297.0)</f>
        <v>297</v>
      </c>
      <c r="J595" s="9" t="str">
        <f>IFERROR(__xludf.DUMMYFUNCTION("""COMPUTED_VALUE"""),"UK")</f>
        <v>UK</v>
      </c>
      <c r="K595" s="8"/>
      <c r="L595" s="12"/>
      <c r="M595" s="13"/>
      <c r="N595" s="13" t="str">
        <f>IFERROR(__xludf.DUMMYFUNCTION("IF(ISBLANK(M595),"""",M595*GOOGLEFINANCE(""USDGBP""))"),"")</f>
        <v/>
      </c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</row>
    <row r="596">
      <c r="A596" s="8" t="str">
        <f>IFERROR(__xludf.DUMMYFUNCTION("""COMPUTED_VALUE"""),"100948220100600750")</f>
        <v>100948220100600750</v>
      </c>
      <c r="B596" s="9" t="str">
        <f>IFERROR(__xludf.DUMMYFUNCTION("""COMPUTED_VALUE"""),"France")</f>
        <v>France</v>
      </c>
      <c r="C596" s="9" t="str">
        <f>IFERROR(__xludf.DUMMYFUNCTION("""COMPUTED_VALUE"""),"bordeaux")</f>
        <v>bordeaux</v>
      </c>
      <c r="D596" s="9" t="str">
        <f>IFERROR(__xludf.DUMMYFUNCTION("""COMPUTED_VALUE"""),"Chateau Duhart-Milon 4eme Cru Classe, Pauillac")</f>
        <v>Chateau Duhart-Milon 4eme Cru Classe, Pauillac</v>
      </c>
      <c r="E596" s="9">
        <f>IFERROR(__xludf.DUMMYFUNCTION("""COMPUTED_VALUE"""),2010.0)</f>
        <v>2010</v>
      </c>
      <c r="F596" s="9">
        <f>IFERROR(__xludf.DUMMYFUNCTION("""COMPUTED_VALUE"""),750.0)</f>
        <v>750</v>
      </c>
      <c r="G596" s="9">
        <f>IFERROR(__xludf.DUMMYFUNCTION("""COMPUTED_VALUE"""),6.0)</f>
        <v>6</v>
      </c>
      <c r="H596" s="10">
        <f>IFERROR(__xludf.DUMMYFUNCTION("""COMPUTED_VALUE"""),4.0)</f>
        <v>4</v>
      </c>
      <c r="I596" s="11">
        <f>IFERROR(__xludf.DUMMYFUNCTION("""COMPUTED_VALUE"""),459.0)</f>
        <v>459</v>
      </c>
      <c r="J596" s="9" t="str">
        <f>IFERROR(__xludf.DUMMYFUNCTION("""COMPUTED_VALUE"""),"UK")</f>
        <v>UK</v>
      </c>
      <c r="K596" s="8"/>
      <c r="L596" s="12"/>
      <c r="M596" s="13"/>
      <c r="N596" s="13" t="str">
        <f>IFERROR(__xludf.DUMMYFUNCTION("IF(ISBLANK(M596),"""",M596*GOOGLEFINANCE(""USDGBP""))"),"")</f>
        <v/>
      </c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</row>
    <row r="597">
      <c r="A597" s="8" t="str">
        <f>IFERROR(__xludf.DUMMYFUNCTION("""COMPUTED_VALUE"""),"100948220160600750")</f>
        <v>100948220160600750</v>
      </c>
      <c r="B597" s="9" t="str">
        <f>IFERROR(__xludf.DUMMYFUNCTION("""COMPUTED_VALUE"""),"France")</f>
        <v>France</v>
      </c>
      <c r="C597" s="9" t="str">
        <f>IFERROR(__xludf.DUMMYFUNCTION("""COMPUTED_VALUE"""),"bordeaux")</f>
        <v>bordeaux</v>
      </c>
      <c r="D597" s="9" t="str">
        <f>IFERROR(__xludf.DUMMYFUNCTION("""COMPUTED_VALUE"""),"Chateau Duhart-Milon 4eme Cru Classe, Pauillac")</f>
        <v>Chateau Duhart-Milon 4eme Cru Classe, Pauillac</v>
      </c>
      <c r="E597" s="9">
        <f>IFERROR(__xludf.DUMMYFUNCTION("""COMPUTED_VALUE"""),2016.0)</f>
        <v>2016</v>
      </c>
      <c r="F597" s="9">
        <f>IFERROR(__xludf.DUMMYFUNCTION("""COMPUTED_VALUE"""),750.0)</f>
        <v>750</v>
      </c>
      <c r="G597" s="9">
        <f>IFERROR(__xludf.DUMMYFUNCTION("""COMPUTED_VALUE"""),6.0)</f>
        <v>6</v>
      </c>
      <c r="H597" s="10">
        <f>IFERROR(__xludf.DUMMYFUNCTION("""COMPUTED_VALUE"""),1.0)</f>
        <v>1</v>
      </c>
      <c r="I597" s="11">
        <f>IFERROR(__xludf.DUMMYFUNCTION("""COMPUTED_VALUE"""),394.0)</f>
        <v>394</v>
      </c>
      <c r="J597" s="9" t="str">
        <f>IFERROR(__xludf.DUMMYFUNCTION("""COMPUTED_VALUE"""),"UK")</f>
        <v>UK</v>
      </c>
      <c r="K597" s="8"/>
      <c r="L597" s="12"/>
      <c r="M597" s="13"/>
      <c r="N597" s="13" t="str">
        <f>IFERROR(__xludf.DUMMYFUNCTION("IF(ISBLANK(M597),"""",M597*GOOGLEFINANCE(""USDGBP""))"),"")</f>
        <v/>
      </c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</row>
    <row r="598">
      <c r="A598" s="8" t="str">
        <f>IFERROR(__xludf.DUMMYFUNCTION("""COMPUTED_VALUE"""),"100948220170600750")</f>
        <v>100948220170600750</v>
      </c>
      <c r="B598" s="9" t="str">
        <f>IFERROR(__xludf.DUMMYFUNCTION("""COMPUTED_VALUE"""),"France")</f>
        <v>France</v>
      </c>
      <c r="C598" s="9" t="str">
        <f>IFERROR(__xludf.DUMMYFUNCTION("""COMPUTED_VALUE"""),"bordeaux")</f>
        <v>bordeaux</v>
      </c>
      <c r="D598" s="9" t="str">
        <f>IFERROR(__xludf.DUMMYFUNCTION("""COMPUTED_VALUE"""),"Chateau Duhart-Milon 4eme Cru Classe, Pauillac")</f>
        <v>Chateau Duhart-Milon 4eme Cru Classe, Pauillac</v>
      </c>
      <c r="E598" s="9">
        <f>IFERROR(__xludf.DUMMYFUNCTION("""COMPUTED_VALUE"""),2017.0)</f>
        <v>2017</v>
      </c>
      <c r="F598" s="9">
        <f>IFERROR(__xludf.DUMMYFUNCTION("""COMPUTED_VALUE"""),750.0)</f>
        <v>750</v>
      </c>
      <c r="G598" s="9">
        <f>IFERROR(__xludf.DUMMYFUNCTION("""COMPUTED_VALUE"""),6.0)</f>
        <v>6</v>
      </c>
      <c r="H598" s="10">
        <f>IFERROR(__xludf.DUMMYFUNCTION("""COMPUTED_VALUE"""),1.0)</f>
        <v>1</v>
      </c>
      <c r="I598" s="11">
        <f>IFERROR(__xludf.DUMMYFUNCTION("""COMPUTED_VALUE"""),354.0)</f>
        <v>354</v>
      </c>
      <c r="J598" s="9" t="str">
        <f>IFERROR(__xludf.DUMMYFUNCTION("""COMPUTED_VALUE"""),"UK")</f>
        <v>UK</v>
      </c>
      <c r="K598" s="8"/>
      <c r="L598" s="12"/>
      <c r="M598" s="13"/>
      <c r="N598" s="13" t="str">
        <f>IFERROR(__xludf.DUMMYFUNCTION("IF(ISBLANK(M598),"""",M598*GOOGLEFINANCE(""USDGBP""))"),"")</f>
        <v/>
      </c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</row>
    <row r="599">
      <c r="A599" s="8" t="str">
        <f>IFERROR(__xludf.DUMMYFUNCTION("""COMPUTED_VALUE"""),"100951220171200750")</f>
        <v>100951220171200750</v>
      </c>
      <c r="B599" s="9" t="str">
        <f>IFERROR(__xludf.DUMMYFUNCTION("""COMPUTED_VALUE"""),"France")</f>
        <v>France</v>
      </c>
      <c r="C599" s="9" t="str">
        <f>IFERROR(__xludf.DUMMYFUNCTION("""COMPUTED_VALUE"""),"bordeaux")</f>
        <v>bordeaux</v>
      </c>
      <c r="D599" s="9" t="str">
        <f>IFERROR(__xludf.DUMMYFUNCTION("""COMPUTED_VALUE"""),"Chateau Durfort-Vivens 2eme Cru Classe, Margaux")</f>
        <v>Chateau Durfort-Vivens 2eme Cru Classe, Margaux</v>
      </c>
      <c r="E599" s="9">
        <f>IFERROR(__xludf.DUMMYFUNCTION("""COMPUTED_VALUE"""),2017.0)</f>
        <v>2017</v>
      </c>
      <c r="F599" s="9">
        <f>IFERROR(__xludf.DUMMYFUNCTION("""COMPUTED_VALUE"""),750.0)</f>
        <v>750</v>
      </c>
      <c r="G599" s="9">
        <f>IFERROR(__xludf.DUMMYFUNCTION("""COMPUTED_VALUE"""),12.0)</f>
        <v>12</v>
      </c>
      <c r="H599" s="10">
        <f>IFERROR(__xludf.DUMMYFUNCTION("""COMPUTED_VALUE"""),6.0)</f>
        <v>6</v>
      </c>
      <c r="I599" s="11">
        <f>IFERROR(__xludf.DUMMYFUNCTION("""COMPUTED_VALUE"""),521.0)</f>
        <v>521</v>
      </c>
      <c r="J599" s="9" t="str">
        <f>IFERROR(__xludf.DUMMYFUNCTION("""COMPUTED_VALUE"""),"UK")</f>
        <v>UK</v>
      </c>
      <c r="K599" s="8"/>
      <c r="L599" s="12"/>
      <c r="M599" s="13"/>
      <c r="N599" s="13" t="str">
        <f>IFERROR(__xludf.DUMMYFUNCTION("IF(ISBLANK(M599),"""",M599*GOOGLEFINANCE(""USDGBP""))"),"")</f>
        <v/>
      </c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</row>
    <row r="600">
      <c r="A600" s="8" t="str">
        <f>IFERROR(__xludf.DUMMYFUNCTION("""COMPUTED_VALUE"""),"100972720161200750")</f>
        <v>100972720161200750</v>
      </c>
      <c r="B600" s="9" t="str">
        <f>IFERROR(__xludf.DUMMYFUNCTION("""COMPUTED_VALUE"""),"France")</f>
        <v>France</v>
      </c>
      <c r="C600" s="9" t="str">
        <f>IFERROR(__xludf.DUMMYFUNCTION("""COMPUTED_VALUE"""),"bordeaux")</f>
        <v>bordeaux</v>
      </c>
      <c r="D600" s="9" t="str">
        <f>IFERROR(__xludf.DUMMYFUNCTION("""COMPUTED_VALUE"""),"Chateau Ferriere 3eme Cru Classe, Margaux")</f>
        <v>Chateau Ferriere 3eme Cru Classe, Margaux</v>
      </c>
      <c r="E600" s="9">
        <f>IFERROR(__xludf.DUMMYFUNCTION("""COMPUTED_VALUE"""),2016.0)</f>
        <v>2016</v>
      </c>
      <c r="F600" s="9">
        <f>IFERROR(__xludf.DUMMYFUNCTION("""COMPUTED_VALUE"""),750.0)</f>
        <v>750</v>
      </c>
      <c r="G600" s="9">
        <f>IFERROR(__xludf.DUMMYFUNCTION("""COMPUTED_VALUE"""),12.0)</f>
        <v>12</v>
      </c>
      <c r="H600" s="10">
        <f>IFERROR(__xludf.DUMMYFUNCTION("""COMPUTED_VALUE"""),1.0)</f>
        <v>1</v>
      </c>
      <c r="I600" s="11">
        <f>IFERROR(__xludf.DUMMYFUNCTION("""COMPUTED_VALUE"""),437.0)</f>
        <v>437</v>
      </c>
      <c r="J600" s="9" t="str">
        <f>IFERROR(__xludf.DUMMYFUNCTION("""COMPUTED_VALUE"""),"UK")</f>
        <v>UK</v>
      </c>
      <c r="K600" s="8"/>
      <c r="L600" s="12"/>
      <c r="M600" s="13"/>
      <c r="N600" s="13" t="str">
        <f>IFERROR(__xludf.DUMMYFUNCTION("IF(ISBLANK(M600),"""",M600*GOOGLEFINANCE(""USDGBP""))"),"")</f>
        <v/>
      </c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</row>
    <row r="601">
      <c r="A601" s="8" t="str">
        <f>IFERROR(__xludf.DUMMYFUNCTION("""COMPUTED_VALUE"""),"100972720181200750")</f>
        <v>100972720181200750</v>
      </c>
      <c r="B601" s="9" t="str">
        <f>IFERROR(__xludf.DUMMYFUNCTION("""COMPUTED_VALUE"""),"France")</f>
        <v>France</v>
      </c>
      <c r="C601" s="9" t="str">
        <f>IFERROR(__xludf.DUMMYFUNCTION("""COMPUTED_VALUE"""),"bordeaux")</f>
        <v>bordeaux</v>
      </c>
      <c r="D601" s="9" t="str">
        <f>IFERROR(__xludf.DUMMYFUNCTION("""COMPUTED_VALUE"""),"Chateau Ferriere 3eme Cru Classe, Margaux")</f>
        <v>Chateau Ferriere 3eme Cru Classe, Margaux</v>
      </c>
      <c r="E601" s="9">
        <f>IFERROR(__xludf.DUMMYFUNCTION("""COMPUTED_VALUE"""),2018.0)</f>
        <v>2018</v>
      </c>
      <c r="F601" s="9">
        <f>IFERROR(__xludf.DUMMYFUNCTION("""COMPUTED_VALUE"""),750.0)</f>
        <v>750</v>
      </c>
      <c r="G601" s="9">
        <f>IFERROR(__xludf.DUMMYFUNCTION("""COMPUTED_VALUE"""),12.0)</f>
        <v>12</v>
      </c>
      <c r="H601" s="10">
        <f>IFERROR(__xludf.DUMMYFUNCTION("""COMPUTED_VALUE"""),1.0)</f>
        <v>1</v>
      </c>
      <c r="I601" s="11">
        <f>IFERROR(__xludf.DUMMYFUNCTION("""COMPUTED_VALUE"""),380.0)</f>
        <v>380</v>
      </c>
      <c r="J601" s="9" t="str">
        <f>IFERROR(__xludf.DUMMYFUNCTION("""COMPUTED_VALUE"""),"UK")</f>
        <v>UK</v>
      </c>
      <c r="K601" s="8"/>
      <c r="L601" s="12"/>
      <c r="M601" s="13"/>
      <c r="N601" s="13" t="str">
        <f>IFERROR(__xludf.DUMMYFUNCTION("IF(ISBLANK(M601),"""",M601*GOOGLEFINANCE(""USDGBP""))"),"")</f>
        <v/>
      </c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</row>
    <row r="602">
      <c r="A602" s="8" t="str">
        <f>IFERROR(__xludf.DUMMYFUNCTION("""COMPUTED_VALUE"""),"100973020141200750")</f>
        <v>100973020141200750</v>
      </c>
      <c r="B602" s="9" t="str">
        <f>IFERROR(__xludf.DUMMYFUNCTION("""COMPUTED_VALUE"""),"France")</f>
        <v>France</v>
      </c>
      <c r="C602" s="9" t="str">
        <f>IFERROR(__xludf.DUMMYFUNCTION("""COMPUTED_VALUE"""),"bordeaux")</f>
        <v>bordeaux</v>
      </c>
      <c r="D602" s="9" t="str">
        <f>IFERROR(__xludf.DUMMYFUNCTION("""COMPUTED_VALUE"""),"Chateau Feytit-Clinet, Pomerol")</f>
        <v>Chateau Feytit-Clinet, Pomerol</v>
      </c>
      <c r="E602" s="9">
        <f>IFERROR(__xludf.DUMMYFUNCTION("""COMPUTED_VALUE"""),2014.0)</f>
        <v>2014</v>
      </c>
      <c r="F602" s="9">
        <f>IFERROR(__xludf.DUMMYFUNCTION("""COMPUTED_VALUE"""),750.0)</f>
        <v>750</v>
      </c>
      <c r="G602" s="9">
        <f>IFERROR(__xludf.DUMMYFUNCTION("""COMPUTED_VALUE"""),12.0)</f>
        <v>12</v>
      </c>
      <c r="H602" s="10">
        <f>IFERROR(__xludf.DUMMYFUNCTION("""COMPUTED_VALUE"""),1.0)</f>
        <v>1</v>
      </c>
      <c r="I602" s="11">
        <f>IFERROR(__xludf.DUMMYFUNCTION("""COMPUTED_VALUE"""),468.0)</f>
        <v>468</v>
      </c>
      <c r="J602" s="9" t="str">
        <f>IFERROR(__xludf.DUMMYFUNCTION("""COMPUTED_VALUE"""),"UK")</f>
        <v>UK</v>
      </c>
      <c r="K602" s="8"/>
      <c r="L602" s="12"/>
      <c r="M602" s="13"/>
      <c r="N602" s="13" t="str">
        <f>IFERROR(__xludf.DUMMYFUNCTION("IF(ISBLANK(M602),"""",M602*GOOGLEFINANCE(""USDGBP""))"),"")</f>
        <v/>
      </c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</row>
    <row r="603">
      <c r="A603" s="8" t="str">
        <f>IFERROR(__xludf.DUMMYFUNCTION("""COMPUTED_VALUE"""),"100973020150600750")</f>
        <v>100973020150600750</v>
      </c>
      <c r="B603" s="9" t="str">
        <f>IFERROR(__xludf.DUMMYFUNCTION("""COMPUTED_VALUE"""),"France")</f>
        <v>France</v>
      </c>
      <c r="C603" s="9" t="str">
        <f>IFERROR(__xludf.DUMMYFUNCTION("""COMPUTED_VALUE"""),"bordeaux")</f>
        <v>bordeaux</v>
      </c>
      <c r="D603" s="9" t="str">
        <f>IFERROR(__xludf.DUMMYFUNCTION("""COMPUTED_VALUE"""),"Chateau Feytit-Clinet, Pomerol")</f>
        <v>Chateau Feytit-Clinet, Pomerol</v>
      </c>
      <c r="E603" s="9">
        <f>IFERROR(__xludf.DUMMYFUNCTION("""COMPUTED_VALUE"""),2015.0)</f>
        <v>2015</v>
      </c>
      <c r="F603" s="9">
        <f>IFERROR(__xludf.DUMMYFUNCTION("""COMPUTED_VALUE"""),750.0)</f>
        <v>750</v>
      </c>
      <c r="G603" s="9">
        <f>IFERROR(__xludf.DUMMYFUNCTION("""COMPUTED_VALUE"""),6.0)</f>
        <v>6</v>
      </c>
      <c r="H603" s="10">
        <f>IFERROR(__xludf.DUMMYFUNCTION("""COMPUTED_VALUE"""),2.0)</f>
        <v>2</v>
      </c>
      <c r="I603" s="11">
        <f>IFERROR(__xludf.DUMMYFUNCTION("""COMPUTED_VALUE"""),361.0)</f>
        <v>361</v>
      </c>
      <c r="J603" s="9" t="str">
        <f>IFERROR(__xludf.DUMMYFUNCTION("""COMPUTED_VALUE"""),"UK")</f>
        <v>UK</v>
      </c>
      <c r="K603" s="8"/>
      <c r="L603" s="12"/>
      <c r="M603" s="13"/>
      <c r="N603" s="13" t="str">
        <f>IFERROR(__xludf.DUMMYFUNCTION("IF(ISBLANK(M603),"""",M603*GOOGLEFINANCE(""USDGBP""))"),"")</f>
        <v/>
      </c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</row>
    <row r="604">
      <c r="A604" s="8" t="str">
        <f>IFERROR(__xludf.DUMMYFUNCTION("""COMPUTED_VALUE"""),"100973020160600750")</f>
        <v>100973020160600750</v>
      </c>
      <c r="B604" s="9" t="str">
        <f>IFERROR(__xludf.DUMMYFUNCTION("""COMPUTED_VALUE"""),"France")</f>
        <v>France</v>
      </c>
      <c r="C604" s="9" t="str">
        <f>IFERROR(__xludf.DUMMYFUNCTION("""COMPUTED_VALUE"""),"bordeaux")</f>
        <v>bordeaux</v>
      </c>
      <c r="D604" s="9" t="str">
        <f>IFERROR(__xludf.DUMMYFUNCTION("""COMPUTED_VALUE"""),"Chateau Feytit-Clinet, Pomerol")</f>
        <v>Chateau Feytit-Clinet, Pomerol</v>
      </c>
      <c r="E604" s="9">
        <f>IFERROR(__xludf.DUMMYFUNCTION("""COMPUTED_VALUE"""),2016.0)</f>
        <v>2016</v>
      </c>
      <c r="F604" s="9">
        <f>IFERROR(__xludf.DUMMYFUNCTION("""COMPUTED_VALUE"""),750.0)</f>
        <v>750</v>
      </c>
      <c r="G604" s="9">
        <f>IFERROR(__xludf.DUMMYFUNCTION("""COMPUTED_VALUE"""),6.0)</f>
        <v>6</v>
      </c>
      <c r="H604" s="10">
        <f>IFERROR(__xludf.DUMMYFUNCTION("""COMPUTED_VALUE"""),1.0)</f>
        <v>1</v>
      </c>
      <c r="I604" s="11">
        <f>IFERROR(__xludf.DUMMYFUNCTION("""COMPUTED_VALUE"""),380.0)</f>
        <v>380</v>
      </c>
      <c r="J604" s="9" t="str">
        <f>IFERROR(__xludf.DUMMYFUNCTION("""COMPUTED_VALUE"""),"UK")</f>
        <v>UK</v>
      </c>
      <c r="K604" s="8"/>
      <c r="L604" s="12"/>
      <c r="M604" s="13"/>
      <c r="N604" s="13" t="str">
        <f>IFERROR(__xludf.DUMMYFUNCTION("IF(ISBLANK(M604),"""",M604*GOOGLEFINANCE(""USDGBP""))"),"")</f>
        <v/>
      </c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</row>
    <row r="605">
      <c r="A605" s="8" t="str">
        <f>IFERROR(__xludf.DUMMYFUNCTION("""COMPUTED_VALUE"""),"100976920140600750")</f>
        <v>100976920140600750</v>
      </c>
      <c r="B605" s="9" t="str">
        <f>IFERROR(__xludf.DUMMYFUNCTION("""COMPUTED_VALUE"""),"France")</f>
        <v>France</v>
      </c>
      <c r="C605" s="9" t="str">
        <f>IFERROR(__xludf.DUMMYFUNCTION("""COMPUTED_VALUE"""),"bordeaux")</f>
        <v>bordeaux</v>
      </c>
      <c r="D605" s="9" t="str">
        <f>IFERROR(__xludf.DUMMYFUNCTION("""COMPUTED_VALUE"""),"Chateau Figeac Premier Grand Cru Classe A, Saint-Emilion Grand Cru")</f>
        <v>Chateau Figeac Premier Grand Cru Classe A, Saint-Emilion Grand Cru</v>
      </c>
      <c r="E605" s="9">
        <f>IFERROR(__xludf.DUMMYFUNCTION("""COMPUTED_VALUE"""),2014.0)</f>
        <v>2014</v>
      </c>
      <c r="F605" s="9">
        <f>IFERROR(__xludf.DUMMYFUNCTION("""COMPUTED_VALUE"""),750.0)</f>
        <v>750</v>
      </c>
      <c r="G605" s="9">
        <f>IFERROR(__xludf.DUMMYFUNCTION("""COMPUTED_VALUE"""),6.0)</f>
        <v>6</v>
      </c>
      <c r="H605" s="10">
        <f>IFERROR(__xludf.DUMMYFUNCTION("""COMPUTED_VALUE"""),2.0)</f>
        <v>2</v>
      </c>
      <c r="I605" s="11">
        <f>IFERROR(__xludf.DUMMYFUNCTION("""COMPUTED_VALUE"""),822.0)</f>
        <v>822</v>
      </c>
      <c r="J605" s="9" t="str">
        <f>IFERROR(__xludf.DUMMYFUNCTION("""COMPUTED_VALUE"""),"UK")</f>
        <v>UK</v>
      </c>
      <c r="K605" s="8"/>
      <c r="L605" s="12"/>
      <c r="M605" s="13"/>
      <c r="N605" s="13" t="str">
        <f>IFERROR(__xludf.DUMMYFUNCTION("IF(ISBLANK(M605),"""",M605*GOOGLEFINANCE(""USDGBP""))"),"")</f>
        <v/>
      </c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</row>
    <row r="606">
      <c r="A606" s="8" t="str">
        <f>IFERROR(__xludf.DUMMYFUNCTION("""COMPUTED_VALUE"""),"100976920180301500")</f>
        <v>100976920180301500</v>
      </c>
      <c r="B606" s="9" t="str">
        <f>IFERROR(__xludf.DUMMYFUNCTION("""COMPUTED_VALUE"""),"France")</f>
        <v>France</v>
      </c>
      <c r="C606" s="9" t="str">
        <f>IFERROR(__xludf.DUMMYFUNCTION("""COMPUTED_VALUE"""),"bordeaux")</f>
        <v>bordeaux</v>
      </c>
      <c r="D606" s="9" t="str">
        <f>IFERROR(__xludf.DUMMYFUNCTION("""COMPUTED_VALUE"""),"Chateau Figeac Premier Grand Cru Classe A, Saint-Emilion Grand Cru")</f>
        <v>Chateau Figeac Premier Grand Cru Classe A, Saint-Emilion Grand Cru</v>
      </c>
      <c r="E606" s="9">
        <f>IFERROR(__xludf.DUMMYFUNCTION("""COMPUTED_VALUE"""),2018.0)</f>
        <v>2018</v>
      </c>
      <c r="F606" s="9">
        <f>IFERROR(__xludf.DUMMYFUNCTION("""COMPUTED_VALUE"""),1500.0)</f>
        <v>1500</v>
      </c>
      <c r="G606" s="9">
        <f>IFERROR(__xludf.DUMMYFUNCTION("""COMPUTED_VALUE"""),3.0)</f>
        <v>3</v>
      </c>
      <c r="H606" s="10">
        <f>IFERROR(__xludf.DUMMYFUNCTION("""COMPUTED_VALUE"""),1.0)</f>
        <v>1</v>
      </c>
      <c r="I606" s="11">
        <f>IFERROR(__xludf.DUMMYFUNCTION("""COMPUTED_VALUE"""),987.0)</f>
        <v>987</v>
      </c>
      <c r="J606" s="9" t="str">
        <f>IFERROR(__xludf.DUMMYFUNCTION("""COMPUTED_VALUE"""),"UK")</f>
        <v>UK</v>
      </c>
      <c r="K606" s="8"/>
      <c r="L606" s="12"/>
      <c r="M606" s="13"/>
      <c r="N606" s="13" t="str">
        <f>IFERROR(__xludf.DUMMYFUNCTION("IF(ISBLANK(M606),"""",M606*GOOGLEFINANCE(""USDGBP""))"),"")</f>
        <v/>
      </c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</row>
    <row r="607">
      <c r="A607" s="8" t="str">
        <f>IFERROR(__xludf.DUMMYFUNCTION("""COMPUTED_VALUE"""),"101056920161200750")</f>
        <v>101056920161200750</v>
      </c>
      <c r="B607" s="9" t="str">
        <f>IFERROR(__xludf.DUMMYFUNCTION("""COMPUTED_VALUE"""),"France")</f>
        <v>France</v>
      </c>
      <c r="C607" s="9" t="str">
        <f>IFERROR(__xludf.DUMMYFUNCTION("""COMPUTED_VALUE"""),"bordeaux")</f>
        <v>bordeaux</v>
      </c>
      <c r="D607" s="9" t="str">
        <f>IFERROR(__xludf.DUMMYFUNCTION("""COMPUTED_VALUE"""),"Chateau Giscours 3eme Cru Classe, Margaux")</f>
        <v>Chateau Giscours 3eme Cru Classe, Margaux</v>
      </c>
      <c r="E607" s="9">
        <f>IFERROR(__xludf.DUMMYFUNCTION("""COMPUTED_VALUE"""),2016.0)</f>
        <v>2016</v>
      </c>
      <c r="F607" s="9">
        <f>IFERROR(__xludf.DUMMYFUNCTION("""COMPUTED_VALUE"""),750.0)</f>
        <v>750</v>
      </c>
      <c r="G607" s="9">
        <f>IFERROR(__xludf.DUMMYFUNCTION("""COMPUTED_VALUE"""),12.0)</f>
        <v>12</v>
      </c>
      <c r="H607" s="10">
        <f>IFERROR(__xludf.DUMMYFUNCTION("""COMPUTED_VALUE"""),8.0)</f>
        <v>8</v>
      </c>
      <c r="I607" s="11">
        <f>IFERROR(__xludf.DUMMYFUNCTION("""COMPUTED_VALUE"""),571.0)</f>
        <v>571</v>
      </c>
      <c r="J607" s="9" t="str">
        <f>IFERROR(__xludf.DUMMYFUNCTION("""COMPUTED_VALUE"""),"UK")</f>
        <v>UK</v>
      </c>
      <c r="K607" s="8"/>
      <c r="L607" s="12"/>
      <c r="M607" s="13"/>
      <c r="N607" s="13" t="str">
        <f>IFERROR(__xludf.DUMMYFUNCTION("IF(ISBLANK(M607),"""",M607*GOOGLEFINANCE(""USDGBP""))"),"")</f>
        <v/>
      </c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</row>
    <row r="608">
      <c r="A608" s="8" t="str">
        <f>IFERROR(__xludf.DUMMYFUNCTION("""COMPUTED_VALUE"""),"101056920171200750")</f>
        <v>101056920171200750</v>
      </c>
      <c r="B608" s="9" t="str">
        <f>IFERROR(__xludf.DUMMYFUNCTION("""COMPUTED_VALUE"""),"France")</f>
        <v>France</v>
      </c>
      <c r="C608" s="9" t="str">
        <f>IFERROR(__xludf.DUMMYFUNCTION("""COMPUTED_VALUE"""),"bordeaux")</f>
        <v>bordeaux</v>
      </c>
      <c r="D608" s="9" t="str">
        <f>IFERROR(__xludf.DUMMYFUNCTION("""COMPUTED_VALUE"""),"Chateau Giscours 3eme Cru Classe, Margaux")</f>
        <v>Chateau Giscours 3eme Cru Classe, Margaux</v>
      </c>
      <c r="E608" s="9">
        <f>IFERROR(__xludf.DUMMYFUNCTION("""COMPUTED_VALUE"""),2017.0)</f>
        <v>2017</v>
      </c>
      <c r="F608" s="9">
        <f>IFERROR(__xludf.DUMMYFUNCTION("""COMPUTED_VALUE"""),750.0)</f>
        <v>750</v>
      </c>
      <c r="G608" s="9">
        <f>IFERROR(__xludf.DUMMYFUNCTION("""COMPUTED_VALUE"""),12.0)</f>
        <v>12</v>
      </c>
      <c r="H608" s="10">
        <f>IFERROR(__xludf.DUMMYFUNCTION("""COMPUTED_VALUE"""),3.0)</f>
        <v>3</v>
      </c>
      <c r="I608" s="11">
        <f>IFERROR(__xludf.DUMMYFUNCTION("""COMPUTED_VALUE"""),481.0)</f>
        <v>481</v>
      </c>
      <c r="J608" s="9" t="str">
        <f>IFERROR(__xludf.DUMMYFUNCTION("""COMPUTED_VALUE"""),"UK")</f>
        <v>UK</v>
      </c>
      <c r="K608" s="8"/>
      <c r="L608" s="12"/>
      <c r="M608" s="13"/>
      <c r="N608" s="13" t="str">
        <f>IFERROR(__xludf.DUMMYFUNCTION("IF(ISBLANK(M608),"""",M608*GOOGLEFINANCE(""USDGBP""))"),"")</f>
        <v/>
      </c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</row>
    <row r="609">
      <c r="A609" s="8" t="str">
        <f>IFERROR(__xludf.DUMMYFUNCTION("""COMPUTED_VALUE"""),"101056920181200750")</f>
        <v>101056920181200750</v>
      </c>
      <c r="B609" s="9" t="str">
        <f>IFERROR(__xludf.DUMMYFUNCTION("""COMPUTED_VALUE"""),"France")</f>
        <v>France</v>
      </c>
      <c r="C609" s="9" t="str">
        <f>IFERROR(__xludf.DUMMYFUNCTION("""COMPUTED_VALUE"""),"bordeaux")</f>
        <v>bordeaux</v>
      </c>
      <c r="D609" s="9" t="str">
        <f>IFERROR(__xludf.DUMMYFUNCTION("""COMPUTED_VALUE"""),"Chateau Giscours 3eme Cru Classe, Margaux")</f>
        <v>Chateau Giscours 3eme Cru Classe, Margaux</v>
      </c>
      <c r="E609" s="9">
        <f>IFERROR(__xludf.DUMMYFUNCTION("""COMPUTED_VALUE"""),2018.0)</f>
        <v>2018</v>
      </c>
      <c r="F609" s="9">
        <f>IFERROR(__xludf.DUMMYFUNCTION("""COMPUTED_VALUE"""),750.0)</f>
        <v>750</v>
      </c>
      <c r="G609" s="9">
        <f>IFERROR(__xludf.DUMMYFUNCTION("""COMPUTED_VALUE"""),12.0)</f>
        <v>12</v>
      </c>
      <c r="H609" s="10">
        <f>IFERROR(__xludf.DUMMYFUNCTION("""COMPUTED_VALUE"""),6.0)</f>
        <v>6</v>
      </c>
      <c r="I609" s="11">
        <f>IFERROR(__xludf.DUMMYFUNCTION("""COMPUTED_VALUE"""),538.0)</f>
        <v>538</v>
      </c>
      <c r="J609" s="9" t="str">
        <f>IFERROR(__xludf.DUMMYFUNCTION("""COMPUTED_VALUE"""),"UK")</f>
        <v>UK</v>
      </c>
      <c r="K609" s="8"/>
      <c r="L609" s="12"/>
      <c r="M609" s="13"/>
      <c r="N609" s="13" t="str">
        <f>IFERROR(__xludf.DUMMYFUNCTION("IF(ISBLANK(M609),"""",M609*GOOGLEFINANCE(""USDGBP""))"),"")</f>
        <v/>
      </c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</row>
    <row r="610">
      <c r="A610" s="8" t="str">
        <f>IFERROR(__xludf.DUMMYFUNCTION("""COMPUTED_VALUE"""),"101078720130600750")</f>
        <v>101078720130600750</v>
      </c>
      <c r="B610" s="9" t="str">
        <f>IFERROR(__xludf.DUMMYFUNCTION("""COMPUTED_VALUE"""),"France")</f>
        <v>France</v>
      </c>
      <c r="C610" s="9" t="str">
        <f>IFERROR(__xludf.DUMMYFUNCTION("""COMPUTED_VALUE"""),"bordeaux")</f>
        <v>bordeaux</v>
      </c>
      <c r="D610" s="9" t="str">
        <f>IFERROR(__xludf.DUMMYFUNCTION("""COMPUTED_VALUE"""),"Chateau Grand-Puy-Lacoste 5eme Cru Classe, Pauillac")</f>
        <v>Chateau Grand-Puy-Lacoste 5eme Cru Classe, Pauillac</v>
      </c>
      <c r="E610" s="9">
        <f>IFERROR(__xludf.DUMMYFUNCTION("""COMPUTED_VALUE"""),2013.0)</f>
        <v>2013</v>
      </c>
      <c r="F610" s="9">
        <f>IFERROR(__xludf.DUMMYFUNCTION("""COMPUTED_VALUE"""),750.0)</f>
        <v>750</v>
      </c>
      <c r="G610" s="9">
        <f>IFERROR(__xludf.DUMMYFUNCTION("""COMPUTED_VALUE"""),6.0)</f>
        <v>6</v>
      </c>
      <c r="H610" s="10">
        <f>IFERROR(__xludf.DUMMYFUNCTION("""COMPUTED_VALUE"""),2.0)</f>
        <v>2</v>
      </c>
      <c r="I610" s="11">
        <f>IFERROR(__xludf.DUMMYFUNCTION("""COMPUTED_VALUE"""),210.0)</f>
        <v>210</v>
      </c>
      <c r="J610" s="9" t="str">
        <f>IFERROR(__xludf.DUMMYFUNCTION("""COMPUTED_VALUE"""),"UK")</f>
        <v>UK</v>
      </c>
      <c r="K610" s="8"/>
      <c r="L610" s="12"/>
      <c r="M610" s="13"/>
      <c r="N610" s="13" t="str">
        <f>IFERROR(__xludf.DUMMYFUNCTION("IF(ISBLANK(M610),"""",M610*GOOGLEFINANCE(""USDGBP""))"),"")</f>
        <v/>
      </c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</row>
    <row r="611">
      <c r="A611" s="8" t="str">
        <f>IFERROR(__xludf.DUMMYFUNCTION("""COMPUTED_VALUE"""),"101078720161200750")</f>
        <v>101078720161200750</v>
      </c>
      <c r="B611" s="9" t="str">
        <f>IFERROR(__xludf.DUMMYFUNCTION("""COMPUTED_VALUE"""),"France")</f>
        <v>France</v>
      </c>
      <c r="C611" s="9" t="str">
        <f>IFERROR(__xludf.DUMMYFUNCTION("""COMPUTED_VALUE"""),"bordeaux")</f>
        <v>bordeaux</v>
      </c>
      <c r="D611" s="9" t="str">
        <f>IFERROR(__xludf.DUMMYFUNCTION("""COMPUTED_VALUE"""),"Chateau Grand-Puy-Lacoste 5eme Cru Classe, Pauillac")</f>
        <v>Chateau Grand-Puy-Lacoste 5eme Cru Classe, Pauillac</v>
      </c>
      <c r="E611" s="9">
        <f>IFERROR(__xludf.DUMMYFUNCTION("""COMPUTED_VALUE"""),2016.0)</f>
        <v>2016</v>
      </c>
      <c r="F611" s="9">
        <f>IFERROR(__xludf.DUMMYFUNCTION("""COMPUTED_VALUE"""),750.0)</f>
        <v>750</v>
      </c>
      <c r="G611" s="9">
        <f>IFERROR(__xludf.DUMMYFUNCTION("""COMPUTED_VALUE"""),12.0)</f>
        <v>12</v>
      </c>
      <c r="H611" s="10">
        <f>IFERROR(__xludf.DUMMYFUNCTION("""COMPUTED_VALUE"""),2.0)</f>
        <v>2</v>
      </c>
      <c r="I611" s="11">
        <f>IFERROR(__xludf.DUMMYFUNCTION("""COMPUTED_VALUE"""),713.0)</f>
        <v>713</v>
      </c>
      <c r="J611" s="9" t="str">
        <f>IFERROR(__xludf.DUMMYFUNCTION("""COMPUTED_VALUE"""),"UK")</f>
        <v>UK</v>
      </c>
      <c r="K611" s="8"/>
      <c r="L611" s="12"/>
      <c r="M611" s="13"/>
      <c r="N611" s="13" t="str">
        <f>IFERROR(__xludf.DUMMYFUNCTION("IF(ISBLANK(M611),"""",M611*GOOGLEFINANCE(""USDGBP""))"),"")</f>
        <v/>
      </c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</row>
    <row r="612">
      <c r="A612" s="8" t="str">
        <f>IFERROR(__xludf.DUMMYFUNCTION("""COMPUTED_VALUE"""),"101078720171200750")</f>
        <v>101078720171200750</v>
      </c>
      <c r="B612" s="9" t="str">
        <f>IFERROR(__xludf.DUMMYFUNCTION("""COMPUTED_VALUE"""),"France")</f>
        <v>France</v>
      </c>
      <c r="C612" s="9" t="str">
        <f>IFERROR(__xludf.DUMMYFUNCTION("""COMPUTED_VALUE"""),"bordeaux")</f>
        <v>bordeaux</v>
      </c>
      <c r="D612" s="9" t="str">
        <f>IFERROR(__xludf.DUMMYFUNCTION("""COMPUTED_VALUE"""),"Chateau Grand-Puy-Lacoste 5eme Cru Classe, Pauillac")</f>
        <v>Chateau Grand-Puy-Lacoste 5eme Cru Classe, Pauillac</v>
      </c>
      <c r="E612" s="9">
        <f>IFERROR(__xludf.DUMMYFUNCTION("""COMPUTED_VALUE"""),2017.0)</f>
        <v>2017</v>
      </c>
      <c r="F612" s="9">
        <f>IFERROR(__xludf.DUMMYFUNCTION("""COMPUTED_VALUE"""),750.0)</f>
        <v>750</v>
      </c>
      <c r="G612" s="9">
        <f>IFERROR(__xludf.DUMMYFUNCTION("""COMPUTED_VALUE"""),12.0)</f>
        <v>12</v>
      </c>
      <c r="H612" s="10">
        <f>IFERROR(__xludf.DUMMYFUNCTION("""COMPUTED_VALUE"""),2.0)</f>
        <v>2</v>
      </c>
      <c r="I612" s="11">
        <f>IFERROR(__xludf.DUMMYFUNCTION("""COMPUTED_VALUE"""),537.0)</f>
        <v>537</v>
      </c>
      <c r="J612" s="9" t="str">
        <f>IFERROR(__xludf.DUMMYFUNCTION("""COMPUTED_VALUE"""),"UK")</f>
        <v>UK</v>
      </c>
      <c r="K612" s="8"/>
      <c r="L612" s="12"/>
      <c r="M612" s="13"/>
      <c r="N612" s="13" t="str">
        <f>IFERROR(__xludf.DUMMYFUNCTION("IF(ISBLANK(M612),"""",M612*GOOGLEFINANCE(""USDGBP""))"),"")</f>
        <v/>
      </c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</row>
    <row r="613">
      <c r="A613" s="8" t="str">
        <f>IFERROR(__xludf.DUMMYFUNCTION("""COMPUTED_VALUE"""),"101078720181200750")</f>
        <v>101078720181200750</v>
      </c>
      <c r="B613" s="9" t="str">
        <f>IFERROR(__xludf.DUMMYFUNCTION("""COMPUTED_VALUE"""),"France")</f>
        <v>France</v>
      </c>
      <c r="C613" s="9" t="str">
        <f>IFERROR(__xludf.DUMMYFUNCTION("""COMPUTED_VALUE"""),"bordeaux")</f>
        <v>bordeaux</v>
      </c>
      <c r="D613" s="9" t="str">
        <f>IFERROR(__xludf.DUMMYFUNCTION("""COMPUTED_VALUE"""),"Chateau Grand-Puy-Lacoste 5eme Cru Classe, Pauillac")</f>
        <v>Chateau Grand-Puy-Lacoste 5eme Cru Classe, Pauillac</v>
      </c>
      <c r="E613" s="9">
        <f>IFERROR(__xludf.DUMMYFUNCTION("""COMPUTED_VALUE"""),2018.0)</f>
        <v>2018</v>
      </c>
      <c r="F613" s="9">
        <f>IFERROR(__xludf.DUMMYFUNCTION("""COMPUTED_VALUE"""),750.0)</f>
        <v>750</v>
      </c>
      <c r="G613" s="9">
        <f>IFERROR(__xludf.DUMMYFUNCTION("""COMPUTED_VALUE"""),12.0)</f>
        <v>12</v>
      </c>
      <c r="H613" s="10">
        <f>IFERROR(__xludf.DUMMYFUNCTION("""COMPUTED_VALUE"""),1.0)</f>
        <v>1</v>
      </c>
      <c r="I613" s="11">
        <f>IFERROR(__xludf.DUMMYFUNCTION("""COMPUTED_VALUE"""),604.0)</f>
        <v>604</v>
      </c>
      <c r="J613" s="9" t="str">
        <f>IFERROR(__xludf.DUMMYFUNCTION("""COMPUTED_VALUE"""),"UK")</f>
        <v>UK</v>
      </c>
      <c r="K613" s="8"/>
      <c r="L613" s="12"/>
      <c r="M613" s="13"/>
      <c r="N613" s="13" t="str">
        <f>IFERROR(__xludf.DUMMYFUNCTION("IF(ISBLANK(M613),"""",M613*GOOGLEFINANCE(""USDGBP""))"),"")</f>
        <v/>
      </c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</row>
    <row r="614">
      <c r="A614" s="8" t="str">
        <f>IFERROR(__xludf.DUMMYFUNCTION("""COMPUTED_VALUE"""),"101107420161200750")</f>
        <v>101107420161200750</v>
      </c>
      <c r="B614" s="9" t="str">
        <f>IFERROR(__xludf.DUMMYFUNCTION("""COMPUTED_VALUE"""),"France")</f>
        <v>France</v>
      </c>
      <c r="C614" s="9" t="str">
        <f>IFERROR(__xludf.DUMMYFUNCTION("""COMPUTED_VALUE"""),"bordeaux")</f>
        <v>bordeaux</v>
      </c>
      <c r="D614" s="9" t="str">
        <f>IFERROR(__xludf.DUMMYFUNCTION("""COMPUTED_VALUE"""),"Chateau Gruaud Larose 2eme Cru Classe, Saint-Julien")</f>
        <v>Chateau Gruaud Larose 2eme Cru Classe, Saint-Julien</v>
      </c>
      <c r="E614" s="9">
        <f>IFERROR(__xludf.DUMMYFUNCTION("""COMPUTED_VALUE"""),2016.0)</f>
        <v>2016</v>
      </c>
      <c r="F614" s="9">
        <f>IFERROR(__xludf.DUMMYFUNCTION("""COMPUTED_VALUE"""),750.0)</f>
        <v>750</v>
      </c>
      <c r="G614" s="9">
        <f>IFERROR(__xludf.DUMMYFUNCTION("""COMPUTED_VALUE"""),12.0)</f>
        <v>12</v>
      </c>
      <c r="H614" s="10">
        <f>IFERROR(__xludf.DUMMYFUNCTION("""COMPUTED_VALUE"""),1.0)</f>
        <v>1</v>
      </c>
      <c r="I614" s="11">
        <f>IFERROR(__xludf.DUMMYFUNCTION("""COMPUTED_VALUE"""),784.0)</f>
        <v>784</v>
      </c>
      <c r="J614" s="9" t="str">
        <f>IFERROR(__xludf.DUMMYFUNCTION("""COMPUTED_VALUE"""),"UK")</f>
        <v>UK</v>
      </c>
      <c r="K614" s="8"/>
      <c r="L614" s="12"/>
      <c r="M614" s="13"/>
      <c r="N614" s="13" t="str">
        <f>IFERROR(__xludf.DUMMYFUNCTION("IF(ISBLANK(M614),"""",M614*GOOGLEFINANCE(""USDGBP""))"),"")</f>
        <v/>
      </c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</row>
    <row r="615">
      <c r="A615" s="8" t="str">
        <f>IFERROR(__xludf.DUMMYFUNCTION("""COMPUTED_VALUE"""),"101107420170600750")</f>
        <v>101107420170600750</v>
      </c>
      <c r="B615" s="9" t="str">
        <f>IFERROR(__xludf.DUMMYFUNCTION("""COMPUTED_VALUE"""),"France")</f>
        <v>France</v>
      </c>
      <c r="C615" s="9" t="str">
        <f>IFERROR(__xludf.DUMMYFUNCTION("""COMPUTED_VALUE"""),"bordeaux")</f>
        <v>bordeaux</v>
      </c>
      <c r="D615" s="9" t="str">
        <f>IFERROR(__xludf.DUMMYFUNCTION("""COMPUTED_VALUE"""),"Chateau Gruaud Larose 2eme Cru Classe, Saint-Julien")</f>
        <v>Chateau Gruaud Larose 2eme Cru Classe, Saint-Julien</v>
      </c>
      <c r="E615" s="9">
        <f>IFERROR(__xludf.DUMMYFUNCTION("""COMPUTED_VALUE"""),2017.0)</f>
        <v>2017</v>
      </c>
      <c r="F615" s="9">
        <f>IFERROR(__xludf.DUMMYFUNCTION("""COMPUTED_VALUE"""),750.0)</f>
        <v>750</v>
      </c>
      <c r="G615" s="9">
        <f>IFERROR(__xludf.DUMMYFUNCTION("""COMPUTED_VALUE"""),6.0)</f>
        <v>6</v>
      </c>
      <c r="H615" s="10">
        <f>IFERROR(__xludf.DUMMYFUNCTION("""COMPUTED_VALUE"""),1.0)</f>
        <v>1</v>
      </c>
      <c r="I615" s="11">
        <f>IFERROR(__xludf.DUMMYFUNCTION("""COMPUTED_VALUE"""),353.0)</f>
        <v>353</v>
      </c>
      <c r="J615" s="9" t="str">
        <f>IFERROR(__xludf.DUMMYFUNCTION("""COMPUTED_VALUE"""),"UK")</f>
        <v>UK</v>
      </c>
      <c r="K615" s="8"/>
      <c r="L615" s="12"/>
      <c r="M615" s="13"/>
      <c r="N615" s="13" t="str">
        <f>IFERROR(__xludf.DUMMYFUNCTION("IF(ISBLANK(M615),"""",M615*GOOGLEFINANCE(""USDGBP""))"),"")</f>
        <v/>
      </c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</row>
    <row r="616">
      <c r="A616" s="8" t="str">
        <f>IFERROR(__xludf.DUMMYFUNCTION("""COMPUTED_VALUE"""),"101107420180600750")</f>
        <v>101107420180600750</v>
      </c>
      <c r="B616" s="9" t="str">
        <f>IFERROR(__xludf.DUMMYFUNCTION("""COMPUTED_VALUE"""),"France")</f>
        <v>France</v>
      </c>
      <c r="C616" s="9" t="str">
        <f>IFERROR(__xludf.DUMMYFUNCTION("""COMPUTED_VALUE"""),"bordeaux")</f>
        <v>bordeaux</v>
      </c>
      <c r="D616" s="9" t="str">
        <f>IFERROR(__xludf.DUMMYFUNCTION("""COMPUTED_VALUE"""),"Chateau Gruaud Larose 2eme Cru Classe, Saint-Julien")</f>
        <v>Chateau Gruaud Larose 2eme Cru Classe, Saint-Julien</v>
      </c>
      <c r="E616" s="9">
        <f>IFERROR(__xludf.DUMMYFUNCTION("""COMPUTED_VALUE"""),2018.0)</f>
        <v>2018</v>
      </c>
      <c r="F616" s="9">
        <f>IFERROR(__xludf.DUMMYFUNCTION("""COMPUTED_VALUE"""),750.0)</f>
        <v>750</v>
      </c>
      <c r="G616" s="9">
        <f>IFERROR(__xludf.DUMMYFUNCTION("""COMPUTED_VALUE"""),6.0)</f>
        <v>6</v>
      </c>
      <c r="H616" s="10">
        <f>IFERROR(__xludf.DUMMYFUNCTION("""COMPUTED_VALUE"""),1.0)</f>
        <v>1</v>
      </c>
      <c r="I616" s="11">
        <f>IFERROR(__xludf.DUMMYFUNCTION("""COMPUTED_VALUE"""),346.0)</f>
        <v>346</v>
      </c>
      <c r="J616" s="9" t="str">
        <f>IFERROR(__xludf.DUMMYFUNCTION("""COMPUTED_VALUE"""),"UK")</f>
        <v>UK</v>
      </c>
      <c r="K616" s="8"/>
      <c r="L616" s="12"/>
      <c r="M616" s="13"/>
      <c r="N616" s="13" t="str">
        <f>IFERROR(__xludf.DUMMYFUNCTION("IF(ISBLANK(M616),"""",M616*GOOGLEFINANCE(""USDGBP""))"),"")</f>
        <v/>
      </c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</row>
    <row r="617">
      <c r="A617" s="8" t="str">
        <f>IFERROR(__xludf.DUMMYFUNCTION("""COMPUTED_VALUE"""),"101119120180600750")</f>
        <v>101119120180600750</v>
      </c>
      <c r="B617" s="9" t="str">
        <f>IFERROR(__xludf.DUMMYFUNCTION("""COMPUTED_VALUE"""),"France")</f>
        <v>France</v>
      </c>
      <c r="C617" s="9" t="str">
        <f>IFERROR(__xludf.DUMMYFUNCTION("""COMPUTED_VALUE"""),"bordeaux")</f>
        <v>bordeaux</v>
      </c>
      <c r="D617" s="9" t="str">
        <f>IFERROR(__xludf.DUMMYFUNCTION("""COMPUTED_VALUE"""),"Chateau Haut-Bailly Cru Classe, Pessac-Leognan")</f>
        <v>Chateau Haut-Bailly Cru Classe, Pessac-Leognan</v>
      </c>
      <c r="E617" s="9">
        <f>IFERROR(__xludf.DUMMYFUNCTION("""COMPUTED_VALUE"""),2018.0)</f>
        <v>2018</v>
      </c>
      <c r="F617" s="9">
        <f>IFERROR(__xludf.DUMMYFUNCTION("""COMPUTED_VALUE"""),750.0)</f>
        <v>750</v>
      </c>
      <c r="G617" s="9">
        <f>IFERROR(__xludf.DUMMYFUNCTION("""COMPUTED_VALUE"""),6.0)</f>
        <v>6</v>
      </c>
      <c r="H617" s="10">
        <f>IFERROR(__xludf.DUMMYFUNCTION("""COMPUTED_VALUE"""),6.0)</f>
        <v>6</v>
      </c>
      <c r="I617" s="11">
        <f>IFERROR(__xludf.DUMMYFUNCTION("""COMPUTED_VALUE"""),508.0)</f>
        <v>508</v>
      </c>
      <c r="J617" s="9" t="str">
        <f>IFERROR(__xludf.DUMMYFUNCTION("""COMPUTED_VALUE"""),"UK")</f>
        <v>UK</v>
      </c>
      <c r="K617" s="8"/>
      <c r="L617" s="12"/>
      <c r="M617" s="13"/>
      <c r="N617" s="13" t="str">
        <f>IFERROR(__xludf.DUMMYFUNCTION("IF(ISBLANK(M617),"""",M617*GOOGLEFINANCE(""USDGBP""))"),"")</f>
        <v/>
      </c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</row>
    <row r="618">
      <c r="A618" s="8" t="str">
        <f>IFERROR(__xludf.DUMMYFUNCTION("""COMPUTED_VALUE"""),"101120520031200750")</f>
        <v>101120520031200750</v>
      </c>
      <c r="B618" s="9" t="str">
        <f>IFERROR(__xludf.DUMMYFUNCTION("""COMPUTED_VALUE"""),"France")</f>
        <v>France</v>
      </c>
      <c r="C618" s="9" t="str">
        <f>IFERROR(__xludf.DUMMYFUNCTION("""COMPUTED_VALUE"""),"bordeaux")</f>
        <v>bordeaux</v>
      </c>
      <c r="D618" s="9" t="str">
        <f>IFERROR(__xludf.DUMMYFUNCTION("""COMPUTED_VALUE"""),"Chateau Haut-Batailley 5eme Cru Classe, Pauillac")</f>
        <v>Chateau Haut-Batailley 5eme Cru Classe, Pauillac</v>
      </c>
      <c r="E618" s="9">
        <f>IFERROR(__xludf.DUMMYFUNCTION("""COMPUTED_VALUE"""),2003.0)</f>
        <v>2003</v>
      </c>
      <c r="F618" s="9">
        <f>IFERROR(__xludf.DUMMYFUNCTION("""COMPUTED_VALUE"""),750.0)</f>
        <v>750</v>
      </c>
      <c r="G618" s="9">
        <f>IFERROR(__xludf.DUMMYFUNCTION("""COMPUTED_VALUE"""),12.0)</f>
        <v>12</v>
      </c>
      <c r="H618" s="10">
        <f>IFERROR(__xludf.DUMMYFUNCTION("""COMPUTED_VALUE"""),1.0)</f>
        <v>1</v>
      </c>
      <c r="I618" s="11">
        <f>IFERROR(__xludf.DUMMYFUNCTION("""COMPUTED_VALUE"""),582.0)</f>
        <v>582</v>
      </c>
      <c r="J618" s="9" t="str">
        <f>IFERROR(__xludf.DUMMYFUNCTION("""COMPUTED_VALUE"""),"UK")</f>
        <v>UK</v>
      </c>
      <c r="K618" s="8"/>
      <c r="L618" s="12"/>
      <c r="M618" s="13"/>
      <c r="N618" s="13" t="str">
        <f>IFERROR(__xludf.DUMMYFUNCTION("IF(ISBLANK(M618),"""",M618*GOOGLEFINANCE(""USDGBP""))"),"")</f>
        <v/>
      </c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</row>
    <row r="619">
      <c r="A619" s="8" t="str">
        <f>IFERROR(__xludf.DUMMYFUNCTION("""COMPUTED_VALUE"""),"101120520171200750")</f>
        <v>101120520171200750</v>
      </c>
      <c r="B619" s="9" t="str">
        <f>IFERROR(__xludf.DUMMYFUNCTION("""COMPUTED_VALUE"""),"France")</f>
        <v>France</v>
      </c>
      <c r="C619" s="9" t="str">
        <f>IFERROR(__xludf.DUMMYFUNCTION("""COMPUTED_VALUE"""),"bordeaux")</f>
        <v>bordeaux</v>
      </c>
      <c r="D619" s="9" t="str">
        <f>IFERROR(__xludf.DUMMYFUNCTION("""COMPUTED_VALUE"""),"Chateau Haut-Batailley 5eme Cru Classe, Pauillac")</f>
        <v>Chateau Haut-Batailley 5eme Cru Classe, Pauillac</v>
      </c>
      <c r="E619" s="9">
        <f>IFERROR(__xludf.DUMMYFUNCTION("""COMPUTED_VALUE"""),2017.0)</f>
        <v>2017</v>
      </c>
      <c r="F619" s="9">
        <f>IFERROR(__xludf.DUMMYFUNCTION("""COMPUTED_VALUE"""),750.0)</f>
        <v>750</v>
      </c>
      <c r="G619" s="9">
        <f>IFERROR(__xludf.DUMMYFUNCTION("""COMPUTED_VALUE"""),12.0)</f>
        <v>12</v>
      </c>
      <c r="H619" s="10">
        <f>IFERROR(__xludf.DUMMYFUNCTION("""COMPUTED_VALUE"""),3.0)</f>
        <v>3</v>
      </c>
      <c r="I619" s="11">
        <f>IFERROR(__xludf.DUMMYFUNCTION("""COMPUTED_VALUE"""),468.0)</f>
        <v>468</v>
      </c>
      <c r="J619" s="9" t="str">
        <f>IFERROR(__xludf.DUMMYFUNCTION("""COMPUTED_VALUE"""),"UK")</f>
        <v>UK</v>
      </c>
      <c r="K619" s="8"/>
      <c r="L619" s="12"/>
      <c r="M619" s="13"/>
      <c r="N619" s="13" t="str">
        <f>IFERROR(__xludf.DUMMYFUNCTION("IF(ISBLANK(M619),"""",M619*GOOGLEFINANCE(""USDGBP""))"),"")</f>
        <v/>
      </c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</row>
    <row r="620">
      <c r="A620" s="8" t="str">
        <f>IFERROR(__xludf.DUMMYFUNCTION("""COMPUTED_VALUE"""),"101124720170600750")</f>
        <v>101124720170600750</v>
      </c>
      <c r="B620" s="9" t="str">
        <f>IFERROR(__xludf.DUMMYFUNCTION("""COMPUTED_VALUE"""),"France")</f>
        <v>France</v>
      </c>
      <c r="C620" s="9" t="str">
        <f>IFERROR(__xludf.DUMMYFUNCTION("""COMPUTED_VALUE"""),"bordeaux")</f>
        <v>bordeaux</v>
      </c>
      <c r="D620" s="9" t="str">
        <f>IFERROR(__xludf.DUMMYFUNCTION("""COMPUTED_VALUE"""),"Chateau Haut-Brion Premier Cru Classe, Pessac-Leognan")</f>
        <v>Chateau Haut-Brion Premier Cru Classe, Pessac-Leognan</v>
      </c>
      <c r="E620" s="9">
        <f>IFERROR(__xludf.DUMMYFUNCTION("""COMPUTED_VALUE"""),2017.0)</f>
        <v>2017</v>
      </c>
      <c r="F620" s="9">
        <f>IFERROR(__xludf.DUMMYFUNCTION("""COMPUTED_VALUE"""),750.0)</f>
        <v>750</v>
      </c>
      <c r="G620" s="9">
        <f>IFERROR(__xludf.DUMMYFUNCTION("""COMPUTED_VALUE"""),6.0)</f>
        <v>6</v>
      </c>
      <c r="H620" s="10">
        <f>IFERROR(__xludf.DUMMYFUNCTION("""COMPUTED_VALUE"""),3.0)</f>
        <v>3</v>
      </c>
      <c r="I620" s="11">
        <f>IFERROR(__xludf.DUMMYFUNCTION("""COMPUTED_VALUE"""),2091.0)</f>
        <v>2091</v>
      </c>
      <c r="J620" s="9" t="str">
        <f>IFERROR(__xludf.DUMMYFUNCTION("""COMPUTED_VALUE"""),"UK")</f>
        <v>UK</v>
      </c>
      <c r="K620" s="8"/>
      <c r="L620" s="12"/>
      <c r="M620" s="13"/>
      <c r="N620" s="13" t="str">
        <f>IFERROR(__xludf.DUMMYFUNCTION("IF(ISBLANK(M620),"""",M620*GOOGLEFINANCE(""USDGBP""))"),"")</f>
        <v/>
      </c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</row>
    <row r="621">
      <c r="A621" s="8" t="str">
        <f>IFERROR(__xludf.DUMMYFUNCTION("""COMPUTED_VALUE"""),"101124720200300750")</f>
        <v>101124720200300750</v>
      </c>
      <c r="B621" s="9" t="str">
        <f>IFERROR(__xludf.DUMMYFUNCTION("""COMPUTED_VALUE"""),"France")</f>
        <v>France</v>
      </c>
      <c r="C621" s="9" t="str">
        <f>IFERROR(__xludf.DUMMYFUNCTION("""COMPUTED_VALUE"""),"bordeaux")</f>
        <v>bordeaux</v>
      </c>
      <c r="D621" s="9" t="str">
        <f>IFERROR(__xludf.DUMMYFUNCTION("""COMPUTED_VALUE"""),"Chateau Haut-Brion Premier Cru Classe, Pessac-Leognan")</f>
        <v>Chateau Haut-Brion Premier Cru Classe, Pessac-Leognan</v>
      </c>
      <c r="E621" s="9">
        <f>IFERROR(__xludf.DUMMYFUNCTION("""COMPUTED_VALUE"""),2020.0)</f>
        <v>2020</v>
      </c>
      <c r="F621" s="9">
        <f>IFERROR(__xludf.DUMMYFUNCTION("""COMPUTED_VALUE"""),750.0)</f>
        <v>750</v>
      </c>
      <c r="G621" s="9">
        <f>IFERROR(__xludf.DUMMYFUNCTION("""COMPUTED_VALUE"""),3.0)</f>
        <v>3</v>
      </c>
      <c r="H621" s="10">
        <f>IFERROR(__xludf.DUMMYFUNCTION("""COMPUTED_VALUE"""),2.0)</f>
        <v>2</v>
      </c>
      <c r="I621" s="11">
        <f>IFERROR(__xludf.DUMMYFUNCTION("""COMPUTED_VALUE"""),1192.0)</f>
        <v>1192</v>
      </c>
      <c r="J621" s="9" t="str">
        <f>IFERROR(__xludf.DUMMYFUNCTION("""COMPUTED_VALUE"""),"UK")</f>
        <v>UK</v>
      </c>
      <c r="K621" s="8"/>
      <c r="L621" s="12"/>
      <c r="M621" s="13"/>
      <c r="N621" s="13" t="str">
        <f>IFERROR(__xludf.DUMMYFUNCTION("IF(ISBLANK(M621),"""",M621*GOOGLEFINANCE(""USDGBP""))"),"")</f>
        <v/>
      </c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</row>
    <row r="622">
      <c r="A622" s="8" t="str">
        <f>IFERROR(__xludf.DUMMYFUNCTION("""COMPUTED_VALUE"""),"101159520140600750")</f>
        <v>101159520140600750</v>
      </c>
      <c r="B622" s="9" t="str">
        <f>IFERROR(__xludf.DUMMYFUNCTION("""COMPUTED_VALUE"""),"France")</f>
        <v>France</v>
      </c>
      <c r="C622" s="9" t="str">
        <f>IFERROR(__xludf.DUMMYFUNCTION("""COMPUTED_VALUE"""),"bordeaux")</f>
        <v>bordeaux</v>
      </c>
      <c r="D622" s="9" t="str">
        <f>IFERROR(__xludf.DUMMYFUNCTION("""COMPUTED_VALUE"""),"Chateau Hosanna, Pomerol")</f>
        <v>Chateau Hosanna, Pomerol</v>
      </c>
      <c r="E622" s="9">
        <f>IFERROR(__xludf.DUMMYFUNCTION("""COMPUTED_VALUE"""),2014.0)</f>
        <v>2014</v>
      </c>
      <c r="F622" s="9">
        <f>IFERROR(__xludf.DUMMYFUNCTION("""COMPUTED_VALUE"""),750.0)</f>
        <v>750</v>
      </c>
      <c r="G622" s="9">
        <f>IFERROR(__xludf.DUMMYFUNCTION("""COMPUTED_VALUE"""),6.0)</f>
        <v>6</v>
      </c>
      <c r="H622" s="10">
        <f>IFERROR(__xludf.DUMMYFUNCTION("""COMPUTED_VALUE"""),1.0)</f>
        <v>1</v>
      </c>
      <c r="I622" s="11">
        <f>IFERROR(__xludf.DUMMYFUNCTION("""COMPUTED_VALUE"""),554.0)</f>
        <v>554</v>
      </c>
      <c r="J622" s="9" t="str">
        <f>IFERROR(__xludf.DUMMYFUNCTION("""COMPUTED_VALUE"""),"UK")</f>
        <v>UK</v>
      </c>
      <c r="K622" s="8"/>
      <c r="L622" s="12"/>
      <c r="M622" s="13"/>
      <c r="N622" s="13" t="str">
        <f>IFERROR(__xludf.DUMMYFUNCTION("IF(ISBLANK(M622),"""",M622*GOOGLEFINANCE(""USDGBP""))"),"")</f>
        <v/>
      </c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</row>
    <row r="623">
      <c r="A623" s="8" t="str">
        <f>IFERROR(__xludf.DUMMYFUNCTION("""COMPUTED_VALUE"""),"101159520190600750")</f>
        <v>101159520190600750</v>
      </c>
      <c r="B623" s="9" t="str">
        <f>IFERROR(__xludf.DUMMYFUNCTION("""COMPUTED_VALUE"""),"France")</f>
        <v>France</v>
      </c>
      <c r="C623" s="9" t="str">
        <f>IFERROR(__xludf.DUMMYFUNCTION("""COMPUTED_VALUE"""),"bordeaux")</f>
        <v>bordeaux</v>
      </c>
      <c r="D623" s="9" t="str">
        <f>IFERROR(__xludf.DUMMYFUNCTION("""COMPUTED_VALUE"""),"Chateau Hosanna, Pomerol")</f>
        <v>Chateau Hosanna, Pomerol</v>
      </c>
      <c r="E623" s="9">
        <f>IFERROR(__xludf.DUMMYFUNCTION("""COMPUTED_VALUE"""),2019.0)</f>
        <v>2019</v>
      </c>
      <c r="F623" s="9">
        <f>IFERROR(__xludf.DUMMYFUNCTION("""COMPUTED_VALUE"""),750.0)</f>
        <v>750</v>
      </c>
      <c r="G623" s="9">
        <f>IFERROR(__xludf.DUMMYFUNCTION("""COMPUTED_VALUE"""),6.0)</f>
        <v>6</v>
      </c>
      <c r="H623" s="10">
        <f>IFERROR(__xludf.DUMMYFUNCTION("""COMPUTED_VALUE"""),1.0)</f>
        <v>1</v>
      </c>
      <c r="I623" s="11">
        <f>IFERROR(__xludf.DUMMYFUNCTION("""COMPUTED_VALUE"""),688.0)</f>
        <v>688</v>
      </c>
      <c r="J623" s="9" t="str">
        <f>IFERROR(__xludf.DUMMYFUNCTION("""COMPUTED_VALUE"""),"UK")</f>
        <v>UK</v>
      </c>
      <c r="K623" s="8"/>
      <c r="L623" s="12"/>
      <c r="M623" s="13"/>
      <c r="N623" s="13" t="str">
        <f>IFERROR(__xludf.DUMMYFUNCTION("IF(ISBLANK(M623),"""",M623*GOOGLEFINANCE(""USDGBP""))"),"")</f>
        <v/>
      </c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</row>
    <row r="624">
      <c r="A624" s="8" t="str">
        <f>IFERROR(__xludf.DUMMYFUNCTION("""COMPUTED_VALUE"""),"101176820161200750")</f>
        <v>101176820161200750</v>
      </c>
      <c r="B624" s="9" t="str">
        <f>IFERROR(__xludf.DUMMYFUNCTION("""COMPUTED_VALUE"""),"France")</f>
        <v>France</v>
      </c>
      <c r="C624" s="9" t="str">
        <f>IFERROR(__xludf.DUMMYFUNCTION("""COMPUTED_VALUE"""),"bordeaux")</f>
        <v>bordeaux</v>
      </c>
      <c r="D624" s="9" t="str">
        <f>IFERROR(__xludf.DUMMYFUNCTION("""COMPUTED_VALUE"""),"Chateau Kirwan 3eme Cru Classe, Margaux")</f>
        <v>Chateau Kirwan 3eme Cru Classe, Margaux</v>
      </c>
      <c r="E624" s="9">
        <f>IFERROR(__xludf.DUMMYFUNCTION("""COMPUTED_VALUE"""),2016.0)</f>
        <v>2016</v>
      </c>
      <c r="F624" s="9">
        <f>IFERROR(__xludf.DUMMYFUNCTION("""COMPUTED_VALUE"""),750.0)</f>
        <v>750</v>
      </c>
      <c r="G624" s="9">
        <f>IFERROR(__xludf.DUMMYFUNCTION("""COMPUTED_VALUE"""),12.0)</f>
        <v>12</v>
      </c>
      <c r="H624" s="10">
        <f>IFERROR(__xludf.DUMMYFUNCTION("""COMPUTED_VALUE"""),1.0)</f>
        <v>1</v>
      </c>
      <c r="I624" s="11">
        <f>IFERROR(__xludf.DUMMYFUNCTION("""COMPUTED_VALUE"""),475.0)</f>
        <v>475</v>
      </c>
      <c r="J624" s="9" t="str">
        <f>IFERROR(__xludf.DUMMYFUNCTION("""COMPUTED_VALUE"""),"UK")</f>
        <v>UK</v>
      </c>
      <c r="K624" s="8"/>
      <c r="L624" s="12"/>
      <c r="M624" s="13"/>
      <c r="N624" s="13" t="str">
        <f>IFERROR(__xludf.DUMMYFUNCTION("IF(ISBLANK(M624),"""",M624*GOOGLEFINANCE(""USDGBP""))"),"")</f>
        <v/>
      </c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</row>
    <row r="625">
      <c r="A625" s="8" t="str">
        <f>IFERROR(__xludf.DUMMYFUNCTION("""COMPUTED_VALUE"""),"100956720160600750")</f>
        <v>100956720160600750</v>
      </c>
      <c r="B625" s="9" t="str">
        <f>IFERROR(__xludf.DUMMYFUNCTION("""COMPUTED_VALUE"""),"France")</f>
        <v>France</v>
      </c>
      <c r="C625" s="9" t="str">
        <f>IFERROR(__xludf.DUMMYFUNCTION("""COMPUTED_VALUE"""),"bordeaux")</f>
        <v>bordeaux</v>
      </c>
      <c r="D625" s="9" t="str">
        <f>IFERROR(__xludf.DUMMYFUNCTION("""COMPUTED_VALUE"""),"Chateau L'Eglise-Clinet, Pomerol")</f>
        <v>Chateau L'Eglise-Clinet, Pomerol</v>
      </c>
      <c r="E625" s="9">
        <f>IFERROR(__xludf.DUMMYFUNCTION("""COMPUTED_VALUE"""),2016.0)</f>
        <v>2016</v>
      </c>
      <c r="F625" s="9">
        <f>IFERROR(__xludf.DUMMYFUNCTION("""COMPUTED_VALUE"""),750.0)</f>
        <v>750</v>
      </c>
      <c r="G625" s="9">
        <f>IFERROR(__xludf.DUMMYFUNCTION("""COMPUTED_VALUE"""),6.0)</f>
        <v>6</v>
      </c>
      <c r="H625" s="10">
        <f>IFERROR(__xludf.DUMMYFUNCTION("""COMPUTED_VALUE"""),1.0)</f>
        <v>1</v>
      </c>
      <c r="I625" s="11">
        <f>IFERROR(__xludf.DUMMYFUNCTION("""COMPUTED_VALUE"""),1427.0)</f>
        <v>1427</v>
      </c>
      <c r="J625" s="9" t="str">
        <f>IFERROR(__xludf.DUMMYFUNCTION("""COMPUTED_VALUE"""),"UK")</f>
        <v>UK</v>
      </c>
      <c r="K625" s="8"/>
      <c r="L625" s="12"/>
      <c r="M625" s="13"/>
      <c r="N625" s="13" t="str">
        <f>IFERROR(__xludf.DUMMYFUNCTION("IF(ISBLANK(M625),"""",M625*GOOGLEFINANCE(""USDGBP""))"),"")</f>
        <v/>
      </c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</row>
    <row r="626">
      <c r="A626" s="8" t="str">
        <f>IFERROR(__xludf.DUMMYFUNCTION("""COMPUTED_VALUE"""),"100956720170600750")</f>
        <v>100956720170600750</v>
      </c>
      <c r="B626" s="9" t="str">
        <f>IFERROR(__xludf.DUMMYFUNCTION("""COMPUTED_VALUE"""),"France")</f>
        <v>France</v>
      </c>
      <c r="C626" s="9" t="str">
        <f>IFERROR(__xludf.DUMMYFUNCTION("""COMPUTED_VALUE"""),"bordeaux")</f>
        <v>bordeaux</v>
      </c>
      <c r="D626" s="9" t="str">
        <f>IFERROR(__xludf.DUMMYFUNCTION("""COMPUTED_VALUE"""),"Chateau L'Eglise-Clinet, Pomerol")</f>
        <v>Chateau L'Eglise-Clinet, Pomerol</v>
      </c>
      <c r="E626" s="9">
        <f>IFERROR(__xludf.DUMMYFUNCTION("""COMPUTED_VALUE"""),2017.0)</f>
        <v>2017</v>
      </c>
      <c r="F626" s="9">
        <f>IFERROR(__xludf.DUMMYFUNCTION("""COMPUTED_VALUE"""),750.0)</f>
        <v>750</v>
      </c>
      <c r="G626" s="9">
        <f>IFERROR(__xludf.DUMMYFUNCTION("""COMPUTED_VALUE"""),6.0)</f>
        <v>6</v>
      </c>
      <c r="H626" s="10">
        <f>IFERROR(__xludf.DUMMYFUNCTION("""COMPUTED_VALUE"""),1.0)</f>
        <v>1</v>
      </c>
      <c r="I626" s="11">
        <f>IFERROR(__xludf.DUMMYFUNCTION("""COMPUTED_VALUE"""),877.0)</f>
        <v>877</v>
      </c>
      <c r="J626" s="9" t="str">
        <f>IFERROR(__xludf.DUMMYFUNCTION("""COMPUTED_VALUE"""),"UK")</f>
        <v>UK</v>
      </c>
      <c r="K626" s="8"/>
      <c r="L626" s="12"/>
      <c r="M626" s="13"/>
      <c r="N626" s="13" t="str">
        <f>IFERROR(__xludf.DUMMYFUNCTION("IF(ISBLANK(M626),"""",M626*GOOGLEFINANCE(""USDGBP""))"),"")</f>
        <v/>
      </c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</row>
    <row r="627">
      <c r="A627" s="8" t="str">
        <f>IFERROR(__xludf.DUMMYFUNCTION("""COMPUTED_VALUE"""),"100956720180600750")</f>
        <v>100956720180600750</v>
      </c>
      <c r="B627" s="9" t="str">
        <f>IFERROR(__xludf.DUMMYFUNCTION("""COMPUTED_VALUE"""),"France")</f>
        <v>France</v>
      </c>
      <c r="C627" s="9" t="str">
        <f>IFERROR(__xludf.DUMMYFUNCTION("""COMPUTED_VALUE"""),"bordeaux")</f>
        <v>bordeaux</v>
      </c>
      <c r="D627" s="9" t="str">
        <f>IFERROR(__xludf.DUMMYFUNCTION("""COMPUTED_VALUE"""),"Chateau L'Eglise-Clinet, Pomerol")</f>
        <v>Chateau L'Eglise-Clinet, Pomerol</v>
      </c>
      <c r="E627" s="9">
        <f>IFERROR(__xludf.DUMMYFUNCTION("""COMPUTED_VALUE"""),2018.0)</f>
        <v>2018</v>
      </c>
      <c r="F627" s="9">
        <f>IFERROR(__xludf.DUMMYFUNCTION("""COMPUTED_VALUE"""),750.0)</f>
        <v>750</v>
      </c>
      <c r="G627" s="9">
        <f>IFERROR(__xludf.DUMMYFUNCTION("""COMPUTED_VALUE"""),6.0)</f>
        <v>6</v>
      </c>
      <c r="H627" s="10">
        <f>IFERROR(__xludf.DUMMYFUNCTION("""COMPUTED_VALUE"""),2.0)</f>
        <v>2</v>
      </c>
      <c r="I627" s="11">
        <f>IFERROR(__xludf.DUMMYFUNCTION("""COMPUTED_VALUE"""),1142.0)</f>
        <v>1142</v>
      </c>
      <c r="J627" s="9" t="str">
        <f>IFERROR(__xludf.DUMMYFUNCTION("""COMPUTED_VALUE"""),"UK")</f>
        <v>UK</v>
      </c>
      <c r="K627" s="8"/>
      <c r="L627" s="12"/>
      <c r="M627" s="13"/>
      <c r="N627" s="13" t="str">
        <f>IFERROR(__xludf.DUMMYFUNCTION("IF(ISBLANK(M627),"""",M627*GOOGLEFINANCE(""USDGBP""))"),"")</f>
        <v/>
      </c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</row>
    <row r="628">
      <c r="A628" s="8" t="str">
        <f>IFERROR(__xludf.DUMMYFUNCTION("""COMPUTED_VALUE"""),"100956720200600750")</f>
        <v>100956720200600750</v>
      </c>
      <c r="B628" s="9" t="str">
        <f>IFERROR(__xludf.DUMMYFUNCTION("""COMPUTED_VALUE"""),"France")</f>
        <v>France</v>
      </c>
      <c r="C628" s="9" t="str">
        <f>IFERROR(__xludf.DUMMYFUNCTION("""COMPUTED_VALUE"""),"bordeaux")</f>
        <v>bordeaux</v>
      </c>
      <c r="D628" s="9" t="str">
        <f>IFERROR(__xludf.DUMMYFUNCTION("""COMPUTED_VALUE"""),"Chateau L'Eglise-Clinet, Pomerol")</f>
        <v>Chateau L'Eglise-Clinet, Pomerol</v>
      </c>
      <c r="E628" s="9">
        <f>IFERROR(__xludf.DUMMYFUNCTION("""COMPUTED_VALUE"""),2020.0)</f>
        <v>2020</v>
      </c>
      <c r="F628" s="9">
        <f>IFERROR(__xludf.DUMMYFUNCTION("""COMPUTED_VALUE"""),750.0)</f>
        <v>750</v>
      </c>
      <c r="G628" s="9">
        <f>IFERROR(__xludf.DUMMYFUNCTION("""COMPUTED_VALUE"""),6.0)</f>
        <v>6</v>
      </c>
      <c r="H628" s="10">
        <f>IFERROR(__xludf.DUMMYFUNCTION("""COMPUTED_VALUE"""),3.0)</f>
        <v>3</v>
      </c>
      <c r="I628" s="11">
        <f>IFERROR(__xludf.DUMMYFUNCTION("""COMPUTED_VALUE"""),1415.0)</f>
        <v>1415</v>
      </c>
      <c r="J628" s="9" t="str">
        <f>IFERROR(__xludf.DUMMYFUNCTION("""COMPUTED_VALUE"""),"UK")</f>
        <v>UK</v>
      </c>
      <c r="K628" s="8"/>
      <c r="L628" s="12"/>
      <c r="M628" s="13"/>
      <c r="N628" s="13" t="str">
        <f>IFERROR(__xludf.DUMMYFUNCTION("IF(ISBLANK(M628),"""",M628*GOOGLEFINANCE(""USDGBP""))"),"")</f>
        <v/>
      </c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</row>
    <row r="629">
      <c r="A629" s="8" t="str">
        <f>IFERROR(__xludf.DUMMYFUNCTION("""COMPUTED_VALUE"""),"100964220170600750")</f>
        <v>100964220170600750</v>
      </c>
      <c r="B629" s="9" t="str">
        <f>IFERROR(__xludf.DUMMYFUNCTION("""COMPUTED_VALUE"""),"France")</f>
        <v>France</v>
      </c>
      <c r="C629" s="9" t="str">
        <f>IFERROR(__xludf.DUMMYFUNCTION("""COMPUTED_VALUE"""),"bordeaux")</f>
        <v>bordeaux</v>
      </c>
      <c r="D629" s="9" t="str">
        <f>IFERROR(__xludf.DUMMYFUNCTION("""COMPUTED_VALUE"""),"Chateau L'Evangile, Pomerol")</f>
        <v>Chateau L'Evangile, Pomerol</v>
      </c>
      <c r="E629" s="9">
        <f>IFERROR(__xludf.DUMMYFUNCTION("""COMPUTED_VALUE"""),2017.0)</f>
        <v>2017</v>
      </c>
      <c r="F629" s="9">
        <f>IFERROR(__xludf.DUMMYFUNCTION("""COMPUTED_VALUE"""),750.0)</f>
        <v>750</v>
      </c>
      <c r="G629" s="9">
        <f>IFERROR(__xludf.DUMMYFUNCTION("""COMPUTED_VALUE"""),6.0)</f>
        <v>6</v>
      </c>
      <c r="H629" s="10">
        <f>IFERROR(__xludf.DUMMYFUNCTION("""COMPUTED_VALUE"""),7.0)</f>
        <v>7</v>
      </c>
      <c r="I629" s="11">
        <f>IFERROR(__xludf.DUMMYFUNCTION("""COMPUTED_VALUE"""),933.0)</f>
        <v>933</v>
      </c>
      <c r="J629" s="9" t="str">
        <f>IFERROR(__xludf.DUMMYFUNCTION("""COMPUTED_VALUE"""),"UK")</f>
        <v>UK</v>
      </c>
      <c r="K629" s="8"/>
      <c r="L629" s="12"/>
      <c r="M629" s="13"/>
      <c r="N629" s="13" t="str">
        <f>IFERROR(__xludf.DUMMYFUNCTION("IF(ISBLANK(M629),"""",M629*GOOGLEFINANCE(""USDGBP""))"),"")</f>
        <v/>
      </c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</row>
    <row r="630">
      <c r="A630" s="8" t="str">
        <f>IFERROR(__xludf.DUMMYFUNCTION("""COMPUTED_VALUE"""),"100964220190600750")</f>
        <v>100964220190600750</v>
      </c>
      <c r="B630" s="9" t="str">
        <f>IFERROR(__xludf.DUMMYFUNCTION("""COMPUTED_VALUE"""),"France")</f>
        <v>France</v>
      </c>
      <c r="C630" s="9" t="str">
        <f>IFERROR(__xludf.DUMMYFUNCTION("""COMPUTED_VALUE"""),"bordeaux")</f>
        <v>bordeaux</v>
      </c>
      <c r="D630" s="9" t="str">
        <f>IFERROR(__xludf.DUMMYFUNCTION("""COMPUTED_VALUE"""),"Chateau L'Evangile, Pomerol")</f>
        <v>Chateau L'Evangile, Pomerol</v>
      </c>
      <c r="E630" s="9">
        <f>IFERROR(__xludf.DUMMYFUNCTION("""COMPUTED_VALUE"""),2019.0)</f>
        <v>2019</v>
      </c>
      <c r="F630" s="9">
        <f>IFERROR(__xludf.DUMMYFUNCTION("""COMPUTED_VALUE"""),750.0)</f>
        <v>750</v>
      </c>
      <c r="G630" s="9">
        <f>IFERROR(__xludf.DUMMYFUNCTION("""COMPUTED_VALUE"""),6.0)</f>
        <v>6</v>
      </c>
      <c r="H630" s="10">
        <f>IFERROR(__xludf.DUMMYFUNCTION("""COMPUTED_VALUE"""),1.0)</f>
        <v>1</v>
      </c>
      <c r="I630" s="11">
        <f>IFERROR(__xludf.DUMMYFUNCTION("""COMPUTED_VALUE"""),845.0)</f>
        <v>845</v>
      </c>
      <c r="J630" s="9" t="str">
        <f>IFERROR(__xludf.DUMMYFUNCTION("""COMPUTED_VALUE"""),"UK")</f>
        <v>UK</v>
      </c>
      <c r="K630" s="8"/>
      <c r="L630" s="12"/>
      <c r="M630" s="13"/>
      <c r="N630" s="13" t="str">
        <f>IFERROR(__xludf.DUMMYFUNCTION("IF(ISBLANK(M630),"""",M630*GOOGLEFINANCE(""USDGBP""))"),"")</f>
        <v/>
      </c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</row>
    <row r="631">
      <c r="A631" s="8" t="str">
        <f>IFERROR(__xludf.DUMMYFUNCTION("""COMPUTED_VALUE"""),"100874620080600750")</f>
        <v>100874620080600750</v>
      </c>
      <c r="B631" s="9" t="str">
        <f>IFERROR(__xludf.DUMMYFUNCTION("""COMPUTED_VALUE"""),"France")</f>
        <v>France</v>
      </c>
      <c r="C631" s="9" t="str">
        <f>IFERROR(__xludf.DUMMYFUNCTION("""COMPUTED_VALUE"""),"bordeaux")</f>
        <v>bordeaux</v>
      </c>
      <c r="D631" s="9" t="str">
        <f>IFERROR(__xludf.DUMMYFUNCTION("""COMPUTED_VALUE"""),"Chateau La Conseillante, Pomerol")</f>
        <v>Chateau La Conseillante, Pomerol</v>
      </c>
      <c r="E631" s="9">
        <f>IFERROR(__xludf.DUMMYFUNCTION("""COMPUTED_VALUE"""),2008.0)</f>
        <v>2008</v>
      </c>
      <c r="F631" s="9">
        <f>IFERROR(__xludf.DUMMYFUNCTION("""COMPUTED_VALUE"""),750.0)</f>
        <v>750</v>
      </c>
      <c r="G631" s="9">
        <f>IFERROR(__xludf.DUMMYFUNCTION("""COMPUTED_VALUE"""),6.0)</f>
        <v>6</v>
      </c>
      <c r="H631" s="10">
        <f>IFERROR(__xludf.DUMMYFUNCTION("""COMPUTED_VALUE"""),1.0)</f>
        <v>1</v>
      </c>
      <c r="I631" s="11">
        <f>IFERROR(__xludf.DUMMYFUNCTION("""COMPUTED_VALUE"""),789.0)</f>
        <v>789</v>
      </c>
      <c r="J631" s="9" t="str">
        <f>IFERROR(__xludf.DUMMYFUNCTION("""COMPUTED_VALUE"""),"UK")</f>
        <v>UK</v>
      </c>
      <c r="K631" s="8"/>
      <c r="L631" s="12"/>
      <c r="M631" s="13"/>
      <c r="N631" s="13" t="str">
        <f>IFERROR(__xludf.DUMMYFUNCTION("IF(ISBLANK(M631),"""",M631*GOOGLEFINANCE(""USDGBP""))"),"")</f>
        <v/>
      </c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</row>
    <row r="632">
      <c r="A632" s="8" t="str">
        <f>IFERROR(__xludf.DUMMYFUNCTION("""COMPUTED_VALUE"""),"100874620140600750")</f>
        <v>100874620140600750</v>
      </c>
      <c r="B632" s="9" t="str">
        <f>IFERROR(__xludf.DUMMYFUNCTION("""COMPUTED_VALUE"""),"France")</f>
        <v>France</v>
      </c>
      <c r="C632" s="9" t="str">
        <f>IFERROR(__xludf.DUMMYFUNCTION("""COMPUTED_VALUE"""),"bordeaux")</f>
        <v>bordeaux</v>
      </c>
      <c r="D632" s="9" t="str">
        <f>IFERROR(__xludf.DUMMYFUNCTION("""COMPUTED_VALUE"""),"Chateau La Conseillante, Pomerol")</f>
        <v>Chateau La Conseillante, Pomerol</v>
      </c>
      <c r="E632" s="9">
        <f>IFERROR(__xludf.DUMMYFUNCTION("""COMPUTED_VALUE"""),2014.0)</f>
        <v>2014</v>
      </c>
      <c r="F632" s="9">
        <f>IFERROR(__xludf.DUMMYFUNCTION("""COMPUTED_VALUE"""),750.0)</f>
        <v>750</v>
      </c>
      <c r="G632" s="9">
        <f>IFERROR(__xludf.DUMMYFUNCTION("""COMPUTED_VALUE"""),6.0)</f>
        <v>6</v>
      </c>
      <c r="H632" s="10">
        <f>IFERROR(__xludf.DUMMYFUNCTION("""COMPUTED_VALUE"""),2.0)</f>
        <v>2</v>
      </c>
      <c r="I632" s="11">
        <f>IFERROR(__xludf.DUMMYFUNCTION("""COMPUTED_VALUE"""),700.0)</f>
        <v>700</v>
      </c>
      <c r="J632" s="9" t="str">
        <f>IFERROR(__xludf.DUMMYFUNCTION("""COMPUTED_VALUE"""),"UK")</f>
        <v>UK</v>
      </c>
      <c r="K632" s="8"/>
      <c r="L632" s="12"/>
      <c r="M632" s="13"/>
      <c r="N632" s="13" t="str">
        <f>IFERROR(__xludf.DUMMYFUNCTION("IF(ISBLANK(M632),"""",M632*GOOGLEFINANCE(""USDGBP""))"),"")</f>
        <v/>
      </c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</row>
    <row r="633">
      <c r="A633" s="8" t="str">
        <f>IFERROR(__xludf.DUMMYFUNCTION("""COMPUTED_VALUE"""),"100874620170600750")</f>
        <v>100874620170600750</v>
      </c>
      <c r="B633" s="9" t="str">
        <f>IFERROR(__xludf.DUMMYFUNCTION("""COMPUTED_VALUE"""),"France")</f>
        <v>France</v>
      </c>
      <c r="C633" s="9" t="str">
        <f>IFERROR(__xludf.DUMMYFUNCTION("""COMPUTED_VALUE"""),"bordeaux")</f>
        <v>bordeaux</v>
      </c>
      <c r="D633" s="9" t="str">
        <f>IFERROR(__xludf.DUMMYFUNCTION("""COMPUTED_VALUE"""),"Chateau La Conseillante, Pomerol")</f>
        <v>Chateau La Conseillante, Pomerol</v>
      </c>
      <c r="E633" s="9">
        <f>IFERROR(__xludf.DUMMYFUNCTION("""COMPUTED_VALUE"""),2017.0)</f>
        <v>2017</v>
      </c>
      <c r="F633" s="9">
        <f>IFERROR(__xludf.DUMMYFUNCTION("""COMPUTED_VALUE"""),750.0)</f>
        <v>750</v>
      </c>
      <c r="G633" s="9">
        <f>IFERROR(__xludf.DUMMYFUNCTION("""COMPUTED_VALUE"""),6.0)</f>
        <v>6</v>
      </c>
      <c r="H633" s="10">
        <f>IFERROR(__xludf.DUMMYFUNCTION("""COMPUTED_VALUE"""),5.0)</f>
        <v>5</v>
      </c>
      <c r="I633" s="11">
        <f>IFERROR(__xludf.DUMMYFUNCTION("""COMPUTED_VALUE"""),711.0)</f>
        <v>711</v>
      </c>
      <c r="J633" s="9" t="str">
        <f>IFERROR(__xludf.DUMMYFUNCTION("""COMPUTED_VALUE"""),"UK")</f>
        <v>UK</v>
      </c>
      <c r="K633" s="8"/>
      <c r="L633" s="12"/>
      <c r="M633" s="13"/>
      <c r="N633" s="13" t="str">
        <f>IFERROR(__xludf.DUMMYFUNCTION("IF(ISBLANK(M633),"""",M633*GOOGLEFINANCE(""USDGBP""))"),"")</f>
        <v/>
      </c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</row>
    <row r="634">
      <c r="A634" s="8" t="str">
        <f>IFERROR(__xludf.DUMMYFUNCTION("""COMPUTED_VALUE"""),"100874620171200750")</f>
        <v>100874620171200750</v>
      </c>
      <c r="B634" s="9" t="str">
        <f>IFERROR(__xludf.DUMMYFUNCTION("""COMPUTED_VALUE"""),"France")</f>
        <v>France</v>
      </c>
      <c r="C634" s="9" t="str">
        <f>IFERROR(__xludf.DUMMYFUNCTION("""COMPUTED_VALUE"""),"bordeaux")</f>
        <v>bordeaux</v>
      </c>
      <c r="D634" s="9" t="str">
        <f>IFERROR(__xludf.DUMMYFUNCTION("""COMPUTED_VALUE"""),"Chateau La Conseillante, Pomerol")</f>
        <v>Chateau La Conseillante, Pomerol</v>
      </c>
      <c r="E634" s="9">
        <f>IFERROR(__xludf.DUMMYFUNCTION("""COMPUTED_VALUE"""),2017.0)</f>
        <v>2017</v>
      </c>
      <c r="F634" s="9">
        <f>IFERROR(__xludf.DUMMYFUNCTION("""COMPUTED_VALUE"""),750.0)</f>
        <v>750</v>
      </c>
      <c r="G634" s="9">
        <f>IFERROR(__xludf.DUMMYFUNCTION("""COMPUTED_VALUE"""),12.0)</f>
        <v>12</v>
      </c>
      <c r="H634" s="10">
        <f>IFERROR(__xludf.DUMMYFUNCTION("""COMPUTED_VALUE"""),1.0)</f>
        <v>1</v>
      </c>
      <c r="I634" s="11">
        <f>IFERROR(__xludf.DUMMYFUNCTION("""COMPUTED_VALUE"""),1422.0)</f>
        <v>1422</v>
      </c>
      <c r="J634" s="9" t="str">
        <f>IFERROR(__xludf.DUMMYFUNCTION("""COMPUTED_VALUE"""),"UK")</f>
        <v>UK</v>
      </c>
      <c r="K634" s="8"/>
      <c r="L634" s="12"/>
      <c r="M634" s="13"/>
      <c r="N634" s="13" t="str">
        <f>IFERROR(__xludf.DUMMYFUNCTION("IF(ISBLANK(M634),"""",M634*GOOGLEFINANCE(""USDGBP""))"),"")</f>
        <v/>
      </c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</row>
    <row r="635">
      <c r="A635" s="8" t="str">
        <f>IFERROR(__xludf.DUMMYFUNCTION("""COMPUTED_VALUE"""),"100983120061200750")</f>
        <v>100983120061200750</v>
      </c>
      <c r="B635" s="9" t="str">
        <f>IFERROR(__xludf.DUMMYFUNCTION("""COMPUTED_VALUE"""),"France")</f>
        <v>France</v>
      </c>
      <c r="C635" s="9" t="str">
        <f>IFERROR(__xludf.DUMMYFUNCTION("""COMPUTED_VALUE"""),"bordeaux")</f>
        <v>bordeaux</v>
      </c>
      <c r="D635" s="9" t="str">
        <f>IFERROR(__xludf.DUMMYFUNCTION("""COMPUTED_VALUE"""),"Chateau La Fleur de Bouard, Lalande de Pomerol")</f>
        <v>Chateau La Fleur de Bouard, Lalande de Pomerol</v>
      </c>
      <c r="E635" s="9">
        <f>IFERROR(__xludf.DUMMYFUNCTION("""COMPUTED_VALUE"""),2006.0)</f>
        <v>2006</v>
      </c>
      <c r="F635" s="9">
        <f>IFERROR(__xludf.DUMMYFUNCTION("""COMPUTED_VALUE"""),750.0)</f>
        <v>750</v>
      </c>
      <c r="G635" s="9">
        <f>IFERROR(__xludf.DUMMYFUNCTION("""COMPUTED_VALUE"""),12.0)</f>
        <v>12</v>
      </c>
      <c r="H635" s="10">
        <f>IFERROR(__xludf.DUMMYFUNCTION("""COMPUTED_VALUE"""),1.0)</f>
        <v>1</v>
      </c>
      <c r="I635" s="11">
        <f>IFERROR(__xludf.DUMMYFUNCTION("""COMPUTED_VALUE"""),358.0)</f>
        <v>358</v>
      </c>
      <c r="J635" s="9" t="str">
        <f>IFERROR(__xludf.DUMMYFUNCTION("""COMPUTED_VALUE"""),"UK")</f>
        <v>UK</v>
      </c>
      <c r="K635" s="8"/>
      <c r="L635" s="12"/>
      <c r="M635" s="13"/>
      <c r="N635" s="13" t="str">
        <f>IFERROR(__xludf.DUMMYFUNCTION("IF(ISBLANK(M635),"""",M635*GOOGLEFINANCE(""USDGBP""))"),"")</f>
        <v/>
      </c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</row>
    <row r="636">
      <c r="A636" s="8" t="str">
        <f>IFERROR(__xludf.DUMMYFUNCTION("""COMPUTED_VALUE"""),"101010720180600750")</f>
        <v>101010720180600750</v>
      </c>
      <c r="B636" s="9" t="str">
        <f>IFERROR(__xludf.DUMMYFUNCTION("""COMPUTED_VALUE"""),"France")</f>
        <v>France</v>
      </c>
      <c r="C636" s="9" t="str">
        <f>IFERROR(__xludf.DUMMYFUNCTION("""COMPUTED_VALUE"""),"bordeaux")</f>
        <v>bordeaux</v>
      </c>
      <c r="D636" s="9" t="str">
        <f>IFERROR(__xludf.DUMMYFUNCTION("""COMPUTED_VALUE"""),"Chateau La Fleur-Petrus, Pomerol")</f>
        <v>Chateau La Fleur-Petrus, Pomerol</v>
      </c>
      <c r="E636" s="9">
        <f>IFERROR(__xludf.DUMMYFUNCTION("""COMPUTED_VALUE"""),2018.0)</f>
        <v>2018</v>
      </c>
      <c r="F636" s="9">
        <f>IFERROR(__xludf.DUMMYFUNCTION("""COMPUTED_VALUE"""),750.0)</f>
        <v>750</v>
      </c>
      <c r="G636" s="9">
        <f>IFERROR(__xludf.DUMMYFUNCTION("""COMPUTED_VALUE"""),6.0)</f>
        <v>6</v>
      </c>
      <c r="H636" s="10">
        <f>IFERROR(__xludf.DUMMYFUNCTION("""COMPUTED_VALUE"""),1.0)</f>
        <v>1</v>
      </c>
      <c r="I636" s="11">
        <f>IFERROR(__xludf.DUMMYFUNCTION("""COMPUTED_VALUE"""),1029.0)</f>
        <v>1029</v>
      </c>
      <c r="J636" s="9" t="str">
        <f>IFERROR(__xludf.DUMMYFUNCTION("""COMPUTED_VALUE"""),"UK")</f>
        <v>UK</v>
      </c>
      <c r="K636" s="8"/>
      <c r="L636" s="12"/>
      <c r="M636" s="13"/>
      <c r="N636" s="13" t="str">
        <f>IFERROR(__xludf.DUMMYFUNCTION("IF(ISBLANK(M636),"""",M636*GOOGLEFINANCE(""USDGBP""))"),"")</f>
        <v/>
      </c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</row>
    <row r="637">
      <c r="A637" s="8" t="str">
        <f>IFERROR(__xludf.DUMMYFUNCTION("""COMPUTED_VALUE"""),"101317920200300750")</f>
        <v>101317920200300750</v>
      </c>
      <c r="B637" s="9" t="str">
        <f>IFERROR(__xludf.DUMMYFUNCTION("""COMPUTED_VALUE"""),"France")</f>
        <v>France</v>
      </c>
      <c r="C637" s="9" t="str">
        <f>IFERROR(__xludf.DUMMYFUNCTION("""COMPUTED_VALUE"""),"bordeaux")</f>
        <v>bordeaux</v>
      </c>
      <c r="D637" s="9" t="str">
        <f>IFERROR(__xludf.DUMMYFUNCTION("""COMPUTED_VALUE"""),"Chateau La Mission Haut-Brion Cru Classe, Pessac-Leognan")</f>
        <v>Chateau La Mission Haut-Brion Cru Classe, Pessac-Leognan</v>
      </c>
      <c r="E637" s="9">
        <f>IFERROR(__xludf.DUMMYFUNCTION("""COMPUTED_VALUE"""),2020.0)</f>
        <v>2020</v>
      </c>
      <c r="F637" s="9">
        <f>IFERROR(__xludf.DUMMYFUNCTION("""COMPUTED_VALUE"""),750.0)</f>
        <v>750</v>
      </c>
      <c r="G637" s="9">
        <f>IFERROR(__xludf.DUMMYFUNCTION("""COMPUTED_VALUE"""),3.0)</f>
        <v>3</v>
      </c>
      <c r="H637" s="10">
        <f>IFERROR(__xludf.DUMMYFUNCTION("""COMPUTED_VALUE"""),3.0)</f>
        <v>3</v>
      </c>
      <c r="I637" s="11">
        <f>IFERROR(__xludf.DUMMYFUNCTION("""COMPUTED_VALUE"""),705.0)</f>
        <v>705</v>
      </c>
      <c r="J637" s="9" t="str">
        <f>IFERROR(__xludf.DUMMYFUNCTION("""COMPUTED_VALUE"""),"UK")</f>
        <v>UK</v>
      </c>
      <c r="K637" s="8"/>
      <c r="L637" s="12"/>
      <c r="M637" s="13"/>
      <c r="N637" s="13" t="str">
        <f>IFERROR(__xludf.DUMMYFUNCTION("IF(ISBLANK(M637),"""",M637*GOOGLEFINANCE(""USDGBP""))"),"")</f>
        <v/>
      </c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</row>
    <row r="638">
      <c r="A638" s="8" t="str">
        <f>IFERROR(__xludf.DUMMYFUNCTION("""COMPUTED_VALUE"""),"101627120170600750")</f>
        <v>101627120170600750</v>
      </c>
      <c r="B638" s="9" t="str">
        <f>IFERROR(__xludf.DUMMYFUNCTION("""COMPUTED_VALUE"""),"France")</f>
        <v>France</v>
      </c>
      <c r="C638" s="9" t="str">
        <f>IFERROR(__xludf.DUMMYFUNCTION("""COMPUTED_VALUE"""),"bordeaux")</f>
        <v>bordeaux</v>
      </c>
      <c r="D638" s="9" t="str">
        <f>IFERROR(__xludf.DUMMYFUNCTION("""COMPUTED_VALUE"""),"Chateau La Violette, Pomerol")</f>
        <v>Chateau La Violette, Pomerol</v>
      </c>
      <c r="E638" s="9">
        <f>IFERROR(__xludf.DUMMYFUNCTION("""COMPUTED_VALUE"""),2017.0)</f>
        <v>2017</v>
      </c>
      <c r="F638" s="9">
        <f>IFERROR(__xludf.DUMMYFUNCTION("""COMPUTED_VALUE"""),750.0)</f>
        <v>750</v>
      </c>
      <c r="G638" s="9">
        <f>IFERROR(__xludf.DUMMYFUNCTION("""COMPUTED_VALUE"""),6.0)</f>
        <v>6</v>
      </c>
      <c r="H638" s="10">
        <f>IFERROR(__xludf.DUMMYFUNCTION("""COMPUTED_VALUE"""),3.0)</f>
        <v>3</v>
      </c>
      <c r="I638" s="11">
        <f>IFERROR(__xludf.DUMMYFUNCTION("""COMPUTED_VALUE"""),886.0)</f>
        <v>886</v>
      </c>
      <c r="J638" s="9" t="str">
        <f>IFERROR(__xludf.DUMMYFUNCTION("""COMPUTED_VALUE"""),"UK")</f>
        <v>UK</v>
      </c>
      <c r="K638" s="8"/>
      <c r="L638" s="12"/>
      <c r="M638" s="13"/>
      <c r="N638" s="13" t="str">
        <f>IFERROR(__xludf.DUMMYFUNCTION("IF(ISBLANK(M638),"""",M638*GOOGLEFINANCE(""USDGBP""))"),"")</f>
        <v/>
      </c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</row>
    <row r="639">
      <c r="A639" s="8" t="str">
        <f>IFERROR(__xludf.DUMMYFUNCTION("""COMPUTED_VALUE"""),"101627120180300750")</f>
        <v>101627120180300750</v>
      </c>
      <c r="B639" s="9" t="str">
        <f>IFERROR(__xludf.DUMMYFUNCTION("""COMPUTED_VALUE"""),"France")</f>
        <v>France</v>
      </c>
      <c r="C639" s="9" t="str">
        <f>IFERROR(__xludf.DUMMYFUNCTION("""COMPUTED_VALUE"""),"bordeaux")</f>
        <v>bordeaux</v>
      </c>
      <c r="D639" s="9" t="str">
        <f>IFERROR(__xludf.DUMMYFUNCTION("""COMPUTED_VALUE"""),"Chateau La Violette, Pomerol")</f>
        <v>Chateau La Violette, Pomerol</v>
      </c>
      <c r="E639" s="9">
        <f>IFERROR(__xludf.DUMMYFUNCTION("""COMPUTED_VALUE"""),2018.0)</f>
        <v>2018</v>
      </c>
      <c r="F639" s="9">
        <f>IFERROR(__xludf.DUMMYFUNCTION("""COMPUTED_VALUE"""),750.0)</f>
        <v>750</v>
      </c>
      <c r="G639" s="9">
        <f>IFERROR(__xludf.DUMMYFUNCTION("""COMPUTED_VALUE"""),3.0)</f>
        <v>3</v>
      </c>
      <c r="H639" s="10">
        <f>IFERROR(__xludf.DUMMYFUNCTION("""COMPUTED_VALUE"""),1.0)</f>
        <v>1</v>
      </c>
      <c r="I639" s="11">
        <f>IFERROR(__xludf.DUMMYFUNCTION("""COMPUTED_VALUE"""),607.0)</f>
        <v>607</v>
      </c>
      <c r="J639" s="9" t="str">
        <f>IFERROR(__xludf.DUMMYFUNCTION("""COMPUTED_VALUE"""),"UK")</f>
        <v>UK</v>
      </c>
      <c r="K639" s="8"/>
      <c r="L639" s="12"/>
      <c r="M639" s="13"/>
      <c r="N639" s="13" t="str">
        <f>IFERROR(__xludf.DUMMYFUNCTION("IF(ISBLANK(M639),"""",M639*GOOGLEFINANCE(""USDGBP""))"),"")</f>
        <v/>
      </c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</row>
    <row r="640">
      <c r="A640" s="8" t="str">
        <f>IFERROR(__xludf.DUMMYFUNCTION("""COMPUTED_VALUE"""),"101187220031200750")</f>
        <v>101187220031200750</v>
      </c>
      <c r="B640" s="9" t="str">
        <f>IFERROR(__xludf.DUMMYFUNCTION("""COMPUTED_VALUE"""),"France")</f>
        <v>France</v>
      </c>
      <c r="C640" s="9" t="str">
        <f>IFERROR(__xludf.DUMMYFUNCTION("""COMPUTED_VALUE"""),"bordeaux")</f>
        <v>bordeaux</v>
      </c>
      <c r="D640" s="9" t="str">
        <f>IFERROR(__xludf.DUMMYFUNCTION("""COMPUTED_VALUE"""),"Chateau Lafite Rothschild Premier Cru Classe, Pauillac")</f>
        <v>Chateau Lafite Rothschild Premier Cru Classe, Pauillac</v>
      </c>
      <c r="E640" s="9">
        <f>IFERROR(__xludf.DUMMYFUNCTION("""COMPUTED_VALUE"""),2003.0)</f>
        <v>2003</v>
      </c>
      <c r="F640" s="9">
        <f>IFERROR(__xludf.DUMMYFUNCTION("""COMPUTED_VALUE"""),750.0)</f>
        <v>750</v>
      </c>
      <c r="G640" s="9">
        <f>IFERROR(__xludf.DUMMYFUNCTION("""COMPUTED_VALUE"""),12.0)</f>
        <v>12</v>
      </c>
      <c r="H640" s="10">
        <f>IFERROR(__xludf.DUMMYFUNCTION("""COMPUTED_VALUE"""),1.0)</f>
        <v>1</v>
      </c>
      <c r="I640" s="11">
        <f>IFERROR(__xludf.DUMMYFUNCTION("""COMPUTED_VALUE"""),8686.0)</f>
        <v>8686</v>
      </c>
      <c r="J640" s="9" t="str">
        <f>IFERROR(__xludf.DUMMYFUNCTION("""COMPUTED_VALUE"""),"UK")</f>
        <v>UK</v>
      </c>
      <c r="K640" s="8"/>
      <c r="L640" s="12"/>
      <c r="M640" s="13"/>
      <c r="N640" s="13" t="str">
        <f>IFERROR(__xludf.DUMMYFUNCTION("IF(ISBLANK(M640),"""",M640*GOOGLEFINANCE(""USDGBP""))"),"")</f>
        <v/>
      </c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</row>
    <row r="641">
      <c r="A641" s="8" t="str">
        <f>IFERROR(__xludf.DUMMYFUNCTION("""COMPUTED_VALUE"""),"101187220190600750")</f>
        <v>101187220190600750</v>
      </c>
      <c r="B641" s="9" t="str">
        <f>IFERROR(__xludf.DUMMYFUNCTION("""COMPUTED_VALUE"""),"France")</f>
        <v>France</v>
      </c>
      <c r="C641" s="9" t="str">
        <f>IFERROR(__xludf.DUMMYFUNCTION("""COMPUTED_VALUE"""),"bordeaux")</f>
        <v>bordeaux</v>
      </c>
      <c r="D641" s="9" t="str">
        <f>IFERROR(__xludf.DUMMYFUNCTION("""COMPUTED_VALUE"""),"Chateau Lafite Rothschild Premier Cru Classe, Pauillac")</f>
        <v>Chateau Lafite Rothschild Premier Cru Classe, Pauillac</v>
      </c>
      <c r="E641" s="9">
        <f>IFERROR(__xludf.DUMMYFUNCTION("""COMPUTED_VALUE"""),2019.0)</f>
        <v>2019</v>
      </c>
      <c r="F641" s="9">
        <f>IFERROR(__xludf.DUMMYFUNCTION("""COMPUTED_VALUE"""),750.0)</f>
        <v>750</v>
      </c>
      <c r="G641" s="9">
        <f>IFERROR(__xludf.DUMMYFUNCTION("""COMPUTED_VALUE"""),6.0)</f>
        <v>6</v>
      </c>
      <c r="H641" s="10">
        <f>IFERROR(__xludf.DUMMYFUNCTION("""COMPUTED_VALUE"""),1.0)</f>
        <v>1</v>
      </c>
      <c r="I641" s="11">
        <f>IFERROR(__xludf.DUMMYFUNCTION("""COMPUTED_VALUE"""),3133.0)</f>
        <v>3133</v>
      </c>
      <c r="J641" s="9" t="str">
        <f>IFERROR(__xludf.DUMMYFUNCTION("""COMPUTED_VALUE"""),"UK")</f>
        <v>UK</v>
      </c>
      <c r="K641" s="8"/>
      <c r="L641" s="12"/>
      <c r="M641" s="13"/>
      <c r="N641" s="13" t="str">
        <f>IFERROR(__xludf.DUMMYFUNCTION("IF(ISBLANK(M641),"""",M641*GOOGLEFINANCE(""USDGBP""))"),"")</f>
        <v/>
      </c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</row>
    <row r="642">
      <c r="A642" s="8" t="str">
        <f>IFERROR(__xludf.DUMMYFUNCTION("""COMPUTED_VALUE"""),"101187220210301500")</f>
        <v>101187220210301500</v>
      </c>
      <c r="B642" s="9" t="str">
        <f>IFERROR(__xludf.DUMMYFUNCTION("""COMPUTED_VALUE"""),"France")</f>
        <v>France</v>
      </c>
      <c r="C642" s="9" t="str">
        <f>IFERROR(__xludf.DUMMYFUNCTION("""COMPUTED_VALUE"""),"bordeaux")</f>
        <v>bordeaux</v>
      </c>
      <c r="D642" s="9" t="str">
        <f>IFERROR(__xludf.DUMMYFUNCTION("""COMPUTED_VALUE"""),"Chateau Lafite Rothschild Premier Cru Classe, Pauillac")</f>
        <v>Chateau Lafite Rothschild Premier Cru Classe, Pauillac</v>
      </c>
      <c r="E642" s="9">
        <f>IFERROR(__xludf.DUMMYFUNCTION("""COMPUTED_VALUE"""),2021.0)</f>
        <v>2021</v>
      </c>
      <c r="F642" s="9">
        <f>IFERROR(__xludf.DUMMYFUNCTION("""COMPUTED_VALUE"""),1500.0)</f>
        <v>1500</v>
      </c>
      <c r="G642" s="9">
        <f>IFERROR(__xludf.DUMMYFUNCTION("""COMPUTED_VALUE"""),3.0)</f>
        <v>3</v>
      </c>
      <c r="H642" s="10">
        <f>IFERROR(__xludf.DUMMYFUNCTION("""COMPUTED_VALUE"""),1.0)</f>
        <v>1</v>
      </c>
      <c r="I642" s="11">
        <f>IFERROR(__xludf.DUMMYFUNCTION("""COMPUTED_VALUE"""),2743.0)</f>
        <v>2743</v>
      </c>
      <c r="J642" s="9" t="str">
        <f>IFERROR(__xludf.DUMMYFUNCTION("""COMPUTED_VALUE"""),"UK")</f>
        <v>UK</v>
      </c>
      <c r="K642" s="8"/>
      <c r="L642" s="12"/>
      <c r="M642" s="13"/>
      <c r="N642" s="13" t="str">
        <f>IFERROR(__xludf.DUMMYFUNCTION("IF(ISBLANK(M642),"""",M642*GOOGLEFINANCE(""USDGBP""))"),"")</f>
        <v/>
      </c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</row>
    <row r="643">
      <c r="A643" s="8" t="str">
        <f>IFERROR(__xludf.DUMMYFUNCTION("""COMPUTED_VALUE"""),"101190220140600750")</f>
        <v>101190220140600750</v>
      </c>
      <c r="B643" s="9" t="str">
        <f>IFERROR(__xludf.DUMMYFUNCTION("""COMPUTED_VALUE"""),"France")</f>
        <v>France</v>
      </c>
      <c r="C643" s="9" t="str">
        <f>IFERROR(__xludf.DUMMYFUNCTION("""COMPUTED_VALUE"""),"bordeaux")</f>
        <v>bordeaux</v>
      </c>
      <c r="D643" s="9" t="str">
        <f>IFERROR(__xludf.DUMMYFUNCTION("""COMPUTED_VALUE"""),"Chateau Lafleur, Pomerol")</f>
        <v>Chateau Lafleur, Pomerol</v>
      </c>
      <c r="E643" s="9">
        <f>IFERROR(__xludf.DUMMYFUNCTION("""COMPUTED_VALUE"""),2014.0)</f>
        <v>2014</v>
      </c>
      <c r="F643" s="9">
        <f>IFERROR(__xludf.DUMMYFUNCTION("""COMPUTED_VALUE"""),750.0)</f>
        <v>750</v>
      </c>
      <c r="G643" s="9">
        <f>IFERROR(__xludf.DUMMYFUNCTION("""COMPUTED_VALUE"""),6.0)</f>
        <v>6</v>
      </c>
      <c r="H643" s="10">
        <f>IFERROR(__xludf.DUMMYFUNCTION("""COMPUTED_VALUE"""),1.0)</f>
        <v>1</v>
      </c>
      <c r="I643" s="11">
        <f>IFERROR(__xludf.DUMMYFUNCTION("""COMPUTED_VALUE"""),3138.0)</f>
        <v>3138</v>
      </c>
      <c r="J643" s="9" t="str">
        <f>IFERROR(__xludf.DUMMYFUNCTION("""COMPUTED_VALUE"""),"UK")</f>
        <v>UK</v>
      </c>
      <c r="K643" s="8"/>
      <c r="L643" s="12"/>
      <c r="M643" s="13"/>
      <c r="N643" s="13" t="str">
        <f>IFERROR(__xludf.DUMMYFUNCTION("IF(ISBLANK(M643),"""",M643*GOOGLEFINANCE(""USDGBP""))"),"")</f>
        <v/>
      </c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</row>
    <row r="644">
      <c r="A644" s="8" t="str">
        <f>IFERROR(__xludf.DUMMYFUNCTION("""COMPUTED_VALUE"""),"101190220160100750")</f>
        <v>101190220160100750</v>
      </c>
      <c r="B644" s="9" t="str">
        <f>IFERROR(__xludf.DUMMYFUNCTION("""COMPUTED_VALUE"""),"France")</f>
        <v>France</v>
      </c>
      <c r="C644" s="9" t="str">
        <f>IFERROR(__xludf.DUMMYFUNCTION("""COMPUTED_VALUE"""),"bordeaux")</f>
        <v>bordeaux</v>
      </c>
      <c r="D644" s="9" t="str">
        <f>IFERROR(__xludf.DUMMYFUNCTION("""COMPUTED_VALUE"""),"Chateau Lafleur, Pomerol")</f>
        <v>Chateau Lafleur, Pomerol</v>
      </c>
      <c r="E644" s="9">
        <f>IFERROR(__xludf.DUMMYFUNCTION("""COMPUTED_VALUE"""),2016.0)</f>
        <v>2016</v>
      </c>
      <c r="F644" s="9">
        <f>IFERROR(__xludf.DUMMYFUNCTION("""COMPUTED_VALUE"""),750.0)</f>
        <v>750</v>
      </c>
      <c r="G644" s="9">
        <f>IFERROR(__xludf.DUMMYFUNCTION("""COMPUTED_VALUE"""),1.0)</f>
        <v>1</v>
      </c>
      <c r="H644" s="10">
        <f>IFERROR(__xludf.DUMMYFUNCTION("""COMPUTED_VALUE"""),1.0)</f>
        <v>1</v>
      </c>
      <c r="I644" s="11">
        <f>IFERROR(__xludf.DUMMYFUNCTION("""COMPUTED_VALUE"""),1047.0)</f>
        <v>1047</v>
      </c>
      <c r="J644" s="9" t="str">
        <f>IFERROR(__xludf.DUMMYFUNCTION("""COMPUTED_VALUE"""),"UK")</f>
        <v>UK</v>
      </c>
      <c r="K644" s="8"/>
      <c r="L644" s="12"/>
      <c r="M644" s="13"/>
      <c r="N644" s="13" t="str">
        <f>IFERROR(__xludf.DUMMYFUNCTION("IF(ISBLANK(M644),"""",M644*GOOGLEFINANCE(""USDGBP""))"),"")</f>
        <v/>
      </c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</row>
    <row r="645">
      <c r="A645" s="8" t="str">
        <f>IFERROR(__xludf.DUMMYFUNCTION("""COMPUTED_VALUE"""),"101190220170100750")</f>
        <v>101190220170100750</v>
      </c>
      <c r="B645" s="9" t="str">
        <f>IFERROR(__xludf.DUMMYFUNCTION("""COMPUTED_VALUE"""),"France")</f>
        <v>France</v>
      </c>
      <c r="C645" s="9" t="str">
        <f>IFERROR(__xludf.DUMMYFUNCTION("""COMPUTED_VALUE"""),"bordeaux")</f>
        <v>bordeaux</v>
      </c>
      <c r="D645" s="9" t="str">
        <f>IFERROR(__xludf.DUMMYFUNCTION("""COMPUTED_VALUE"""),"Chateau Lafleur, Pomerol")</f>
        <v>Chateau Lafleur, Pomerol</v>
      </c>
      <c r="E645" s="9">
        <f>IFERROR(__xludf.DUMMYFUNCTION("""COMPUTED_VALUE"""),2017.0)</f>
        <v>2017</v>
      </c>
      <c r="F645" s="9">
        <f>IFERROR(__xludf.DUMMYFUNCTION("""COMPUTED_VALUE"""),750.0)</f>
        <v>750</v>
      </c>
      <c r="G645" s="9">
        <f>IFERROR(__xludf.DUMMYFUNCTION("""COMPUTED_VALUE"""),1.0)</f>
        <v>1</v>
      </c>
      <c r="H645" s="10">
        <f>IFERROR(__xludf.DUMMYFUNCTION("""COMPUTED_VALUE"""),1.0)</f>
        <v>1</v>
      </c>
      <c r="I645" s="11">
        <f>IFERROR(__xludf.DUMMYFUNCTION("""COMPUTED_VALUE"""),729.0)</f>
        <v>729</v>
      </c>
      <c r="J645" s="9" t="str">
        <f>IFERROR(__xludf.DUMMYFUNCTION("""COMPUTED_VALUE"""),"UK")</f>
        <v>UK</v>
      </c>
      <c r="K645" s="8"/>
      <c r="L645" s="12"/>
      <c r="M645" s="13"/>
      <c r="N645" s="13" t="str">
        <f>IFERROR(__xludf.DUMMYFUNCTION("IF(ISBLANK(M645),"""",M645*GOOGLEFINANCE(""USDGBP""))"),"")</f>
        <v/>
      </c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</row>
    <row r="646">
      <c r="A646" s="8" t="str">
        <f>IFERROR(__xludf.DUMMYFUNCTION("""COMPUTED_VALUE"""),"101190220180600750")</f>
        <v>101190220180600750</v>
      </c>
      <c r="B646" s="9" t="str">
        <f>IFERROR(__xludf.DUMMYFUNCTION("""COMPUTED_VALUE"""),"France")</f>
        <v>France</v>
      </c>
      <c r="C646" s="9" t="str">
        <f>IFERROR(__xludf.DUMMYFUNCTION("""COMPUTED_VALUE"""),"bordeaux")</f>
        <v>bordeaux</v>
      </c>
      <c r="D646" s="9" t="str">
        <f>IFERROR(__xludf.DUMMYFUNCTION("""COMPUTED_VALUE"""),"Chateau Lafleur, Pomerol")</f>
        <v>Chateau Lafleur, Pomerol</v>
      </c>
      <c r="E646" s="9">
        <f>IFERROR(__xludf.DUMMYFUNCTION("""COMPUTED_VALUE"""),2018.0)</f>
        <v>2018</v>
      </c>
      <c r="F646" s="9">
        <f>IFERROR(__xludf.DUMMYFUNCTION("""COMPUTED_VALUE"""),750.0)</f>
        <v>750</v>
      </c>
      <c r="G646" s="9">
        <f>IFERROR(__xludf.DUMMYFUNCTION("""COMPUTED_VALUE"""),6.0)</f>
        <v>6</v>
      </c>
      <c r="H646" s="10">
        <f>IFERROR(__xludf.DUMMYFUNCTION("""COMPUTED_VALUE"""),1.0)</f>
        <v>1</v>
      </c>
      <c r="I646" s="11">
        <f>IFERROR(__xludf.DUMMYFUNCTION("""COMPUTED_VALUE"""),5771.0)</f>
        <v>5771</v>
      </c>
      <c r="J646" s="9" t="str">
        <f>IFERROR(__xludf.DUMMYFUNCTION("""COMPUTED_VALUE"""),"UK")</f>
        <v>UK</v>
      </c>
      <c r="K646" s="8"/>
      <c r="L646" s="12"/>
      <c r="M646" s="13"/>
      <c r="N646" s="13" t="str">
        <f>IFERROR(__xludf.DUMMYFUNCTION("IF(ISBLANK(M646),"""",M646*GOOGLEFINANCE(""USDGBP""))"),"")</f>
        <v/>
      </c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</row>
    <row r="647">
      <c r="A647" s="8" t="str">
        <f>IFERROR(__xludf.DUMMYFUNCTION("""COMPUTED_VALUE"""),"101190220180300750")</f>
        <v>101190220180300750</v>
      </c>
      <c r="B647" s="9" t="str">
        <f>IFERROR(__xludf.DUMMYFUNCTION("""COMPUTED_VALUE"""),"France")</f>
        <v>France</v>
      </c>
      <c r="C647" s="9" t="str">
        <f>IFERROR(__xludf.DUMMYFUNCTION("""COMPUTED_VALUE"""),"bordeaux")</f>
        <v>bordeaux</v>
      </c>
      <c r="D647" s="9" t="str">
        <f>IFERROR(__xludf.DUMMYFUNCTION("""COMPUTED_VALUE"""),"Chateau Lafleur, Pomerol")</f>
        <v>Chateau Lafleur, Pomerol</v>
      </c>
      <c r="E647" s="9">
        <f>IFERROR(__xludf.DUMMYFUNCTION("""COMPUTED_VALUE"""),2018.0)</f>
        <v>2018</v>
      </c>
      <c r="F647" s="9">
        <f>IFERROR(__xludf.DUMMYFUNCTION("""COMPUTED_VALUE"""),750.0)</f>
        <v>750</v>
      </c>
      <c r="G647" s="9">
        <f>IFERROR(__xludf.DUMMYFUNCTION("""COMPUTED_VALUE"""),3.0)</f>
        <v>3</v>
      </c>
      <c r="H647" s="10">
        <f>IFERROR(__xludf.DUMMYFUNCTION("""COMPUTED_VALUE"""),1.0)</f>
        <v>1</v>
      </c>
      <c r="I647" s="11">
        <f>IFERROR(__xludf.DUMMYFUNCTION("""COMPUTED_VALUE"""),2886.0)</f>
        <v>2886</v>
      </c>
      <c r="J647" s="9" t="str">
        <f>IFERROR(__xludf.DUMMYFUNCTION("""COMPUTED_VALUE"""),"UK")</f>
        <v>UK</v>
      </c>
      <c r="K647" s="8"/>
      <c r="L647" s="12"/>
      <c r="M647" s="13"/>
      <c r="N647" s="13" t="str">
        <f>IFERROR(__xludf.DUMMYFUNCTION("IF(ISBLANK(M647),"""",M647*GOOGLEFINANCE(""USDGBP""))"),"")</f>
        <v/>
      </c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</row>
    <row r="648">
      <c r="A648" s="8" t="str">
        <f>IFERROR(__xludf.DUMMYFUNCTION("""COMPUTED_VALUE"""),"101198620091200750")</f>
        <v>101198620091200750</v>
      </c>
      <c r="B648" s="9" t="str">
        <f>IFERROR(__xludf.DUMMYFUNCTION("""COMPUTED_VALUE"""),"France")</f>
        <v>France</v>
      </c>
      <c r="C648" s="9" t="str">
        <f>IFERROR(__xludf.DUMMYFUNCTION("""COMPUTED_VALUE"""),"bordeaux")</f>
        <v>bordeaux</v>
      </c>
      <c r="D648" s="9" t="str">
        <f>IFERROR(__xludf.DUMMYFUNCTION("""COMPUTED_VALUE"""),"Chateau Lafon-Rochet 4eme Cru Classe, Saint-Estephe")</f>
        <v>Chateau Lafon-Rochet 4eme Cru Classe, Saint-Estephe</v>
      </c>
      <c r="E648" s="9">
        <f>IFERROR(__xludf.DUMMYFUNCTION("""COMPUTED_VALUE"""),2009.0)</f>
        <v>2009</v>
      </c>
      <c r="F648" s="9">
        <f>IFERROR(__xludf.DUMMYFUNCTION("""COMPUTED_VALUE"""),750.0)</f>
        <v>750</v>
      </c>
      <c r="G648" s="9">
        <f>IFERROR(__xludf.DUMMYFUNCTION("""COMPUTED_VALUE"""),12.0)</f>
        <v>12</v>
      </c>
      <c r="H648" s="10">
        <f>IFERROR(__xludf.DUMMYFUNCTION("""COMPUTED_VALUE"""),2.0)</f>
        <v>2</v>
      </c>
      <c r="I648" s="11">
        <f>IFERROR(__xludf.DUMMYFUNCTION("""COMPUTED_VALUE"""),549.0)</f>
        <v>549</v>
      </c>
      <c r="J648" s="9" t="str">
        <f>IFERROR(__xludf.DUMMYFUNCTION("""COMPUTED_VALUE"""),"UK")</f>
        <v>UK</v>
      </c>
      <c r="K648" s="8"/>
      <c r="L648" s="12"/>
      <c r="M648" s="13"/>
      <c r="N648" s="13" t="str">
        <f>IFERROR(__xludf.DUMMYFUNCTION("IF(ISBLANK(M648),"""",M648*GOOGLEFINANCE(""USDGBP""))"),"")</f>
        <v/>
      </c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</row>
    <row r="649">
      <c r="A649" s="8" t="str">
        <f>IFERROR(__xludf.DUMMYFUNCTION("""COMPUTED_VALUE"""),"101217220131200750")</f>
        <v>101217220131200750</v>
      </c>
      <c r="B649" s="9" t="str">
        <f>IFERROR(__xludf.DUMMYFUNCTION("""COMPUTED_VALUE"""),"France")</f>
        <v>France</v>
      </c>
      <c r="C649" s="9" t="str">
        <f>IFERROR(__xludf.DUMMYFUNCTION("""COMPUTED_VALUE"""),"bordeaux")</f>
        <v>bordeaux</v>
      </c>
      <c r="D649" s="9" t="str">
        <f>IFERROR(__xludf.DUMMYFUNCTION("""COMPUTED_VALUE"""),"Chateau Langoa Barton 3eme Cru Classe, Saint-Julien")</f>
        <v>Chateau Langoa Barton 3eme Cru Classe, Saint-Julien</v>
      </c>
      <c r="E649" s="9">
        <f>IFERROR(__xludf.DUMMYFUNCTION("""COMPUTED_VALUE"""),2013.0)</f>
        <v>2013</v>
      </c>
      <c r="F649" s="9">
        <f>IFERROR(__xludf.DUMMYFUNCTION("""COMPUTED_VALUE"""),750.0)</f>
        <v>750</v>
      </c>
      <c r="G649" s="9">
        <f>IFERROR(__xludf.DUMMYFUNCTION("""COMPUTED_VALUE"""),12.0)</f>
        <v>12</v>
      </c>
      <c r="H649" s="10">
        <f>IFERROR(__xludf.DUMMYFUNCTION("""COMPUTED_VALUE"""),7.0)</f>
        <v>7</v>
      </c>
      <c r="I649" s="11">
        <f>IFERROR(__xludf.DUMMYFUNCTION("""COMPUTED_VALUE"""),343.0)</f>
        <v>343</v>
      </c>
      <c r="J649" s="9" t="str">
        <f>IFERROR(__xludf.DUMMYFUNCTION("""COMPUTED_VALUE"""),"UK")</f>
        <v>UK</v>
      </c>
      <c r="K649" s="8"/>
      <c r="L649" s="12"/>
      <c r="M649" s="13"/>
      <c r="N649" s="13" t="str">
        <f>IFERROR(__xludf.DUMMYFUNCTION("IF(ISBLANK(M649),"""",M649*GOOGLEFINANCE(""USDGBP""))"),"")</f>
        <v/>
      </c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</row>
    <row r="650">
      <c r="A650" s="8" t="str">
        <f>IFERROR(__xludf.DUMMYFUNCTION("""COMPUTED_VALUE"""),"101218520180600750")</f>
        <v>101218520180600750</v>
      </c>
      <c r="B650" s="9" t="str">
        <f>IFERROR(__xludf.DUMMYFUNCTION("""COMPUTED_VALUE"""),"France")</f>
        <v>France</v>
      </c>
      <c r="C650" s="9" t="str">
        <f>IFERROR(__xludf.DUMMYFUNCTION("""COMPUTED_VALUE"""),"bordeaux")</f>
        <v>bordeaux</v>
      </c>
      <c r="D650" s="9" t="str">
        <f>IFERROR(__xludf.DUMMYFUNCTION("""COMPUTED_VALUE"""),"Chateau Larcis Ducasse Premier Grand Cru Classe B, Saint-Emilion Grand Cru")</f>
        <v>Chateau Larcis Ducasse Premier Grand Cru Classe B, Saint-Emilion Grand Cru</v>
      </c>
      <c r="E650" s="9">
        <f>IFERROR(__xludf.DUMMYFUNCTION("""COMPUTED_VALUE"""),2018.0)</f>
        <v>2018</v>
      </c>
      <c r="F650" s="9">
        <f>IFERROR(__xludf.DUMMYFUNCTION("""COMPUTED_VALUE"""),750.0)</f>
        <v>750</v>
      </c>
      <c r="G650" s="9">
        <f>IFERROR(__xludf.DUMMYFUNCTION("""COMPUTED_VALUE"""),6.0)</f>
        <v>6</v>
      </c>
      <c r="H650" s="10">
        <f>IFERROR(__xludf.DUMMYFUNCTION("""COMPUTED_VALUE"""),9.0)</f>
        <v>9</v>
      </c>
      <c r="I650" s="11">
        <f>IFERROR(__xludf.DUMMYFUNCTION("""COMPUTED_VALUE"""),414.0)</f>
        <v>414</v>
      </c>
      <c r="J650" s="9" t="str">
        <f>IFERROR(__xludf.DUMMYFUNCTION("""COMPUTED_VALUE"""),"UK")</f>
        <v>UK</v>
      </c>
      <c r="K650" s="8"/>
      <c r="L650" s="12"/>
      <c r="M650" s="13"/>
      <c r="N650" s="13" t="str">
        <f>IFERROR(__xludf.DUMMYFUNCTION("IF(ISBLANK(M650),"""",M650*GOOGLEFINANCE(""USDGBP""))"),"")</f>
        <v/>
      </c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</row>
    <row r="651">
      <c r="A651" s="8" t="str">
        <f>IFERROR(__xludf.DUMMYFUNCTION("""COMPUTED_VALUE"""),"101229920151200750")</f>
        <v>101229920151200750</v>
      </c>
      <c r="B651" s="9" t="str">
        <f>IFERROR(__xludf.DUMMYFUNCTION("""COMPUTED_VALUE"""),"France")</f>
        <v>France</v>
      </c>
      <c r="C651" s="9" t="str">
        <f>IFERROR(__xludf.DUMMYFUNCTION("""COMPUTED_VALUE"""),"bordeaux")</f>
        <v>bordeaux</v>
      </c>
      <c r="D651" s="9" t="str">
        <f>IFERROR(__xludf.DUMMYFUNCTION("""COMPUTED_VALUE"""),"Chateau Lascombes 2eme Cru Classe, Margaux")</f>
        <v>Chateau Lascombes 2eme Cru Classe, Margaux</v>
      </c>
      <c r="E651" s="9">
        <f>IFERROR(__xludf.DUMMYFUNCTION("""COMPUTED_VALUE"""),2015.0)</f>
        <v>2015</v>
      </c>
      <c r="F651" s="9">
        <f>IFERROR(__xludf.DUMMYFUNCTION("""COMPUTED_VALUE"""),750.0)</f>
        <v>750</v>
      </c>
      <c r="G651" s="9">
        <f>IFERROR(__xludf.DUMMYFUNCTION("""COMPUTED_VALUE"""),12.0)</f>
        <v>12</v>
      </c>
      <c r="H651" s="10">
        <f>IFERROR(__xludf.DUMMYFUNCTION("""COMPUTED_VALUE"""),4.0)</f>
        <v>4</v>
      </c>
      <c r="I651" s="11">
        <f>IFERROR(__xludf.DUMMYFUNCTION("""COMPUTED_VALUE"""),649.0)</f>
        <v>649</v>
      </c>
      <c r="J651" s="9" t="str">
        <f>IFERROR(__xludf.DUMMYFUNCTION("""COMPUTED_VALUE"""),"UK")</f>
        <v>UK</v>
      </c>
      <c r="K651" s="8"/>
      <c r="L651" s="12"/>
      <c r="M651" s="13"/>
      <c r="N651" s="13" t="str">
        <f>IFERROR(__xludf.DUMMYFUNCTION("IF(ISBLANK(M651),"""",M651*GOOGLEFINANCE(""USDGBP""))"),"")</f>
        <v/>
      </c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</row>
    <row r="652">
      <c r="A652" s="8" t="str">
        <f>IFERROR(__xludf.DUMMYFUNCTION("""COMPUTED_VALUE"""),"101229920161200750")</f>
        <v>101229920161200750</v>
      </c>
      <c r="B652" s="9" t="str">
        <f>IFERROR(__xludf.DUMMYFUNCTION("""COMPUTED_VALUE"""),"France")</f>
        <v>France</v>
      </c>
      <c r="C652" s="9" t="str">
        <f>IFERROR(__xludf.DUMMYFUNCTION("""COMPUTED_VALUE"""),"bordeaux")</f>
        <v>bordeaux</v>
      </c>
      <c r="D652" s="9" t="str">
        <f>IFERROR(__xludf.DUMMYFUNCTION("""COMPUTED_VALUE"""),"Chateau Lascombes 2eme Cru Classe, Margaux")</f>
        <v>Chateau Lascombes 2eme Cru Classe, Margaux</v>
      </c>
      <c r="E652" s="9">
        <f>IFERROR(__xludf.DUMMYFUNCTION("""COMPUTED_VALUE"""),2016.0)</f>
        <v>2016</v>
      </c>
      <c r="F652" s="9">
        <f>IFERROR(__xludf.DUMMYFUNCTION("""COMPUTED_VALUE"""),750.0)</f>
        <v>750</v>
      </c>
      <c r="G652" s="9">
        <f>IFERROR(__xludf.DUMMYFUNCTION("""COMPUTED_VALUE"""),12.0)</f>
        <v>12</v>
      </c>
      <c r="H652" s="10">
        <f>IFERROR(__xludf.DUMMYFUNCTION("""COMPUTED_VALUE"""),4.0)</f>
        <v>4</v>
      </c>
      <c r="I652" s="11">
        <f>IFERROR(__xludf.DUMMYFUNCTION("""COMPUTED_VALUE"""),604.0)</f>
        <v>604</v>
      </c>
      <c r="J652" s="9" t="str">
        <f>IFERROR(__xludf.DUMMYFUNCTION("""COMPUTED_VALUE"""),"UK")</f>
        <v>UK</v>
      </c>
      <c r="K652" s="8"/>
      <c r="L652" s="12"/>
      <c r="M652" s="13"/>
      <c r="N652" s="13" t="str">
        <f>IFERROR(__xludf.DUMMYFUNCTION("IF(ISBLANK(M652),"""",M652*GOOGLEFINANCE(""USDGBP""))"),"")</f>
        <v/>
      </c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</row>
    <row r="653">
      <c r="A653" s="8" t="str">
        <f>IFERROR(__xludf.DUMMYFUNCTION("""COMPUTED_VALUE"""),"101229920171200750")</f>
        <v>101229920171200750</v>
      </c>
      <c r="B653" s="9" t="str">
        <f>IFERROR(__xludf.DUMMYFUNCTION("""COMPUTED_VALUE"""),"France")</f>
        <v>France</v>
      </c>
      <c r="C653" s="9" t="str">
        <f>IFERROR(__xludf.DUMMYFUNCTION("""COMPUTED_VALUE"""),"bordeaux")</f>
        <v>bordeaux</v>
      </c>
      <c r="D653" s="9" t="str">
        <f>IFERROR(__xludf.DUMMYFUNCTION("""COMPUTED_VALUE"""),"Chateau Lascombes 2eme Cru Classe, Margaux")</f>
        <v>Chateau Lascombes 2eme Cru Classe, Margaux</v>
      </c>
      <c r="E653" s="9">
        <f>IFERROR(__xludf.DUMMYFUNCTION("""COMPUTED_VALUE"""),2017.0)</f>
        <v>2017</v>
      </c>
      <c r="F653" s="9">
        <f>IFERROR(__xludf.DUMMYFUNCTION("""COMPUTED_VALUE"""),750.0)</f>
        <v>750</v>
      </c>
      <c r="G653" s="9">
        <f>IFERROR(__xludf.DUMMYFUNCTION("""COMPUTED_VALUE"""),12.0)</f>
        <v>12</v>
      </c>
      <c r="H653" s="10">
        <f>IFERROR(__xludf.DUMMYFUNCTION("""COMPUTED_VALUE"""),7.0)</f>
        <v>7</v>
      </c>
      <c r="I653" s="11">
        <f>IFERROR(__xludf.DUMMYFUNCTION("""COMPUTED_VALUE"""),586.0)</f>
        <v>586</v>
      </c>
      <c r="J653" s="9" t="str">
        <f>IFERROR(__xludf.DUMMYFUNCTION("""COMPUTED_VALUE"""),"UK")</f>
        <v>UK</v>
      </c>
      <c r="K653" s="8"/>
      <c r="L653" s="12"/>
      <c r="M653" s="13"/>
      <c r="N653" s="13" t="str">
        <f>IFERROR(__xludf.DUMMYFUNCTION("IF(ISBLANK(M653),"""",M653*GOOGLEFINANCE(""USDGBP""))"),"")</f>
        <v/>
      </c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</row>
    <row r="654">
      <c r="A654" s="8" t="str">
        <f>IFERROR(__xludf.DUMMYFUNCTION("""COMPUTED_VALUE"""),"101229920181200750")</f>
        <v>101229920181200750</v>
      </c>
      <c r="B654" s="9" t="str">
        <f>IFERROR(__xludf.DUMMYFUNCTION("""COMPUTED_VALUE"""),"France")</f>
        <v>France</v>
      </c>
      <c r="C654" s="9" t="str">
        <f>IFERROR(__xludf.DUMMYFUNCTION("""COMPUTED_VALUE"""),"bordeaux")</f>
        <v>bordeaux</v>
      </c>
      <c r="D654" s="9" t="str">
        <f>IFERROR(__xludf.DUMMYFUNCTION("""COMPUTED_VALUE"""),"Chateau Lascombes 2eme Cru Classe, Margaux")</f>
        <v>Chateau Lascombes 2eme Cru Classe, Margaux</v>
      </c>
      <c r="E654" s="9">
        <f>IFERROR(__xludf.DUMMYFUNCTION("""COMPUTED_VALUE"""),2018.0)</f>
        <v>2018</v>
      </c>
      <c r="F654" s="9">
        <f>IFERROR(__xludf.DUMMYFUNCTION("""COMPUTED_VALUE"""),750.0)</f>
        <v>750</v>
      </c>
      <c r="G654" s="9">
        <f>IFERROR(__xludf.DUMMYFUNCTION("""COMPUTED_VALUE"""),12.0)</f>
        <v>12</v>
      </c>
      <c r="H654" s="10">
        <f>IFERROR(__xludf.DUMMYFUNCTION("""COMPUTED_VALUE"""),2.0)</f>
        <v>2</v>
      </c>
      <c r="I654" s="11">
        <f>IFERROR(__xludf.DUMMYFUNCTION("""COMPUTED_VALUE"""),593.0)</f>
        <v>593</v>
      </c>
      <c r="J654" s="9" t="str">
        <f>IFERROR(__xludf.DUMMYFUNCTION("""COMPUTED_VALUE"""),"UK")</f>
        <v>UK</v>
      </c>
      <c r="K654" s="8"/>
      <c r="L654" s="12"/>
      <c r="M654" s="13"/>
      <c r="N654" s="13" t="str">
        <f>IFERROR(__xludf.DUMMYFUNCTION("IF(ISBLANK(M654),"""",M654*GOOGLEFINANCE(""USDGBP""))"),"")</f>
        <v/>
      </c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</row>
    <row r="655">
      <c r="A655" s="8" t="str">
        <f>IFERROR(__xludf.DUMMYFUNCTION("""COMPUTED_VALUE"""),"101231620050600750")</f>
        <v>101231620050600750</v>
      </c>
      <c r="B655" s="9" t="str">
        <f>IFERROR(__xludf.DUMMYFUNCTION("""COMPUTED_VALUE"""),"France")</f>
        <v>France</v>
      </c>
      <c r="C655" s="9" t="str">
        <f>IFERROR(__xludf.DUMMYFUNCTION("""COMPUTED_VALUE"""),"bordeaux")</f>
        <v>bordeaux</v>
      </c>
      <c r="D655" s="9" t="str">
        <f>IFERROR(__xludf.DUMMYFUNCTION("""COMPUTED_VALUE"""),"Chateau Latour Premier Cru Classe, Pauillac")</f>
        <v>Chateau Latour Premier Cru Classe, Pauillac</v>
      </c>
      <c r="E655" s="9">
        <f>IFERROR(__xludf.DUMMYFUNCTION("""COMPUTED_VALUE"""),2005.0)</f>
        <v>2005</v>
      </c>
      <c r="F655" s="9">
        <f>IFERROR(__xludf.DUMMYFUNCTION("""COMPUTED_VALUE"""),750.0)</f>
        <v>750</v>
      </c>
      <c r="G655" s="9">
        <f>IFERROR(__xludf.DUMMYFUNCTION("""COMPUTED_VALUE"""),6.0)</f>
        <v>6</v>
      </c>
      <c r="H655" s="10">
        <f>IFERROR(__xludf.DUMMYFUNCTION("""COMPUTED_VALUE"""),1.0)</f>
        <v>1</v>
      </c>
      <c r="I655" s="11">
        <f>IFERROR(__xludf.DUMMYFUNCTION("""COMPUTED_VALUE"""),3868.0)</f>
        <v>3868</v>
      </c>
      <c r="J655" s="9" t="str">
        <f>IFERROR(__xludf.DUMMYFUNCTION("""COMPUTED_VALUE"""),"UK")</f>
        <v>UK</v>
      </c>
      <c r="K655" s="8"/>
      <c r="L655" s="12"/>
      <c r="M655" s="13"/>
      <c r="N655" s="13" t="str">
        <f>IFERROR(__xludf.DUMMYFUNCTION("IF(ISBLANK(M655),"""",M655*GOOGLEFINANCE(""USDGBP""))"),"")</f>
        <v/>
      </c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</row>
    <row r="656">
      <c r="A656" s="8" t="str">
        <f>IFERROR(__xludf.DUMMYFUNCTION("""COMPUTED_VALUE"""),"101049720110301500")</f>
        <v>101049720110301500</v>
      </c>
      <c r="B656" s="9" t="str">
        <f>IFERROR(__xludf.DUMMYFUNCTION("""COMPUTED_VALUE"""),"France")</f>
        <v>France</v>
      </c>
      <c r="C656" s="9" t="str">
        <f>IFERROR(__xludf.DUMMYFUNCTION("""COMPUTED_VALUE"""),"bordeaux")</f>
        <v>bordeaux</v>
      </c>
      <c r="D656" s="9" t="str">
        <f>IFERROR(__xludf.DUMMYFUNCTION("""COMPUTED_VALUE"""),"Chateau Le Gay, Pomerol")</f>
        <v>Chateau Le Gay, Pomerol</v>
      </c>
      <c r="E656" s="9">
        <f>IFERROR(__xludf.DUMMYFUNCTION("""COMPUTED_VALUE"""),2011.0)</f>
        <v>2011</v>
      </c>
      <c r="F656" s="9">
        <f>IFERROR(__xludf.DUMMYFUNCTION("""COMPUTED_VALUE"""),1500.0)</f>
        <v>1500</v>
      </c>
      <c r="G656" s="9">
        <f>IFERROR(__xludf.DUMMYFUNCTION("""COMPUTED_VALUE"""),3.0)</f>
        <v>3</v>
      </c>
      <c r="H656" s="10">
        <f>IFERROR(__xludf.DUMMYFUNCTION("""COMPUTED_VALUE"""),1.0)</f>
        <v>1</v>
      </c>
      <c r="I656" s="11">
        <f>IFERROR(__xludf.DUMMYFUNCTION("""COMPUTED_VALUE"""),493.0)</f>
        <v>493</v>
      </c>
      <c r="J656" s="9" t="str">
        <f>IFERROR(__xludf.DUMMYFUNCTION("""COMPUTED_VALUE"""),"UK")</f>
        <v>UK</v>
      </c>
      <c r="K656" s="8"/>
      <c r="L656" s="12"/>
      <c r="M656" s="13"/>
      <c r="N656" s="13" t="str">
        <f>IFERROR(__xludf.DUMMYFUNCTION("IF(ISBLANK(M656),"""",M656*GOOGLEFINANCE(""USDGBP""))"),"")</f>
        <v/>
      </c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</row>
    <row r="657">
      <c r="A657" s="8" t="str">
        <f>IFERROR(__xludf.DUMMYFUNCTION("""COMPUTED_VALUE"""),"101049720160600750")</f>
        <v>101049720160600750</v>
      </c>
      <c r="B657" s="9" t="str">
        <f>IFERROR(__xludf.DUMMYFUNCTION("""COMPUTED_VALUE"""),"France")</f>
        <v>France</v>
      </c>
      <c r="C657" s="9" t="str">
        <f>IFERROR(__xludf.DUMMYFUNCTION("""COMPUTED_VALUE"""),"bordeaux")</f>
        <v>bordeaux</v>
      </c>
      <c r="D657" s="9" t="str">
        <f>IFERROR(__xludf.DUMMYFUNCTION("""COMPUTED_VALUE"""),"Chateau Le Gay, Pomerol")</f>
        <v>Chateau Le Gay, Pomerol</v>
      </c>
      <c r="E657" s="9">
        <f>IFERROR(__xludf.DUMMYFUNCTION("""COMPUTED_VALUE"""),2016.0)</f>
        <v>2016</v>
      </c>
      <c r="F657" s="9">
        <f>IFERROR(__xludf.DUMMYFUNCTION("""COMPUTED_VALUE"""),750.0)</f>
        <v>750</v>
      </c>
      <c r="G657" s="9">
        <f>IFERROR(__xludf.DUMMYFUNCTION("""COMPUTED_VALUE"""),6.0)</f>
        <v>6</v>
      </c>
      <c r="H657" s="10">
        <f>IFERROR(__xludf.DUMMYFUNCTION("""COMPUTED_VALUE"""),4.0)</f>
        <v>4</v>
      </c>
      <c r="I657" s="11">
        <f>IFERROR(__xludf.DUMMYFUNCTION("""COMPUTED_VALUE"""),503.0)</f>
        <v>503</v>
      </c>
      <c r="J657" s="9" t="str">
        <f>IFERROR(__xludf.DUMMYFUNCTION("""COMPUTED_VALUE"""),"UK")</f>
        <v>UK</v>
      </c>
      <c r="K657" s="8"/>
      <c r="L657" s="12"/>
      <c r="M657" s="13"/>
      <c r="N657" s="13" t="str">
        <f>IFERROR(__xludf.DUMMYFUNCTION("IF(ISBLANK(M657),"""",M657*GOOGLEFINANCE(""USDGBP""))"),"")</f>
        <v/>
      </c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</row>
    <row r="658">
      <c r="A658" s="8" t="str">
        <f>IFERROR(__xludf.DUMMYFUNCTION("""COMPUTED_VALUE"""),"101049720180600750")</f>
        <v>101049720180600750</v>
      </c>
      <c r="B658" s="9" t="str">
        <f>IFERROR(__xludf.DUMMYFUNCTION("""COMPUTED_VALUE"""),"France")</f>
        <v>France</v>
      </c>
      <c r="C658" s="9" t="str">
        <f>IFERROR(__xludf.DUMMYFUNCTION("""COMPUTED_VALUE"""),"bordeaux")</f>
        <v>bordeaux</v>
      </c>
      <c r="D658" s="9" t="str">
        <f>IFERROR(__xludf.DUMMYFUNCTION("""COMPUTED_VALUE"""),"Chateau Le Gay, Pomerol")</f>
        <v>Chateau Le Gay, Pomerol</v>
      </c>
      <c r="E658" s="9">
        <f>IFERROR(__xludf.DUMMYFUNCTION("""COMPUTED_VALUE"""),2018.0)</f>
        <v>2018</v>
      </c>
      <c r="F658" s="9">
        <f>IFERROR(__xludf.DUMMYFUNCTION("""COMPUTED_VALUE"""),750.0)</f>
        <v>750</v>
      </c>
      <c r="G658" s="9">
        <f>IFERROR(__xludf.DUMMYFUNCTION("""COMPUTED_VALUE"""),6.0)</f>
        <v>6</v>
      </c>
      <c r="H658" s="10">
        <f>IFERROR(__xludf.DUMMYFUNCTION("""COMPUTED_VALUE"""),15.0)</f>
        <v>15</v>
      </c>
      <c r="I658" s="11">
        <f>IFERROR(__xludf.DUMMYFUNCTION("""COMPUTED_VALUE"""),470.0)</f>
        <v>470</v>
      </c>
      <c r="J658" s="9" t="str">
        <f>IFERROR(__xludf.DUMMYFUNCTION("""COMPUTED_VALUE"""),"UK")</f>
        <v>UK</v>
      </c>
      <c r="K658" s="8"/>
      <c r="L658" s="12"/>
      <c r="M658" s="13"/>
      <c r="N658" s="13" t="str">
        <f>IFERROR(__xludf.DUMMYFUNCTION("IF(ISBLANK(M658),"""",M658*GOOGLEFINANCE(""USDGBP""))"),"")</f>
        <v/>
      </c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</row>
    <row r="659">
      <c r="A659" s="8" t="str">
        <f>IFERROR(__xludf.DUMMYFUNCTION("""COMPUTED_VALUE"""),"101049720200600750")</f>
        <v>101049720200600750</v>
      </c>
      <c r="B659" s="9" t="str">
        <f>IFERROR(__xludf.DUMMYFUNCTION("""COMPUTED_VALUE"""),"France")</f>
        <v>France</v>
      </c>
      <c r="C659" s="9" t="str">
        <f>IFERROR(__xludf.DUMMYFUNCTION("""COMPUTED_VALUE"""),"bordeaux")</f>
        <v>bordeaux</v>
      </c>
      <c r="D659" s="9" t="str">
        <f>IFERROR(__xludf.DUMMYFUNCTION("""COMPUTED_VALUE"""),"Chateau Le Gay, Pomerol")</f>
        <v>Chateau Le Gay, Pomerol</v>
      </c>
      <c r="E659" s="9">
        <f>IFERROR(__xludf.DUMMYFUNCTION("""COMPUTED_VALUE"""),2020.0)</f>
        <v>2020</v>
      </c>
      <c r="F659" s="9">
        <f>IFERROR(__xludf.DUMMYFUNCTION("""COMPUTED_VALUE"""),750.0)</f>
        <v>750</v>
      </c>
      <c r="G659" s="9">
        <f>IFERROR(__xludf.DUMMYFUNCTION("""COMPUTED_VALUE"""),6.0)</f>
        <v>6</v>
      </c>
      <c r="H659" s="10">
        <f>IFERROR(__xludf.DUMMYFUNCTION("""COMPUTED_VALUE"""),14.0)</f>
        <v>14</v>
      </c>
      <c r="I659" s="11">
        <f>IFERROR(__xludf.DUMMYFUNCTION("""COMPUTED_VALUE"""),437.0)</f>
        <v>437</v>
      </c>
      <c r="J659" s="9" t="str">
        <f>IFERROR(__xludf.DUMMYFUNCTION("""COMPUTED_VALUE"""),"UK")</f>
        <v>UK</v>
      </c>
      <c r="K659" s="8"/>
      <c r="L659" s="12"/>
      <c r="M659" s="13"/>
      <c r="N659" s="13" t="str">
        <f>IFERROR(__xludf.DUMMYFUNCTION("IF(ISBLANK(M659),"""",M659*GOOGLEFINANCE(""USDGBP""))"),"")</f>
        <v/>
      </c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</row>
    <row r="660">
      <c r="A660" s="8" t="str">
        <f>IFERROR(__xludf.DUMMYFUNCTION("""COMPUTED_VALUE"""),"101236120171200750")</f>
        <v>101236120171200750</v>
      </c>
      <c r="B660" s="9" t="str">
        <f>IFERROR(__xludf.DUMMYFUNCTION("""COMPUTED_VALUE"""),"France")</f>
        <v>France</v>
      </c>
      <c r="C660" s="9" t="str">
        <f>IFERROR(__xludf.DUMMYFUNCTION("""COMPUTED_VALUE"""),"bordeaux")</f>
        <v>bordeaux</v>
      </c>
      <c r="D660" s="9" t="str">
        <f>IFERROR(__xludf.DUMMYFUNCTION("""COMPUTED_VALUE"""),"Chateau Leoville Barton 2eme Cru Classe, Saint-Julien")</f>
        <v>Chateau Leoville Barton 2eme Cru Classe, Saint-Julien</v>
      </c>
      <c r="E660" s="9">
        <f>IFERROR(__xludf.DUMMYFUNCTION("""COMPUTED_VALUE"""),2017.0)</f>
        <v>2017</v>
      </c>
      <c r="F660" s="9">
        <f>IFERROR(__xludf.DUMMYFUNCTION("""COMPUTED_VALUE"""),750.0)</f>
        <v>750</v>
      </c>
      <c r="G660" s="9">
        <f>IFERROR(__xludf.DUMMYFUNCTION("""COMPUTED_VALUE"""),12.0)</f>
        <v>12</v>
      </c>
      <c r="H660" s="10">
        <f>IFERROR(__xludf.DUMMYFUNCTION("""COMPUTED_VALUE"""),4.0)</f>
        <v>4</v>
      </c>
      <c r="I660" s="11">
        <f>IFERROR(__xludf.DUMMYFUNCTION("""COMPUTED_VALUE"""),638.0)</f>
        <v>638</v>
      </c>
      <c r="J660" s="9" t="str">
        <f>IFERROR(__xludf.DUMMYFUNCTION("""COMPUTED_VALUE"""),"UK")</f>
        <v>UK</v>
      </c>
      <c r="K660" s="8"/>
      <c r="L660" s="12"/>
      <c r="M660" s="13"/>
      <c r="N660" s="13" t="str">
        <f>IFERROR(__xludf.DUMMYFUNCTION("IF(ISBLANK(M660),"""",M660*GOOGLEFINANCE(""USDGBP""))"),"")</f>
        <v/>
      </c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</row>
    <row r="661">
      <c r="A661" s="8" t="str">
        <f>IFERROR(__xludf.DUMMYFUNCTION("""COMPUTED_VALUE"""),"101236120190600750")</f>
        <v>101236120190600750</v>
      </c>
      <c r="B661" s="9" t="str">
        <f>IFERROR(__xludf.DUMMYFUNCTION("""COMPUTED_VALUE"""),"France")</f>
        <v>France</v>
      </c>
      <c r="C661" s="9" t="str">
        <f>IFERROR(__xludf.DUMMYFUNCTION("""COMPUTED_VALUE"""),"bordeaux")</f>
        <v>bordeaux</v>
      </c>
      <c r="D661" s="9" t="str">
        <f>IFERROR(__xludf.DUMMYFUNCTION("""COMPUTED_VALUE"""),"Chateau Leoville Barton 2eme Cru Classe, Saint-Julien")</f>
        <v>Chateau Leoville Barton 2eme Cru Classe, Saint-Julien</v>
      </c>
      <c r="E661" s="9">
        <f>IFERROR(__xludf.DUMMYFUNCTION("""COMPUTED_VALUE"""),2019.0)</f>
        <v>2019</v>
      </c>
      <c r="F661" s="9">
        <f>IFERROR(__xludf.DUMMYFUNCTION("""COMPUTED_VALUE"""),750.0)</f>
        <v>750</v>
      </c>
      <c r="G661" s="9">
        <f>IFERROR(__xludf.DUMMYFUNCTION("""COMPUTED_VALUE"""),6.0)</f>
        <v>6</v>
      </c>
      <c r="H661" s="10">
        <f>IFERROR(__xludf.DUMMYFUNCTION("""COMPUTED_VALUE"""),3.0)</f>
        <v>3</v>
      </c>
      <c r="I661" s="11">
        <f>IFERROR(__xludf.DUMMYFUNCTION("""COMPUTED_VALUE"""),409.0)</f>
        <v>409</v>
      </c>
      <c r="J661" s="9" t="str">
        <f>IFERROR(__xludf.DUMMYFUNCTION("""COMPUTED_VALUE"""),"UK")</f>
        <v>UK</v>
      </c>
      <c r="K661" s="8"/>
      <c r="L661" s="12"/>
      <c r="M661" s="13"/>
      <c r="N661" s="13" t="str">
        <f>IFERROR(__xludf.DUMMYFUNCTION("IF(ISBLANK(M661),"""",M661*GOOGLEFINANCE(""USDGBP""))"),"")</f>
        <v/>
      </c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</row>
    <row r="662">
      <c r="A662" s="8" t="str">
        <f>IFERROR(__xludf.DUMMYFUNCTION("""COMPUTED_VALUE"""),"101237420170600750")</f>
        <v>101237420170600750</v>
      </c>
      <c r="B662" s="9" t="str">
        <f>IFERROR(__xludf.DUMMYFUNCTION("""COMPUTED_VALUE"""),"France")</f>
        <v>France</v>
      </c>
      <c r="C662" s="9" t="str">
        <f>IFERROR(__xludf.DUMMYFUNCTION("""COMPUTED_VALUE"""),"bordeaux")</f>
        <v>bordeaux</v>
      </c>
      <c r="D662" s="9" t="str">
        <f>IFERROR(__xludf.DUMMYFUNCTION("""COMPUTED_VALUE"""),"Chateau Leoville Las Cases 2eme Cru Classe, Saint-Julien")</f>
        <v>Chateau Leoville Las Cases 2eme Cru Classe, Saint-Julien</v>
      </c>
      <c r="E662" s="9">
        <f>IFERROR(__xludf.DUMMYFUNCTION("""COMPUTED_VALUE"""),2017.0)</f>
        <v>2017</v>
      </c>
      <c r="F662" s="9">
        <f>IFERROR(__xludf.DUMMYFUNCTION("""COMPUTED_VALUE"""),750.0)</f>
        <v>750</v>
      </c>
      <c r="G662" s="9">
        <f>IFERROR(__xludf.DUMMYFUNCTION("""COMPUTED_VALUE"""),6.0)</f>
        <v>6</v>
      </c>
      <c r="H662" s="10">
        <f>IFERROR(__xludf.DUMMYFUNCTION("""COMPUTED_VALUE"""),16.0)</f>
        <v>16</v>
      </c>
      <c r="I662" s="11">
        <f>IFERROR(__xludf.DUMMYFUNCTION("""COMPUTED_VALUE"""),843.0)</f>
        <v>843</v>
      </c>
      <c r="J662" s="9" t="str">
        <f>IFERROR(__xludf.DUMMYFUNCTION("""COMPUTED_VALUE"""),"UK")</f>
        <v>UK</v>
      </c>
      <c r="K662" s="8"/>
      <c r="L662" s="12"/>
      <c r="M662" s="13"/>
      <c r="N662" s="13" t="str">
        <f>IFERROR(__xludf.DUMMYFUNCTION("IF(ISBLANK(M662),"""",M662*GOOGLEFINANCE(""USDGBP""))"),"")</f>
        <v/>
      </c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</row>
    <row r="663">
      <c r="A663" s="8" t="str">
        <f>IFERROR(__xludf.DUMMYFUNCTION("""COMPUTED_VALUE"""),"101237420190600750")</f>
        <v>101237420190600750</v>
      </c>
      <c r="B663" s="9" t="str">
        <f>IFERROR(__xludf.DUMMYFUNCTION("""COMPUTED_VALUE"""),"France")</f>
        <v>France</v>
      </c>
      <c r="C663" s="9" t="str">
        <f>IFERROR(__xludf.DUMMYFUNCTION("""COMPUTED_VALUE"""),"bordeaux")</f>
        <v>bordeaux</v>
      </c>
      <c r="D663" s="9" t="str">
        <f>IFERROR(__xludf.DUMMYFUNCTION("""COMPUTED_VALUE"""),"Chateau Leoville Las Cases 2eme Cru Classe, Saint-Julien")</f>
        <v>Chateau Leoville Las Cases 2eme Cru Classe, Saint-Julien</v>
      </c>
      <c r="E663" s="9">
        <f>IFERROR(__xludf.DUMMYFUNCTION("""COMPUTED_VALUE"""),2019.0)</f>
        <v>2019</v>
      </c>
      <c r="F663" s="9">
        <f>IFERROR(__xludf.DUMMYFUNCTION("""COMPUTED_VALUE"""),750.0)</f>
        <v>750</v>
      </c>
      <c r="G663" s="9">
        <f>IFERROR(__xludf.DUMMYFUNCTION("""COMPUTED_VALUE"""),6.0)</f>
        <v>6</v>
      </c>
      <c r="H663" s="10">
        <f>IFERROR(__xludf.DUMMYFUNCTION("""COMPUTED_VALUE"""),1.0)</f>
        <v>1</v>
      </c>
      <c r="I663" s="11">
        <f>IFERROR(__xludf.DUMMYFUNCTION("""COMPUTED_VALUE"""),951.0)</f>
        <v>951</v>
      </c>
      <c r="J663" s="9" t="str">
        <f>IFERROR(__xludf.DUMMYFUNCTION("""COMPUTED_VALUE"""),"UK")</f>
        <v>UK</v>
      </c>
      <c r="K663" s="8"/>
      <c r="L663" s="12"/>
      <c r="M663" s="13"/>
      <c r="N663" s="13" t="str">
        <f>IFERROR(__xludf.DUMMYFUNCTION("IF(ISBLANK(M663),"""",M663*GOOGLEFINANCE(""USDGBP""))"),"")</f>
        <v/>
      </c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</row>
    <row r="664">
      <c r="A664" s="8" t="str">
        <f>IFERROR(__xludf.DUMMYFUNCTION("""COMPUTED_VALUE"""),"101238720160600750")</f>
        <v>101238720160600750</v>
      </c>
      <c r="B664" s="9" t="str">
        <f>IFERROR(__xludf.DUMMYFUNCTION("""COMPUTED_VALUE"""),"France")</f>
        <v>France</v>
      </c>
      <c r="C664" s="9" t="str">
        <f>IFERROR(__xludf.DUMMYFUNCTION("""COMPUTED_VALUE"""),"bordeaux")</f>
        <v>bordeaux</v>
      </c>
      <c r="D664" s="9" t="str">
        <f>IFERROR(__xludf.DUMMYFUNCTION("""COMPUTED_VALUE"""),"Chateau Leoville Poyferre 2eme Cru Classe, Saint-Julien")</f>
        <v>Chateau Leoville Poyferre 2eme Cru Classe, Saint-Julien</v>
      </c>
      <c r="E664" s="9">
        <f>IFERROR(__xludf.DUMMYFUNCTION("""COMPUTED_VALUE"""),2016.0)</f>
        <v>2016</v>
      </c>
      <c r="F664" s="9">
        <f>IFERROR(__xludf.DUMMYFUNCTION("""COMPUTED_VALUE"""),750.0)</f>
        <v>750</v>
      </c>
      <c r="G664" s="9">
        <f>IFERROR(__xludf.DUMMYFUNCTION("""COMPUTED_VALUE"""),6.0)</f>
        <v>6</v>
      </c>
      <c r="H664" s="10">
        <f>IFERROR(__xludf.DUMMYFUNCTION("""COMPUTED_VALUE"""),1.0)</f>
        <v>1</v>
      </c>
      <c r="I664" s="11">
        <f>IFERROR(__xludf.DUMMYFUNCTION("""COMPUTED_VALUE"""),453.0)</f>
        <v>453</v>
      </c>
      <c r="J664" s="9" t="str">
        <f>IFERROR(__xludf.DUMMYFUNCTION("""COMPUTED_VALUE"""),"UK")</f>
        <v>UK</v>
      </c>
      <c r="K664" s="8"/>
      <c r="L664" s="12"/>
      <c r="M664" s="13"/>
      <c r="N664" s="13" t="str">
        <f>IFERROR(__xludf.DUMMYFUNCTION("IF(ISBLANK(M664),"""",M664*GOOGLEFINANCE(""USDGBP""))"),"")</f>
        <v/>
      </c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</row>
    <row r="665">
      <c r="A665" s="8" t="str">
        <f>IFERROR(__xludf.DUMMYFUNCTION("""COMPUTED_VALUE"""),"101238720171200750")</f>
        <v>101238720171200750</v>
      </c>
      <c r="B665" s="9" t="str">
        <f>IFERROR(__xludf.DUMMYFUNCTION("""COMPUTED_VALUE"""),"France")</f>
        <v>France</v>
      </c>
      <c r="C665" s="9" t="str">
        <f>IFERROR(__xludf.DUMMYFUNCTION("""COMPUTED_VALUE"""),"bordeaux")</f>
        <v>bordeaux</v>
      </c>
      <c r="D665" s="9" t="str">
        <f>IFERROR(__xludf.DUMMYFUNCTION("""COMPUTED_VALUE"""),"Chateau Leoville Poyferre 2eme Cru Classe, Saint-Julien")</f>
        <v>Chateau Leoville Poyferre 2eme Cru Classe, Saint-Julien</v>
      </c>
      <c r="E665" s="9">
        <f>IFERROR(__xludf.DUMMYFUNCTION("""COMPUTED_VALUE"""),2017.0)</f>
        <v>2017</v>
      </c>
      <c r="F665" s="9">
        <f>IFERROR(__xludf.DUMMYFUNCTION("""COMPUTED_VALUE"""),750.0)</f>
        <v>750</v>
      </c>
      <c r="G665" s="9">
        <f>IFERROR(__xludf.DUMMYFUNCTION("""COMPUTED_VALUE"""),12.0)</f>
        <v>12</v>
      </c>
      <c r="H665" s="10">
        <f>IFERROR(__xludf.DUMMYFUNCTION("""COMPUTED_VALUE"""),1.0)</f>
        <v>1</v>
      </c>
      <c r="I665" s="11">
        <f>IFERROR(__xludf.DUMMYFUNCTION("""COMPUTED_VALUE"""),692.0)</f>
        <v>692</v>
      </c>
      <c r="J665" s="9" t="str">
        <f>IFERROR(__xludf.DUMMYFUNCTION("""COMPUTED_VALUE"""),"UK")</f>
        <v>UK</v>
      </c>
      <c r="K665" s="8"/>
      <c r="L665" s="12"/>
      <c r="M665" s="13"/>
      <c r="N665" s="13" t="str">
        <f>IFERROR(__xludf.DUMMYFUNCTION("IF(ISBLANK(M665),"""",M665*GOOGLEFINANCE(""USDGBP""))"),"")</f>
        <v/>
      </c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</row>
    <row r="666">
      <c r="A666" s="8" t="str">
        <f>IFERROR(__xludf.DUMMYFUNCTION("""COMPUTED_VALUE"""),"101238720190600750")</f>
        <v>101238720190600750</v>
      </c>
      <c r="B666" s="9" t="str">
        <f>IFERROR(__xludf.DUMMYFUNCTION("""COMPUTED_VALUE"""),"France")</f>
        <v>France</v>
      </c>
      <c r="C666" s="9" t="str">
        <f>IFERROR(__xludf.DUMMYFUNCTION("""COMPUTED_VALUE"""),"bordeaux")</f>
        <v>bordeaux</v>
      </c>
      <c r="D666" s="9" t="str">
        <f>IFERROR(__xludf.DUMMYFUNCTION("""COMPUTED_VALUE"""),"Chateau Leoville Poyferre 2eme Cru Classe, Saint-Julien")</f>
        <v>Chateau Leoville Poyferre 2eme Cru Classe, Saint-Julien</v>
      </c>
      <c r="E666" s="9">
        <f>IFERROR(__xludf.DUMMYFUNCTION("""COMPUTED_VALUE"""),2019.0)</f>
        <v>2019</v>
      </c>
      <c r="F666" s="9">
        <f>IFERROR(__xludf.DUMMYFUNCTION("""COMPUTED_VALUE"""),750.0)</f>
        <v>750</v>
      </c>
      <c r="G666" s="9">
        <f>IFERROR(__xludf.DUMMYFUNCTION("""COMPUTED_VALUE"""),6.0)</f>
        <v>6</v>
      </c>
      <c r="H666" s="10">
        <f>IFERROR(__xludf.DUMMYFUNCTION("""COMPUTED_VALUE"""),1.0)</f>
        <v>1</v>
      </c>
      <c r="I666" s="11">
        <f>IFERROR(__xludf.DUMMYFUNCTION("""COMPUTED_VALUE"""),376.0)</f>
        <v>376</v>
      </c>
      <c r="J666" s="9" t="str">
        <f>IFERROR(__xludf.DUMMYFUNCTION("""COMPUTED_VALUE"""),"UK")</f>
        <v>UK</v>
      </c>
      <c r="K666" s="8"/>
      <c r="L666" s="12"/>
      <c r="M666" s="13"/>
      <c r="N666" s="13" t="str">
        <f>IFERROR(__xludf.DUMMYFUNCTION("IF(ISBLANK(M666),"""",M666*GOOGLEFINANCE(""USDGBP""))"),"")</f>
        <v/>
      </c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</row>
    <row r="667">
      <c r="A667" s="8" t="str">
        <f>IFERROR(__xludf.DUMMYFUNCTION("""COMPUTED_VALUE"""),"101257620181200750")</f>
        <v>101257620181200750</v>
      </c>
      <c r="B667" s="9" t="str">
        <f>IFERROR(__xludf.DUMMYFUNCTION("""COMPUTED_VALUE"""),"France")</f>
        <v>France</v>
      </c>
      <c r="C667" s="9" t="str">
        <f>IFERROR(__xludf.DUMMYFUNCTION("""COMPUTED_VALUE"""),"bordeaux")</f>
        <v>bordeaux</v>
      </c>
      <c r="D667" s="9" t="str">
        <f>IFERROR(__xludf.DUMMYFUNCTION("""COMPUTED_VALUE"""),"Chateau Lynch-Bages 5eme Cru Classe, Pauillac")</f>
        <v>Chateau Lynch-Bages 5eme Cru Classe, Pauillac</v>
      </c>
      <c r="E667" s="9">
        <f>IFERROR(__xludf.DUMMYFUNCTION("""COMPUTED_VALUE"""),2018.0)</f>
        <v>2018</v>
      </c>
      <c r="F667" s="9">
        <f>IFERROR(__xludf.DUMMYFUNCTION("""COMPUTED_VALUE"""),750.0)</f>
        <v>750</v>
      </c>
      <c r="G667" s="9">
        <f>IFERROR(__xludf.DUMMYFUNCTION("""COMPUTED_VALUE"""),12.0)</f>
        <v>12</v>
      </c>
      <c r="H667" s="10">
        <f>IFERROR(__xludf.DUMMYFUNCTION("""COMPUTED_VALUE"""),2.0)</f>
        <v>2</v>
      </c>
      <c r="I667" s="11">
        <f>IFERROR(__xludf.DUMMYFUNCTION("""COMPUTED_VALUE"""),1075.0)</f>
        <v>1075</v>
      </c>
      <c r="J667" s="9" t="str">
        <f>IFERROR(__xludf.DUMMYFUNCTION("""COMPUTED_VALUE"""),"UK")</f>
        <v>UK</v>
      </c>
      <c r="K667" s="8"/>
      <c r="L667" s="12"/>
      <c r="M667" s="13"/>
      <c r="N667" s="13" t="str">
        <f>IFERROR(__xludf.DUMMYFUNCTION("IF(ISBLANK(M667),"""",M667*GOOGLEFINANCE(""USDGBP""))"),"")</f>
        <v/>
      </c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</row>
    <row r="668">
      <c r="A668" s="8" t="str">
        <f>IFERROR(__xludf.DUMMYFUNCTION("""COMPUTED_VALUE"""),"101269320161200750")</f>
        <v>101269320161200750</v>
      </c>
      <c r="B668" s="9" t="str">
        <f>IFERROR(__xludf.DUMMYFUNCTION("""COMPUTED_VALUE"""),"France")</f>
        <v>France</v>
      </c>
      <c r="C668" s="9" t="str">
        <f>IFERROR(__xludf.DUMMYFUNCTION("""COMPUTED_VALUE"""),"bordeaux")</f>
        <v>bordeaux</v>
      </c>
      <c r="D668" s="9" t="str">
        <f>IFERROR(__xludf.DUMMYFUNCTION("""COMPUTED_VALUE"""),"Chateau Malescot St. Exupery 3eme Cru Classe, Margaux")</f>
        <v>Chateau Malescot St. Exupery 3eme Cru Classe, Margaux</v>
      </c>
      <c r="E668" s="9">
        <f>IFERROR(__xludf.DUMMYFUNCTION("""COMPUTED_VALUE"""),2016.0)</f>
        <v>2016</v>
      </c>
      <c r="F668" s="9">
        <f>IFERROR(__xludf.DUMMYFUNCTION("""COMPUTED_VALUE"""),750.0)</f>
        <v>750</v>
      </c>
      <c r="G668" s="9">
        <f>IFERROR(__xludf.DUMMYFUNCTION("""COMPUTED_VALUE"""),12.0)</f>
        <v>12</v>
      </c>
      <c r="H668" s="10">
        <f>IFERROR(__xludf.DUMMYFUNCTION("""COMPUTED_VALUE"""),3.0)</f>
        <v>3</v>
      </c>
      <c r="I668" s="11">
        <f>IFERROR(__xludf.DUMMYFUNCTION("""COMPUTED_VALUE"""),537.0)</f>
        <v>537</v>
      </c>
      <c r="J668" s="9" t="str">
        <f>IFERROR(__xludf.DUMMYFUNCTION("""COMPUTED_VALUE"""),"UK")</f>
        <v>UK</v>
      </c>
      <c r="K668" s="8"/>
      <c r="L668" s="12"/>
      <c r="M668" s="13"/>
      <c r="N668" s="13" t="str">
        <f>IFERROR(__xludf.DUMMYFUNCTION("IF(ISBLANK(M668),"""",M668*GOOGLEFINANCE(""USDGBP""))"),"")</f>
        <v/>
      </c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</row>
    <row r="669">
      <c r="A669" s="8" t="str">
        <f>IFERROR(__xludf.DUMMYFUNCTION("""COMPUTED_VALUE"""),"101278120190100750")</f>
        <v>101278120190100750</v>
      </c>
      <c r="B669" s="9" t="str">
        <f>IFERROR(__xludf.DUMMYFUNCTION("""COMPUTED_VALUE"""),"France")</f>
        <v>France</v>
      </c>
      <c r="C669" s="9" t="str">
        <f>IFERROR(__xludf.DUMMYFUNCTION("""COMPUTED_VALUE"""),"bordeaux")</f>
        <v>bordeaux</v>
      </c>
      <c r="D669" s="9" t="str">
        <f>IFERROR(__xludf.DUMMYFUNCTION("""COMPUTED_VALUE"""),"Chateau Margaux Premier Cru Classe, Margaux")</f>
        <v>Chateau Margaux Premier Cru Classe, Margaux</v>
      </c>
      <c r="E669" s="9">
        <f>IFERROR(__xludf.DUMMYFUNCTION("""COMPUTED_VALUE"""),2019.0)</f>
        <v>2019</v>
      </c>
      <c r="F669" s="9">
        <f>IFERROR(__xludf.DUMMYFUNCTION("""COMPUTED_VALUE"""),750.0)</f>
        <v>750</v>
      </c>
      <c r="G669" s="9">
        <f>IFERROR(__xludf.DUMMYFUNCTION("""COMPUTED_VALUE"""),1.0)</f>
        <v>1</v>
      </c>
      <c r="H669" s="10">
        <f>IFERROR(__xludf.DUMMYFUNCTION("""COMPUTED_VALUE"""),1.0)</f>
        <v>1</v>
      </c>
      <c r="I669" s="11">
        <f>IFERROR(__xludf.DUMMYFUNCTION("""COMPUTED_VALUE"""),491.0)</f>
        <v>491</v>
      </c>
      <c r="J669" s="9" t="str">
        <f>IFERROR(__xludf.DUMMYFUNCTION("""COMPUTED_VALUE"""),"UK")</f>
        <v>UK</v>
      </c>
      <c r="K669" s="8"/>
      <c r="L669" s="12"/>
      <c r="M669" s="13"/>
      <c r="N669" s="13" t="str">
        <f>IFERROR(__xludf.DUMMYFUNCTION("IF(ISBLANK(M669),"""",M669*GOOGLEFINANCE(""USDGBP""))"),"")</f>
        <v/>
      </c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</row>
    <row r="670">
      <c r="A670" s="8" t="str">
        <f>IFERROR(__xludf.DUMMYFUNCTION("""COMPUTED_VALUE"""),"101283720170600750")</f>
        <v>101283720170600750</v>
      </c>
      <c r="B670" s="9" t="str">
        <f>IFERROR(__xludf.DUMMYFUNCTION("""COMPUTED_VALUE"""),"France")</f>
        <v>France</v>
      </c>
      <c r="C670" s="9" t="str">
        <f>IFERROR(__xludf.DUMMYFUNCTION("""COMPUTED_VALUE"""),"bordeaux")</f>
        <v>bordeaux</v>
      </c>
      <c r="D670" s="9" t="str">
        <f>IFERROR(__xludf.DUMMYFUNCTION("""COMPUTED_VALUE"""),"Chateau Marquis de Terme 4eme Cru Classe, Margaux")</f>
        <v>Chateau Marquis de Terme 4eme Cru Classe, Margaux</v>
      </c>
      <c r="E670" s="9">
        <f>IFERROR(__xludf.DUMMYFUNCTION("""COMPUTED_VALUE"""),2017.0)</f>
        <v>2017</v>
      </c>
      <c r="F670" s="9">
        <f>IFERROR(__xludf.DUMMYFUNCTION("""COMPUTED_VALUE"""),750.0)</f>
        <v>750</v>
      </c>
      <c r="G670" s="9">
        <f>IFERROR(__xludf.DUMMYFUNCTION("""COMPUTED_VALUE"""),6.0)</f>
        <v>6</v>
      </c>
      <c r="H670" s="10">
        <f>IFERROR(__xludf.DUMMYFUNCTION("""COMPUTED_VALUE"""),1.0)</f>
        <v>1</v>
      </c>
      <c r="I670" s="11">
        <f>IFERROR(__xludf.DUMMYFUNCTION("""COMPUTED_VALUE"""),161.0)</f>
        <v>161</v>
      </c>
      <c r="J670" s="9" t="str">
        <f>IFERROR(__xludf.DUMMYFUNCTION("""COMPUTED_VALUE"""),"UK")</f>
        <v>UK</v>
      </c>
      <c r="K670" s="8"/>
      <c r="L670" s="12"/>
      <c r="M670" s="13"/>
      <c r="N670" s="13" t="str">
        <f>IFERROR(__xludf.DUMMYFUNCTION("IF(ISBLANK(M670),"""",M670*GOOGLEFINANCE(""USDGBP""))"),"")</f>
        <v/>
      </c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</row>
    <row r="671">
      <c r="A671" s="8" t="str">
        <f>IFERROR(__xludf.DUMMYFUNCTION("""COMPUTED_VALUE"""),"101329620101200750")</f>
        <v>101329620101200750</v>
      </c>
      <c r="B671" s="9" t="str">
        <f>IFERROR(__xludf.DUMMYFUNCTION("""COMPUTED_VALUE"""),"France")</f>
        <v>France</v>
      </c>
      <c r="C671" s="9" t="str">
        <f>IFERROR(__xludf.DUMMYFUNCTION("""COMPUTED_VALUE"""),"bordeaux")</f>
        <v>bordeaux</v>
      </c>
      <c r="D671" s="9" t="str">
        <f>IFERROR(__xludf.DUMMYFUNCTION("""COMPUTED_VALUE"""),"Chateau Montrose 2eme Cru Classe, Saint-Estephe")</f>
        <v>Chateau Montrose 2eme Cru Classe, Saint-Estephe</v>
      </c>
      <c r="E671" s="9">
        <f>IFERROR(__xludf.DUMMYFUNCTION("""COMPUTED_VALUE"""),2010.0)</f>
        <v>2010</v>
      </c>
      <c r="F671" s="9">
        <f>IFERROR(__xludf.DUMMYFUNCTION("""COMPUTED_VALUE"""),750.0)</f>
        <v>750</v>
      </c>
      <c r="G671" s="9">
        <f>IFERROR(__xludf.DUMMYFUNCTION("""COMPUTED_VALUE"""),12.0)</f>
        <v>12</v>
      </c>
      <c r="H671" s="10">
        <f>IFERROR(__xludf.DUMMYFUNCTION("""COMPUTED_VALUE"""),2.0)</f>
        <v>2</v>
      </c>
      <c r="I671" s="11">
        <f>IFERROR(__xludf.DUMMYFUNCTION("""COMPUTED_VALUE"""),2016.0)</f>
        <v>2016</v>
      </c>
      <c r="J671" s="9" t="str">
        <f>IFERROR(__xludf.DUMMYFUNCTION("""COMPUTED_VALUE"""),"UK")</f>
        <v>UK</v>
      </c>
      <c r="K671" s="8"/>
      <c r="L671" s="12"/>
      <c r="M671" s="13"/>
      <c r="N671" s="13" t="str">
        <f>IFERROR(__xludf.DUMMYFUNCTION("IF(ISBLANK(M671),"""",M671*GOOGLEFINANCE(""USDGBP""))"),"")</f>
        <v/>
      </c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</row>
    <row r="672">
      <c r="A672" s="8" t="str">
        <f>IFERROR(__xludf.DUMMYFUNCTION("""COMPUTED_VALUE"""),"101329620140600750")</f>
        <v>101329620140600750</v>
      </c>
      <c r="B672" s="9" t="str">
        <f>IFERROR(__xludf.DUMMYFUNCTION("""COMPUTED_VALUE"""),"France")</f>
        <v>France</v>
      </c>
      <c r="C672" s="9" t="str">
        <f>IFERROR(__xludf.DUMMYFUNCTION("""COMPUTED_VALUE"""),"bordeaux")</f>
        <v>bordeaux</v>
      </c>
      <c r="D672" s="9" t="str">
        <f>IFERROR(__xludf.DUMMYFUNCTION("""COMPUTED_VALUE"""),"Chateau Montrose 2eme Cru Classe, Saint-Estephe")</f>
        <v>Chateau Montrose 2eme Cru Classe, Saint-Estephe</v>
      </c>
      <c r="E672" s="9">
        <f>IFERROR(__xludf.DUMMYFUNCTION("""COMPUTED_VALUE"""),2014.0)</f>
        <v>2014</v>
      </c>
      <c r="F672" s="9">
        <f>IFERROR(__xludf.DUMMYFUNCTION("""COMPUTED_VALUE"""),750.0)</f>
        <v>750</v>
      </c>
      <c r="G672" s="9">
        <f>IFERROR(__xludf.DUMMYFUNCTION("""COMPUTED_VALUE"""),6.0)</f>
        <v>6</v>
      </c>
      <c r="H672" s="10">
        <f>IFERROR(__xludf.DUMMYFUNCTION("""COMPUTED_VALUE"""),1.0)</f>
        <v>1</v>
      </c>
      <c r="I672" s="11">
        <f>IFERROR(__xludf.DUMMYFUNCTION("""COMPUTED_VALUE"""),543.0)</f>
        <v>543</v>
      </c>
      <c r="J672" s="9" t="str">
        <f>IFERROR(__xludf.DUMMYFUNCTION("""COMPUTED_VALUE"""),"UK")</f>
        <v>UK</v>
      </c>
      <c r="K672" s="8"/>
      <c r="L672" s="12"/>
      <c r="M672" s="13"/>
      <c r="N672" s="13" t="str">
        <f>IFERROR(__xludf.DUMMYFUNCTION("IF(ISBLANK(M672),"""",M672*GOOGLEFINANCE(""USDGBP""))"),"")</f>
        <v/>
      </c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</row>
    <row r="673">
      <c r="A673" s="8" t="str">
        <f>IFERROR(__xludf.DUMMYFUNCTION("""COMPUTED_VALUE"""),"101329620150600750")</f>
        <v>101329620150600750</v>
      </c>
      <c r="B673" s="9" t="str">
        <f>IFERROR(__xludf.DUMMYFUNCTION("""COMPUTED_VALUE"""),"France")</f>
        <v>France</v>
      </c>
      <c r="C673" s="9" t="str">
        <f>IFERROR(__xludf.DUMMYFUNCTION("""COMPUTED_VALUE"""),"bordeaux")</f>
        <v>bordeaux</v>
      </c>
      <c r="D673" s="9" t="str">
        <f>IFERROR(__xludf.DUMMYFUNCTION("""COMPUTED_VALUE"""),"Chateau Montrose 2eme Cru Classe, Saint-Estephe")</f>
        <v>Chateau Montrose 2eme Cru Classe, Saint-Estephe</v>
      </c>
      <c r="E673" s="9">
        <f>IFERROR(__xludf.DUMMYFUNCTION("""COMPUTED_VALUE"""),2015.0)</f>
        <v>2015</v>
      </c>
      <c r="F673" s="9">
        <f>IFERROR(__xludf.DUMMYFUNCTION("""COMPUTED_VALUE"""),750.0)</f>
        <v>750</v>
      </c>
      <c r="G673" s="9">
        <f>IFERROR(__xludf.DUMMYFUNCTION("""COMPUTED_VALUE"""),6.0)</f>
        <v>6</v>
      </c>
      <c r="H673" s="10">
        <f>IFERROR(__xludf.DUMMYFUNCTION("""COMPUTED_VALUE"""),4.0)</f>
        <v>4</v>
      </c>
      <c r="I673" s="11">
        <f>IFERROR(__xludf.DUMMYFUNCTION("""COMPUTED_VALUE"""),638.0)</f>
        <v>638</v>
      </c>
      <c r="J673" s="9" t="str">
        <f>IFERROR(__xludf.DUMMYFUNCTION("""COMPUTED_VALUE"""),"UK")</f>
        <v>UK</v>
      </c>
      <c r="K673" s="8"/>
      <c r="L673" s="12"/>
      <c r="M673" s="13"/>
      <c r="N673" s="13" t="str">
        <f>IFERROR(__xludf.DUMMYFUNCTION("IF(ISBLANK(M673),"""",M673*GOOGLEFINANCE(""USDGBP""))"),"")</f>
        <v/>
      </c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</row>
    <row r="674">
      <c r="A674" s="8" t="str">
        <f>IFERROR(__xludf.DUMMYFUNCTION("""COMPUTED_VALUE"""),"101329620171200750")</f>
        <v>101329620171200750</v>
      </c>
      <c r="B674" s="9" t="str">
        <f>IFERROR(__xludf.DUMMYFUNCTION("""COMPUTED_VALUE"""),"France")</f>
        <v>France</v>
      </c>
      <c r="C674" s="9" t="str">
        <f>IFERROR(__xludf.DUMMYFUNCTION("""COMPUTED_VALUE"""),"bordeaux")</f>
        <v>bordeaux</v>
      </c>
      <c r="D674" s="9" t="str">
        <f>IFERROR(__xludf.DUMMYFUNCTION("""COMPUTED_VALUE"""),"Chateau Montrose 2eme Cru Classe, Saint-Estephe")</f>
        <v>Chateau Montrose 2eme Cru Classe, Saint-Estephe</v>
      </c>
      <c r="E674" s="9">
        <f>IFERROR(__xludf.DUMMYFUNCTION("""COMPUTED_VALUE"""),2017.0)</f>
        <v>2017</v>
      </c>
      <c r="F674" s="9">
        <f>IFERROR(__xludf.DUMMYFUNCTION("""COMPUTED_VALUE"""),750.0)</f>
        <v>750</v>
      </c>
      <c r="G674" s="9">
        <f>IFERROR(__xludf.DUMMYFUNCTION("""COMPUTED_VALUE"""),12.0)</f>
        <v>12</v>
      </c>
      <c r="H674" s="10">
        <f>IFERROR(__xludf.DUMMYFUNCTION("""COMPUTED_VALUE"""),3.0)</f>
        <v>3</v>
      </c>
      <c r="I674" s="11">
        <f>IFERROR(__xludf.DUMMYFUNCTION("""COMPUTED_VALUE"""),1052.0)</f>
        <v>1052</v>
      </c>
      <c r="J674" s="9" t="str">
        <f>IFERROR(__xludf.DUMMYFUNCTION("""COMPUTED_VALUE"""),"UK")</f>
        <v>UK</v>
      </c>
      <c r="K674" s="8"/>
      <c r="L674" s="12"/>
      <c r="M674" s="13"/>
      <c r="N674" s="13" t="str">
        <f>IFERROR(__xludf.DUMMYFUNCTION("IF(ISBLANK(M674),"""",M674*GOOGLEFINANCE(""USDGBP""))"),"")</f>
        <v/>
      </c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</row>
    <row r="675">
      <c r="A675" s="8" t="str">
        <f>IFERROR(__xludf.DUMMYFUNCTION("""COMPUTED_VALUE"""),"101329620180600750")</f>
        <v>101329620180600750</v>
      </c>
      <c r="B675" s="9" t="str">
        <f>IFERROR(__xludf.DUMMYFUNCTION("""COMPUTED_VALUE"""),"France")</f>
        <v>France</v>
      </c>
      <c r="C675" s="9" t="str">
        <f>IFERROR(__xludf.DUMMYFUNCTION("""COMPUTED_VALUE"""),"bordeaux")</f>
        <v>bordeaux</v>
      </c>
      <c r="D675" s="9" t="str">
        <f>IFERROR(__xludf.DUMMYFUNCTION("""COMPUTED_VALUE"""),"Chateau Montrose 2eme Cru Classe, Saint-Estephe")</f>
        <v>Chateau Montrose 2eme Cru Classe, Saint-Estephe</v>
      </c>
      <c r="E675" s="9">
        <f>IFERROR(__xludf.DUMMYFUNCTION("""COMPUTED_VALUE"""),2018.0)</f>
        <v>2018</v>
      </c>
      <c r="F675" s="9">
        <f>IFERROR(__xludf.DUMMYFUNCTION("""COMPUTED_VALUE"""),750.0)</f>
        <v>750</v>
      </c>
      <c r="G675" s="9">
        <f>IFERROR(__xludf.DUMMYFUNCTION("""COMPUTED_VALUE"""),6.0)</f>
        <v>6</v>
      </c>
      <c r="H675" s="10">
        <f>IFERROR(__xludf.DUMMYFUNCTION("""COMPUTED_VALUE"""),3.0)</f>
        <v>3</v>
      </c>
      <c r="I675" s="11">
        <f>IFERROR(__xludf.DUMMYFUNCTION("""COMPUTED_VALUE"""),810.0)</f>
        <v>810</v>
      </c>
      <c r="J675" s="9" t="str">
        <f>IFERROR(__xludf.DUMMYFUNCTION("""COMPUTED_VALUE"""),"UK")</f>
        <v>UK</v>
      </c>
      <c r="K675" s="8"/>
      <c r="L675" s="12"/>
      <c r="M675" s="13"/>
      <c r="N675" s="13" t="str">
        <f>IFERROR(__xludf.DUMMYFUNCTION("IF(ISBLANK(M675),"""",M675*GOOGLEFINANCE(""USDGBP""))"),"")</f>
        <v/>
      </c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</row>
    <row r="676">
      <c r="A676" s="8" t="str">
        <f>IFERROR(__xludf.DUMMYFUNCTION("""COMPUTED_VALUE"""),"101354420180600750")</f>
        <v>101354420180600750</v>
      </c>
      <c r="B676" s="9" t="str">
        <f>IFERROR(__xludf.DUMMYFUNCTION("""COMPUTED_VALUE"""),"France")</f>
        <v>France</v>
      </c>
      <c r="C676" s="9" t="str">
        <f>IFERROR(__xludf.DUMMYFUNCTION("""COMPUTED_VALUE"""),"bordeaux")</f>
        <v>bordeaux</v>
      </c>
      <c r="D676" s="9" t="str">
        <f>IFERROR(__xludf.DUMMYFUNCTION("""COMPUTED_VALUE"""),"Chateau Mouton Rothschild Premier Cru Classe, Pauillac")</f>
        <v>Chateau Mouton Rothschild Premier Cru Classe, Pauillac</v>
      </c>
      <c r="E676" s="9">
        <f>IFERROR(__xludf.DUMMYFUNCTION("""COMPUTED_VALUE"""),2018.0)</f>
        <v>2018</v>
      </c>
      <c r="F676" s="9">
        <f>IFERROR(__xludf.DUMMYFUNCTION("""COMPUTED_VALUE"""),750.0)</f>
        <v>750</v>
      </c>
      <c r="G676" s="9">
        <f>IFERROR(__xludf.DUMMYFUNCTION("""COMPUTED_VALUE"""),6.0)</f>
        <v>6</v>
      </c>
      <c r="H676" s="10">
        <f>IFERROR(__xludf.DUMMYFUNCTION("""COMPUTED_VALUE"""),3.0)</f>
        <v>3</v>
      </c>
      <c r="I676" s="11">
        <f>IFERROR(__xludf.DUMMYFUNCTION("""COMPUTED_VALUE"""),2791.0)</f>
        <v>2791</v>
      </c>
      <c r="J676" s="9" t="str">
        <f>IFERROR(__xludf.DUMMYFUNCTION("""COMPUTED_VALUE"""),"UK")</f>
        <v>UK</v>
      </c>
      <c r="K676" s="8"/>
      <c r="L676" s="12"/>
      <c r="M676" s="13"/>
      <c r="N676" s="13" t="str">
        <f>IFERROR(__xludf.DUMMYFUNCTION("IF(ISBLANK(M676),"""",M676*GOOGLEFINANCE(""USDGBP""))"),"")</f>
        <v/>
      </c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</row>
    <row r="677">
      <c r="A677" s="8" t="str">
        <f>IFERROR(__xludf.DUMMYFUNCTION("""COMPUTED_VALUE"""),"101365820180600750")</f>
        <v>101365820180600750</v>
      </c>
      <c r="B677" s="9" t="str">
        <f>IFERROR(__xludf.DUMMYFUNCTION("""COMPUTED_VALUE"""),"France")</f>
        <v>France</v>
      </c>
      <c r="C677" s="9" t="str">
        <f>IFERROR(__xludf.DUMMYFUNCTION("""COMPUTED_VALUE"""),"bordeaux")</f>
        <v>bordeaux</v>
      </c>
      <c r="D677" s="9" t="str">
        <f>IFERROR(__xludf.DUMMYFUNCTION("""COMPUTED_VALUE"""),"Chateau Palmer 3eme Cru Classe, Margaux")</f>
        <v>Chateau Palmer 3eme Cru Classe, Margaux</v>
      </c>
      <c r="E677" s="9">
        <f>IFERROR(__xludf.DUMMYFUNCTION("""COMPUTED_VALUE"""),2018.0)</f>
        <v>2018</v>
      </c>
      <c r="F677" s="9">
        <f>IFERROR(__xludf.DUMMYFUNCTION("""COMPUTED_VALUE"""),750.0)</f>
        <v>750</v>
      </c>
      <c r="G677" s="9">
        <f>IFERROR(__xludf.DUMMYFUNCTION("""COMPUTED_VALUE"""),6.0)</f>
        <v>6</v>
      </c>
      <c r="H677" s="10">
        <f>IFERROR(__xludf.DUMMYFUNCTION("""COMPUTED_VALUE"""),3.0)</f>
        <v>3</v>
      </c>
      <c r="I677" s="11">
        <f>IFERROR(__xludf.DUMMYFUNCTION("""COMPUTED_VALUE"""),1735.0)</f>
        <v>1735</v>
      </c>
      <c r="J677" s="9" t="str">
        <f>IFERROR(__xludf.DUMMYFUNCTION("""COMPUTED_VALUE"""),"UK")</f>
        <v>UK</v>
      </c>
      <c r="K677" s="8"/>
      <c r="L677" s="12"/>
      <c r="M677" s="13"/>
      <c r="N677" s="13" t="str">
        <f>IFERROR(__xludf.DUMMYFUNCTION("IF(ISBLANK(M677),"""",M677*GOOGLEFINANCE(""USDGBP""))"),"")</f>
        <v/>
      </c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</row>
    <row r="678">
      <c r="A678" s="8" t="str">
        <f>IFERROR(__xludf.DUMMYFUNCTION("""COMPUTED_VALUE"""),"101365820190600750")</f>
        <v>101365820190600750</v>
      </c>
      <c r="B678" s="9" t="str">
        <f>IFERROR(__xludf.DUMMYFUNCTION("""COMPUTED_VALUE"""),"France")</f>
        <v>France</v>
      </c>
      <c r="C678" s="9" t="str">
        <f>IFERROR(__xludf.DUMMYFUNCTION("""COMPUTED_VALUE"""),"bordeaux")</f>
        <v>bordeaux</v>
      </c>
      <c r="D678" s="9" t="str">
        <f>IFERROR(__xludf.DUMMYFUNCTION("""COMPUTED_VALUE"""),"Chateau Palmer 3eme Cru Classe, Margaux")</f>
        <v>Chateau Palmer 3eme Cru Classe, Margaux</v>
      </c>
      <c r="E678" s="9">
        <f>IFERROR(__xludf.DUMMYFUNCTION("""COMPUTED_VALUE"""),2019.0)</f>
        <v>2019</v>
      </c>
      <c r="F678" s="9">
        <f>IFERROR(__xludf.DUMMYFUNCTION("""COMPUTED_VALUE"""),750.0)</f>
        <v>750</v>
      </c>
      <c r="G678" s="9">
        <f>IFERROR(__xludf.DUMMYFUNCTION("""COMPUTED_VALUE"""),6.0)</f>
        <v>6</v>
      </c>
      <c r="H678" s="10">
        <f>IFERROR(__xludf.DUMMYFUNCTION("""COMPUTED_VALUE"""),2.0)</f>
        <v>2</v>
      </c>
      <c r="I678" s="11">
        <f>IFERROR(__xludf.DUMMYFUNCTION("""COMPUTED_VALUE"""),1175.0)</f>
        <v>1175</v>
      </c>
      <c r="J678" s="9" t="str">
        <f>IFERROR(__xludf.DUMMYFUNCTION("""COMPUTED_VALUE"""),"UK")</f>
        <v>UK</v>
      </c>
      <c r="K678" s="8"/>
      <c r="L678" s="12"/>
      <c r="M678" s="13"/>
      <c r="N678" s="13" t="str">
        <f>IFERROR(__xludf.DUMMYFUNCTION("IF(ISBLANK(M678),"""",M678*GOOGLEFINANCE(""USDGBP""))"),"")</f>
        <v/>
      </c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</row>
    <row r="679">
      <c r="A679" s="8" t="str">
        <f>IFERROR(__xludf.DUMMYFUNCTION("""COMPUTED_VALUE"""),"101369020080600750")</f>
        <v>101369020080600750</v>
      </c>
      <c r="B679" s="9" t="str">
        <f>IFERROR(__xludf.DUMMYFUNCTION("""COMPUTED_VALUE"""),"France")</f>
        <v>France</v>
      </c>
      <c r="C679" s="9" t="str">
        <f>IFERROR(__xludf.DUMMYFUNCTION("""COMPUTED_VALUE"""),"bordeaux")</f>
        <v>bordeaux</v>
      </c>
      <c r="D679" s="9" t="str">
        <f>IFERROR(__xludf.DUMMYFUNCTION("""COMPUTED_VALUE"""),"Chateau Pape Clement Cru Classe, Pessac-Leognan")</f>
        <v>Chateau Pape Clement Cru Classe, Pessac-Leognan</v>
      </c>
      <c r="E679" s="9">
        <f>IFERROR(__xludf.DUMMYFUNCTION("""COMPUTED_VALUE"""),2008.0)</f>
        <v>2008</v>
      </c>
      <c r="F679" s="9">
        <f>IFERROR(__xludf.DUMMYFUNCTION("""COMPUTED_VALUE"""),750.0)</f>
        <v>750</v>
      </c>
      <c r="G679" s="9">
        <f>IFERROR(__xludf.DUMMYFUNCTION("""COMPUTED_VALUE"""),6.0)</f>
        <v>6</v>
      </c>
      <c r="H679" s="10">
        <f>IFERROR(__xludf.DUMMYFUNCTION("""COMPUTED_VALUE"""),1.0)</f>
        <v>1</v>
      </c>
      <c r="I679" s="11">
        <f>IFERROR(__xludf.DUMMYFUNCTION("""COMPUTED_VALUE"""),470.0)</f>
        <v>470</v>
      </c>
      <c r="J679" s="9" t="str">
        <f>IFERROR(__xludf.DUMMYFUNCTION("""COMPUTED_VALUE"""),"UK")</f>
        <v>UK</v>
      </c>
      <c r="K679" s="8"/>
      <c r="L679" s="12"/>
      <c r="M679" s="13"/>
      <c r="N679" s="13" t="str">
        <f>IFERROR(__xludf.DUMMYFUNCTION("IF(ISBLANK(M679),"""",M679*GOOGLEFINANCE(""USDGBP""))"),"")</f>
        <v/>
      </c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</row>
    <row r="680">
      <c r="A680" s="8" t="str">
        <f>IFERROR(__xludf.DUMMYFUNCTION("""COMPUTED_VALUE"""),"101369020120600750")</f>
        <v>101369020120600750</v>
      </c>
      <c r="B680" s="9" t="str">
        <f>IFERROR(__xludf.DUMMYFUNCTION("""COMPUTED_VALUE"""),"France")</f>
        <v>France</v>
      </c>
      <c r="C680" s="9" t="str">
        <f>IFERROR(__xludf.DUMMYFUNCTION("""COMPUTED_VALUE"""),"bordeaux")</f>
        <v>bordeaux</v>
      </c>
      <c r="D680" s="9" t="str">
        <f>IFERROR(__xludf.DUMMYFUNCTION("""COMPUTED_VALUE"""),"Chateau Pape Clement Cru Classe, Pessac-Leognan")</f>
        <v>Chateau Pape Clement Cru Classe, Pessac-Leognan</v>
      </c>
      <c r="E680" s="9">
        <f>IFERROR(__xludf.DUMMYFUNCTION("""COMPUTED_VALUE"""),2012.0)</f>
        <v>2012</v>
      </c>
      <c r="F680" s="9">
        <f>IFERROR(__xludf.DUMMYFUNCTION("""COMPUTED_VALUE"""),750.0)</f>
        <v>750</v>
      </c>
      <c r="G680" s="9">
        <f>IFERROR(__xludf.DUMMYFUNCTION("""COMPUTED_VALUE"""),6.0)</f>
        <v>6</v>
      </c>
      <c r="H680" s="10">
        <f>IFERROR(__xludf.DUMMYFUNCTION("""COMPUTED_VALUE"""),2.0)</f>
        <v>2</v>
      </c>
      <c r="I680" s="11">
        <f>IFERROR(__xludf.DUMMYFUNCTION("""COMPUTED_VALUE"""),438.0)</f>
        <v>438</v>
      </c>
      <c r="J680" s="9" t="str">
        <f>IFERROR(__xludf.DUMMYFUNCTION("""COMPUTED_VALUE"""),"UK")</f>
        <v>UK</v>
      </c>
      <c r="K680" s="8"/>
      <c r="L680" s="12"/>
      <c r="M680" s="13"/>
      <c r="N680" s="13" t="str">
        <f>IFERROR(__xludf.DUMMYFUNCTION("IF(ISBLANK(M680),"""",M680*GOOGLEFINANCE(""USDGBP""))"),"")</f>
        <v/>
      </c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</row>
    <row r="681">
      <c r="A681" s="8" t="str">
        <f>IFERROR(__xludf.DUMMYFUNCTION("""COMPUTED_VALUE"""),"101369020170301500")</f>
        <v>101369020170301500</v>
      </c>
      <c r="B681" s="9" t="str">
        <f>IFERROR(__xludf.DUMMYFUNCTION("""COMPUTED_VALUE"""),"France")</f>
        <v>France</v>
      </c>
      <c r="C681" s="9" t="str">
        <f>IFERROR(__xludf.DUMMYFUNCTION("""COMPUTED_VALUE"""),"bordeaux")</f>
        <v>bordeaux</v>
      </c>
      <c r="D681" s="9" t="str">
        <f>IFERROR(__xludf.DUMMYFUNCTION("""COMPUTED_VALUE"""),"Chateau Pape Clement Cru Classe, Pessac-Leognan")</f>
        <v>Chateau Pape Clement Cru Classe, Pessac-Leognan</v>
      </c>
      <c r="E681" s="9">
        <f>IFERROR(__xludf.DUMMYFUNCTION("""COMPUTED_VALUE"""),2017.0)</f>
        <v>2017</v>
      </c>
      <c r="F681" s="9">
        <f>IFERROR(__xludf.DUMMYFUNCTION("""COMPUTED_VALUE"""),1500.0)</f>
        <v>1500</v>
      </c>
      <c r="G681" s="9">
        <f>IFERROR(__xludf.DUMMYFUNCTION("""COMPUTED_VALUE"""),3.0)</f>
        <v>3</v>
      </c>
      <c r="H681" s="10">
        <f>IFERROR(__xludf.DUMMYFUNCTION("""COMPUTED_VALUE"""),1.0)</f>
        <v>1</v>
      </c>
      <c r="I681" s="11">
        <f>IFERROR(__xludf.DUMMYFUNCTION("""COMPUTED_VALUE"""),341.0)</f>
        <v>341</v>
      </c>
      <c r="J681" s="9" t="str">
        <f>IFERROR(__xludf.DUMMYFUNCTION("""COMPUTED_VALUE"""),"UK")</f>
        <v>UK</v>
      </c>
      <c r="K681" s="8"/>
      <c r="L681" s="12"/>
      <c r="M681" s="13"/>
      <c r="N681" s="13" t="str">
        <f>IFERROR(__xludf.DUMMYFUNCTION("IF(ISBLANK(M681),"""",M681*GOOGLEFINANCE(""USDGBP""))"),"")</f>
        <v/>
      </c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</row>
    <row r="682">
      <c r="A682" s="8" t="str">
        <f>IFERROR(__xludf.DUMMYFUNCTION("""COMPUTED_VALUE"""),"101369020181200750")</f>
        <v>101369020181200750</v>
      </c>
      <c r="B682" s="9" t="str">
        <f>IFERROR(__xludf.DUMMYFUNCTION("""COMPUTED_VALUE"""),"France")</f>
        <v>France</v>
      </c>
      <c r="C682" s="9" t="str">
        <f>IFERROR(__xludf.DUMMYFUNCTION("""COMPUTED_VALUE"""),"bordeaux")</f>
        <v>bordeaux</v>
      </c>
      <c r="D682" s="9" t="str">
        <f>IFERROR(__xludf.DUMMYFUNCTION("""COMPUTED_VALUE"""),"Chateau Pape Clement Cru Classe, Pessac-Leognan")</f>
        <v>Chateau Pape Clement Cru Classe, Pessac-Leognan</v>
      </c>
      <c r="E682" s="9">
        <f>IFERROR(__xludf.DUMMYFUNCTION("""COMPUTED_VALUE"""),2018.0)</f>
        <v>2018</v>
      </c>
      <c r="F682" s="9">
        <f>IFERROR(__xludf.DUMMYFUNCTION("""COMPUTED_VALUE"""),750.0)</f>
        <v>750</v>
      </c>
      <c r="G682" s="9">
        <f>IFERROR(__xludf.DUMMYFUNCTION("""COMPUTED_VALUE"""),12.0)</f>
        <v>12</v>
      </c>
      <c r="H682" s="10">
        <f>IFERROR(__xludf.DUMMYFUNCTION("""COMPUTED_VALUE"""),1.0)</f>
        <v>1</v>
      </c>
      <c r="I682" s="11">
        <f>IFERROR(__xludf.DUMMYFUNCTION("""COMPUTED_VALUE"""),699.0)</f>
        <v>699</v>
      </c>
      <c r="J682" s="9" t="str">
        <f>IFERROR(__xludf.DUMMYFUNCTION("""COMPUTED_VALUE"""),"UK")</f>
        <v>UK</v>
      </c>
      <c r="K682" s="8"/>
      <c r="L682" s="12"/>
      <c r="M682" s="13"/>
      <c r="N682" s="13" t="str">
        <f>IFERROR(__xludf.DUMMYFUNCTION("IF(ISBLANK(M682),"""",M682*GOOGLEFINANCE(""USDGBP""))"),"")</f>
        <v/>
      </c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</row>
    <row r="683">
      <c r="A683" s="8" t="str">
        <f>IFERROR(__xludf.DUMMYFUNCTION("""COMPUTED_VALUE"""),"101386320100600750")</f>
        <v>101386320100600750</v>
      </c>
      <c r="B683" s="9" t="str">
        <f>IFERROR(__xludf.DUMMYFUNCTION("""COMPUTED_VALUE"""),"France")</f>
        <v>France</v>
      </c>
      <c r="C683" s="9" t="str">
        <f>IFERROR(__xludf.DUMMYFUNCTION("""COMPUTED_VALUE"""),"bordeaux")</f>
        <v>bordeaux</v>
      </c>
      <c r="D683" s="9" t="str">
        <f>IFERROR(__xludf.DUMMYFUNCTION("""COMPUTED_VALUE"""),"Chateau Pavie Decesse Grand Cru Classe, Saint-Emilion Grand Cru")</f>
        <v>Chateau Pavie Decesse Grand Cru Classe, Saint-Emilion Grand Cru</v>
      </c>
      <c r="E683" s="9">
        <f>IFERROR(__xludf.DUMMYFUNCTION("""COMPUTED_VALUE"""),2010.0)</f>
        <v>2010</v>
      </c>
      <c r="F683" s="9">
        <f>IFERROR(__xludf.DUMMYFUNCTION("""COMPUTED_VALUE"""),750.0)</f>
        <v>750</v>
      </c>
      <c r="G683" s="9">
        <f>IFERROR(__xludf.DUMMYFUNCTION("""COMPUTED_VALUE"""),6.0)</f>
        <v>6</v>
      </c>
      <c r="H683" s="10">
        <f>IFERROR(__xludf.DUMMYFUNCTION("""COMPUTED_VALUE"""),3.0)</f>
        <v>3</v>
      </c>
      <c r="I683" s="11">
        <f>IFERROR(__xludf.DUMMYFUNCTION("""COMPUTED_VALUE"""),784.0)</f>
        <v>784</v>
      </c>
      <c r="J683" s="9" t="str">
        <f>IFERROR(__xludf.DUMMYFUNCTION("""COMPUTED_VALUE"""),"UK")</f>
        <v>UK</v>
      </c>
      <c r="K683" s="8"/>
      <c r="L683" s="12"/>
      <c r="M683" s="13"/>
      <c r="N683" s="13" t="str">
        <f>IFERROR(__xludf.DUMMYFUNCTION("IF(ISBLANK(M683),"""",M683*GOOGLEFINANCE(""USDGBP""))"),"")</f>
        <v/>
      </c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</row>
    <row r="684">
      <c r="A684" s="8" t="str">
        <f>IFERROR(__xludf.DUMMYFUNCTION("""COMPUTED_VALUE"""),"101386320200600750")</f>
        <v>101386320200600750</v>
      </c>
      <c r="B684" s="9" t="str">
        <f>IFERROR(__xludf.DUMMYFUNCTION("""COMPUTED_VALUE"""),"France")</f>
        <v>France</v>
      </c>
      <c r="C684" s="9" t="str">
        <f>IFERROR(__xludf.DUMMYFUNCTION("""COMPUTED_VALUE"""),"bordeaux")</f>
        <v>bordeaux</v>
      </c>
      <c r="D684" s="9" t="str">
        <f>IFERROR(__xludf.DUMMYFUNCTION("""COMPUTED_VALUE"""),"Chateau Pavie Decesse Grand Cru Classe, Saint-Emilion Grand Cru")</f>
        <v>Chateau Pavie Decesse Grand Cru Classe, Saint-Emilion Grand Cru</v>
      </c>
      <c r="E684" s="9">
        <f>IFERROR(__xludf.DUMMYFUNCTION("""COMPUTED_VALUE"""),2020.0)</f>
        <v>2020</v>
      </c>
      <c r="F684" s="9">
        <f>IFERROR(__xludf.DUMMYFUNCTION("""COMPUTED_VALUE"""),750.0)</f>
        <v>750</v>
      </c>
      <c r="G684" s="9">
        <f>IFERROR(__xludf.DUMMYFUNCTION("""COMPUTED_VALUE"""),6.0)</f>
        <v>6</v>
      </c>
      <c r="H684" s="10">
        <f>IFERROR(__xludf.DUMMYFUNCTION("""COMPUTED_VALUE"""),2.0)</f>
        <v>2</v>
      </c>
      <c r="I684" s="11">
        <f>IFERROR(__xludf.DUMMYFUNCTION("""COMPUTED_VALUE"""),571.0)</f>
        <v>571</v>
      </c>
      <c r="J684" s="9" t="str">
        <f>IFERROR(__xludf.DUMMYFUNCTION("""COMPUTED_VALUE"""),"UK")</f>
        <v>UK</v>
      </c>
      <c r="K684" s="8"/>
      <c r="L684" s="12"/>
      <c r="M684" s="13"/>
      <c r="N684" s="13" t="str">
        <f>IFERROR(__xludf.DUMMYFUNCTION("IF(ISBLANK(M684),"""",M684*GOOGLEFINANCE(""USDGBP""))"),"")</f>
        <v/>
      </c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</row>
    <row r="685">
      <c r="A685" s="8" t="str">
        <f>IFERROR(__xludf.DUMMYFUNCTION("""COMPUTED_VALUE"""),"101385020080601500")</f>
        <v>101385020080601500</v>
      </c>
      <c r="B685" s="9" t="str">
        <f>IFERROR(__xludf.DUMMYFUNCTION("""COMPUTED_VALUE"""),"France")</f>
        <v>France</v>
      </c>
      <c r="C685" s="9" t="str">
        <f>IFERROR(__xludf.DUMMYFUNCTION("""COMPUTED_VALUE"""),"bordeaux")</f>
        <v>bordeaux</v>
      </c>
      <c r="D685" s="9" t="str">
        <f>IFERROR(__xludf.DUMMYFUNCTION("""COMPUTED_VALUE"""),"Chateau Pavie Premier Grand Cru Classe A, Saint-Emilion Grand Cru")</f>
        <v>Chateau Pavie Premier Grand Cru Classe A, Saint-Emilion Grand Cru</v>
      </c>
      <c r="E685" s="9">
        <f>IFERROR(__xludf.DUMMYFUNCTION("""COMPUTED_VALUE"""),2008.0)</f>
        <v>2008</v>
      </c>
      <c r="F685" s="9">
        <f>IFERROR(__xludf.DUMMYFUNCTION("""COMPUTED_VALUE"""),1500.0)</f>
        <v>1500</v>
      </c>
      <c r="G685" s="9">
        <f>IFERROR(__xludf.DUMMYFUNCTION("""COMPUTED_VALUE"""),6.0)</f>
        <v>6</v>
      </c>
      <c r="H685" s="10">
        <f>IFERROR(__xludf.DUMMYFUNCTION("""COMPUTED_VALUE"""),1.0)</f>
        <v>1</v>
      </c>
      <c r="I685" s="11">
        <f>IFERROR(__xludf.DUMMYFUNCTION("""COMPUTED_VALUE"""),2519.0)</f>
        <v>2519</v>
      </c>
      <c r="J685" s="9" t="str">
        <f>IFERROR(__xludf.DUMMYFUNCTION("""COMPUTED_VALUE"""),"UK")</f>
        <v>UK</v>
      </c>
      <c r="K685" s="8"/>
      <c r="L685" s="12"/>
      <c r="M685" s="13"/>
      <c r="N685" s="13" t="str">
        <f>IFERROR(__xludf.DUMMYFUNCTION("IF(ISBLANK(M685),"""",M685*GOOGLEFINANCE(""USDGBP""))"),"")</f>
        <v/>
      </c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</row>
    <row r="686">
      <c r="A686" s="8" t="str">
        <f>IFERROR(__xludf.DUMMYFUNCTION("""COMPUTED_VALUE"""),"101385020170600750")</f>
        <v>101385020170600750</v>
      </c>
      <c r="B686" s="9" t="str">
        <f>IFERROR(__xludf.DUMMYFUNCTION("""COMPUTED_VALUE"""),"France")</f>
        <v>France</v>
      </c>
      <c r="C686" s="9" t="str">
        <f>IFERROR(__xludf.DUMMYFUNCTION("""COMPUTED_VALUE"""),"bordeaux")</f>
        <v>bordeaux</v>
      </c>
      <c r="D686" s="9" t="str">
        <f>IFERROR(__xludf.DUMMYFUNCTION("""COMPUTED_VALUE"""),"Chateau Pavie Premier Grand Cru Classe A, Saint-Emilion Grand Cru")</f>
        <v>Chateau Pavie Premier Grand Cru Classe A, Saint-Emilion Grand Cru</v>
      </c>
      <c r="E686" s="9">
        <f>IFERROR(__xludf.DUMMYFUNCTION("""COMPUTED_VALUE"""),2017.0)</f>
        <v>2017</v>
      </c>
      <c r="F686" s="9">
        <f>IFERROR(__xludf.DUMMYFUNCTION("""COMPUTED_VALUE"""),750.0)</f>
        <v>750</v>
      </c>
      <c r="G686" s="9">
        <f>IFERROR(__xludf.DUMMYFUNCTION("""COMPUTED_VALUE"""),6.0)</f>
        <v>6</v>
      </c>
      <c r="H686" s="10">
        <f>IFERROR(__xludf.DUMMYFUNCTION("""COMPUTED_VALUE"""),9.0)</f>
        <v>9</v>
      </c>
      <c r="I686" s="11">
        <f>IFERROR(__xludf.DUMMYFUNCTION("""COMPUTED_VALUE"""),1260.0)</f>
        <v>1260</v>
      </c>
      <c r="J686" s="9" t="str">
        <f>IFERROR(__xludf.DUMMYFUNCTION("""COMPUTED_VALUE"""),"UK")</f>
        <v>UK</v>
      </c>
      <c r="K686" s="8"/>
      <c r="L686" s="12"/>
      <c r="M686" s="13"/>
      <c r="N686" s="13" t="str">
        <f>IFERROR(__xludf.DUMMYFUNCTION("IF(ISBLANK(M686),"""",M686*GOOGLEFINANCE(""USDGBP""))"),"")</f>
        <v/>
      </c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</row>
    <row r="687">
      <c r="A687" s="8" t="str">
        <f>IFERROR(__xludf.DUMMYFUNCTION("""COMPUTED_VALUE"""),"101385020180600750")</f>
        <v>101385020180600750</v>
      </c>
      <c r="B687" s="9" t="str">
        <f>IFERROR(__xludf.DUMMYFUNCTION("""COMPUTED_VALUE"""),"France")</f>
        <v>France</v>
      </c>
      <c r="C687" s="9" t="str">
        <f>IFERROR(__xludf.DUMMYFUNCTION("""COMPUTED_VALUE"""),"bordeaux")</f>
        <v>bordeaux</v>
      </c>
      <c r="D687" s="9" t="str">
        <f>IFERROR(__xludf.DUMMYFUNCTION("""COMPUTED_VALUE"""),"Chateau Pavie Premier Grand Cru Classe A, Saint-Emilion Grand Cru")</f>
        <v>Chateau Pavie Premier Grand Cru Classe A, Saint-Emilion Grand Cru</v>
      </c>
      <c r="E687" s="9">
        <f>IFERROR(__xludf.DUMMYFUNCTION("""COMPUTED_VALUE"""),2018.0)</f>
        <v>2018</v>
      </c>
      <c r="F687" s="9">
        <f>IFERROR(__xludf.DUMMYFUNCTION("""COMPUTED_VALUE"""),750.0)</f>
        <v>750</v>
      </c>
      <c r="G687" s="9">
        <f>IFERROR(__xludf.DUMMYFUNCTION("""COMPUTED_VALUE"""),6.0)</f>
        <v>6</v>
      </c>
      <c r="H687" s="10">
        <f>IFERROR(__xludf.DUMMYFUNCTION("""COMPUTED_VALUE"""),5.0)</f>
        <v>5</v>
      </c>
      <c r="I687" s="11">
        <f>IFERROR(__xludf.DUMMYFUNCTION("""COMPUTED_VALUE"""),1509.0)</f>
        <v>1509</v>
      </c>
      <c r="J687" s="9" t="str">
        <f>IFERROR(__xludf.DUMMYFUNCTION("""COMPUTED_VALUE"""),"UK")</f>
        <v>UK</v>
      </c>
      <c r="K687" s="8"/>
      <c r="L687" s="12"/>
      <c r="M687" s="13"/>
      <c r="N687" s="13" t="str">
        <f>IFERROR(__xludf.DUMMYFUNCTION("IF(ISBLANK(M687),"""",M687*GOOGLEFINANCE(""USDGBP""))"),"")</f>
        <v/>
      </c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</row>
    <row r="688">
      <c r="A688" s="8" t="str">
        <f>IFERROR(__xludf.DUMMYFUNCTION("""COMPUTED_VALUE"""),"101385020190600750")</f>
        <v>101385020190600750</v>
      </c>
      <c r="B688" s="9" t="str">
        <f>IFERROR(__xludf.DUMMYFUNCTION("""COMPUTED_VALUE"""),"France")</f>
        <v>France</v>
      </c>
      <c r="C688" s="9" t="str">
        <f>IFERROR(__xludf.DUMMYFUNCTION("""COMPUTED_VALUE"""),"bordeaux")</f>
        <v>bordeaux</v>
      </c>
      <c r="D688" s="9" t="str">
        <f>IFERROR(__xludf.DUMMYFUNCTION("""COMPUTED_VALUE"""),"Chateau Pavie Premier Grand Cru Classe A, Saint-Emilion Grand Cru")</f>
        <v>Chateau Pavie Premier Grand Cru Classe A, Saint-Emilion Grand Cru</v>
      </c>
      <c r="E688" s="9">
        <f>IFERROR(__xludf.DUMMYFUNCTION("""COMPUTED_VALUE"""),2019.0)</f>
        <v>2019</v>
      </c>
      <c r="F688" s="9">
        <f>IFERROR(__xludf.DUMMYFUNCTION("""COMPUTED_VALUE"""),750.0)</f>
        <v>750</v>
      </c>
      <c r="G688" s="9">
        <f>IFERROR(__xludf.DUMMYFUNCTION("""COMPUTED_VALUE"""),6.0)</f>
        <v>6</v>
      </c>
      <c r="H688" s="10">
        <f>IFERROR(__xludf.DUMMYFUNCTION("""COMPUTED_VALUE"""),4.0)</f>
        <v>4</v>
      </c>
      <c r="I688" s="11">
        <f>IFERROR(__xludf.DUMMYFUNCTION("""COMPUTED_VALUE"""),1256.0)</f>
        <v>1256</v>
      </c>
      <c r="J688" s="9" t="str">
        <f>IFERROR(__xludf.DUMMYFUNCTION("""COMPUTED_VALUE"""),"UK")</f>
        <v>UK</v>
      </c>
      <c r="K688" s="8"/>
      <c r="L688" s="12"/>
      <c r="M688" s="13"/>
      <c r="N688" s="13" t="str">
        <f>IFERROR(__xludf.DUMMYFUNCTION("IF(ISBLANK(M688),"""",M688*GOOGLEFINANCE(""USDGBP""))"),"")</f>
        <v/>
      </c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</row>
    <row r="689">
      <c r="A689" s="8" t="str">
        <f>IFERROR(__xludf.DUMMYFUNCTION("""COMPUTED_VALUE"""),"101390620160600750")</f>
        <v>101390620160600750</v>
      </c>
      <c r="B689" s="9" t="str">
        <f>IFERROR(__xludf.DUMMYFUNCTION("""COMPUTED_VALUE"""),"France")</f>
        <v>France</v>
      </c>
      <c r="C689" s="9" t="str">
        <f>IFERROR(__xludf.DUMMYFUNCTION("""COMPUTED_VALUE"""),"bordeaux")</f>
        <v>bordeaux</v>
      </c>
      <c r="D689" s="9" t="str">
        <f>IFERROR(__xludf.DUMMYFUNCTION("""COMPUTED_VALUE"""),"Chateau Peby Faugeres Grand Cru Classe, Saint-Emilion Grand Cru")</f>
        <v>Chateau Peby Faugeres Grand Cru Classe, Saint-Emilion Grand Cru</v>
      </c>
      <c r="E689" s="9">
        <f>IFERROR(__xludf.DUMMYFUNCTION("""COMPUTED_VALUE"""),2016.0)</f>
        <v>2016</v>
      </c>
      <c r="F689" s="9">
        <f>IFERROR(__xludf.DUMMYFUNCTION("""COMPUTED_VALUE"""),750.0)</f>
        <v>750</v>
      </c>
      <c r="G689" s="9">
        <f>IFERROR(__xludf.DUMMYFUNCTION("""COMPUTED_VALUE"""),6.0)</f>
        <v>6</v>
      </c>
      <c r="H689" s="10">
        <f>IFERROR(__xludf.DUMMYFUNCTION("""COMPUTED_VALUE"""),1.0)</f>
        <v>1</v>
      </c>
      <c r="I689" s="11">
        <f>IFERROR(__xludf.DUMMYFUNCTION("""COMPUTED_VALUE"""),734.0)</f>
        <v>734</v>
      </c>
      <c r="J689" s="9" t="str">
        <f>IFERROR(__xludf.DUMMYFUNCTION("""COMPUTED_VALUE"""),"UK")</f>
        <v>UK</v>
      </c>
      <c r="K689" s="8"/>
      <c r="L689" s="12"/>
      <c r="M689" s="13"/>
      <c r="N689" s="13" t="str">
        <f>IFERROR(__xludf.DUMMYFUNCTION("IF(ISBLANK(M689),"""",M689*GOOGLEFINANCE(""USDGBP""))"),"")</f>
        <v/>
      </c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</row>
    <row r="690">
      <c r="A690" s="8" t="str">
        <f>IFERROR(__xludf.DUMMYFUNCTION("""COMPUTED_VALUE"""),"101390620170600750")</f>
        <v>101390620170600750</v>
      </c>
      <c r="B690" s="9" t="str">
        <f>IFERROR(__xludf.DUMMYFUNCTION("""COMPUTED_VALUE"""),"France")</f>
        <v>France</v>
      </c>
      <c r="C690" s="9" t="str">
        <f>IFERROR(__xludf.DUMMYFUNCTION("""COMPUTED_VALUE"""),"bordeaux")</f>
        <v>bordeaux</v>
      </c>
      <c r="D690" s="9" t="str">
        <f>IFERROR(__xludf.DUMMYFUNCTION("""COMPUTED_VALUE"""),"Chateau Peby Faugeres Grand Cru Classe, Saint-Emilion Grand Cru")</f>
        <v>Chateau Peby Faugeres Grand Cru Classe, Saint-Emilion Grand Cru</v>
      </c>
      <c r="E690" s="9">
        <f>IFERROR(__xludf.DUMMYFUNCTION("""COMPUTED_VALUE"""),2017.0)</f>
        <v>2017</v>
      </c>
      <c r="F690" s="9">
        <f>IFERROR(__xludf.DUMMYFUNCTION("""COMPUTED_VALUE"""),750.0)</f>
        <v>750</v>
      </c>
      <c r="G690" s="9">
        <f>IFERROR(__xludf.DUMMYFUNCTION("""COMPUTED_VALUE"""),6.0)</f>
        <v>6</v>
      </c>
      <c r="H690" s="10">
        <f>IFERROR(__xludf.DUMMYFUNCTION("""COMPUTED_VALUE"""),2.0)</f>
        <v>2</v>
      </c>
      <c r="I690" s="11">
        <f>IFERROR(__xludf.DUMMYFUNCTION("""COMPUTED_VALUE"""),526.0)</f>
        <v>526</v>
      </c>
      <c r="J690" s="9" t="str">
        <f>IFERROR(__xludf.DUMMYFUNCTION("""COMPUTED_VALUE"""),"UK")</f>
        <v>UK</v>
      </c>
      <c r="K690" s="8"/>
      <c r="L690" s="12"/>
      <c r="M690" s="13"/>
      <c r="N690" s="13" t="str">
        <f>IFERROR(__xludf.DUMMYFUNCTION("IF(ISBLANK(M690),"""",M690*GOOGLEFINANCE(""USDGBP""))"),"")</f>
        <v/>
      </c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</row>
    <row r="691">
      <c r="A691" s="8" t="str">
        <f>IFERROR(__xludf.DUMMYFUNCTION("""COMPUTED_VALUE"""),"101416320180600750")</f>
        <v>101416320180600750</v>
      </c>
      <c r="B691" s="9" t="str">
        <f>IFERROR(__xludf.DUMMYFUNCTION("""COMPUTED_VALUE"""),"France")</f>
        <v>France</v>
      </c>
      <c r="C691" s="9" t="str">
        <f>IFERROR(__xludf.DUMMYFUNCTION("""COMPUTED_VALUE"""),"bordeaux")</f>
        <v>bordeaux</v>
      </c>
      <c r="D691" s="9" t="str">
        <f>IFERROR(__xludf.DUMMYFUNCTION("""COMPUTED_VALUE"""),"Chateau Pichon Baron 2eme Cru Classe, Pauillac")</f>
        <v>Chateau Pichon Baron 2eme Cru Classe, Pauillac</v>
      </c>
      <c r="E691" s="9">
        <f>IFERROR(__xludf.DUMMYFUNCTION("""COMPUTED_VALUE"""),2018.0)</f>
        <v>2018</v>
      </c>
      <c r="F691" s="9">
        <f>IFERROR(__xludf.DUMMYFUNCTION("""COMPUTED_VALUE"""),750.0)</f>
        <v>750</v>
      </c>
      <c r="G691" s="9">
        <f>IFERROR(__xludf.DUMMYFUNCTION("""COMPUTED_VALUE"""),6.0)</f>
        <v>6</v>
      </c>
      <c r="H691" s="10">
        <f>IFERROR(__xludf.DUMMYFUNCTION("""COMPUTED_VALUE"""),13.0)</f>
        <v>13</v>
      </c>
      <c r="I691" s="11">
        <f>IFERROR(__xludf.DUMMYFUNCTION("""COMPUTED_VALUE"""),694.0)</f>
        <v>694</v>
      </c>
      <c r="J691" s="9" t="str">
        <f>IFERROR(__xludf.DUMMYFUNCTION("""COMPUTED_VALUE"""),"UK")</f>
        <v>UK</v>
      </c>
      <c r="K691" s="8"/>
      <c r="L691" s="12"/>
      <c r="M691" s="13"/>
      <c r="N691" s="13" t="str">
        <f>IFERROR(__xludf.DUMMYFUNCTION("IF(ISBLANK(M691),"""",M691*GOOGLEFINANCE(""USDGBP""))"),"")</f>
        <v/>
      </c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</row>
    <row r="692">
      <c r="A692" s="8" t="str">
        <f>IFERROR(__xludf.DUMMYFUNCTION("""COMPUTED_VALUE"""),"101416320190600750")</f>
        <v>101416320190600750</v>
      </c>
      <c r="B692" s="9" t="str">
        <f>IFERROR(__xludf.DUMMYFUNCTION("""COMPUTED_VALUE"""),"France")</f>
        <v>France</v>
      </c>
      <c r="C692" s="9" t="str">
        <f>IFERROR(__xludf.DUMMYFUNCTION("""COMPUTED_VALUE"""),"bordeaux")</f>
        <v>bordeaux</v>
      </c>
      <c r="D692" s="9" t="str">
        <f>IFERROR(__xludf.DUMMYFUNCTION("""COMPUTED_VALUE"""),"Chateau Pichon Baron 2eme Cru Classe, Pauillac")</f>
        <v>Chateau Pichon Baron 2eme Cru Classe, Pauillac</v>
      </c>
      <c r="E692" s="9">
        <f>IFERROR(__xludf.DUMMYFUNCTION("""COMPUTED_VALUE"""),2019.0)</f>
        <v>2019</v>
      </c>
      <c r="F692" s="9">
        <f>IFERROR(__xludf.DUMMYFUNCTION("""COMPUTED_VALUE"""),750.0)</f>
        <v>750</v>
      </c>
      <c r="G692" s="9">
        <f>IFERROR(__xludf.DUMMYFUNCTION("""COMPUTED_VALUE"""),6.0)</f>
        <v>6</v>
      </c>
      <c r="H692" s="10">
        <f>IFERROR(__xludf.DUMMYFUNCTION("""COMPUTED_VALUE"""),1.0)</f>
        <v>1</v>
      </c>
      <c r="I692" s="11">
        <f>IFERROR(__xludf.DUMMYFUNCTION("""COMPUTED_VALUE"""),672.0)</f>
        <v>672</v>
      </c>
      <c r="J692" s="9" t="str">
        <f>IFERROR(__xludf.DUMMYFUNCTION("""COMPUTED_VALUE"""),"UK")</f>
        <v>UK</v>
      </c>
      <c r="K692" s="8"/>
      <c r="L692" s="12"/>
      <c r="M692" s="13"/>
      <c r="N692" s="13" t="str">
        <f>IFERROR(__xludf.DUMMYFUNCTION("IF(ISBLANK(M692),"""",M692*GOOGLEFINANCE(""USDGBP""))"),"")</f>
        <v/>
      </c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</row>
    <row r="693">
      <c r="A693" s="8" t="str">
        <f>IFERROR(__xludf.DUMMYFUNCTION("""COMPUTED_VALUE"""),"101417620170600750")</f>
        <v>101417620170600750</v>
      </c>
      <c r="B693" s="9" t="str">
        <f>IFERROR(__xludf.DUMMYFUNCTION("""COMPUTED_VALUE"""),"France")</f>
        <v>France</v>
      </c>
      <c r="C693" s="9" t="str">
        <f>IFERROR(__xludf.DUMMYFUNCTION("""COMPUTED_VALUE"""),"bordeaux")</f>
        <v>bordeaux</v>
      </c>
      <c r="D693" s="9" t="str">
        <f>IFERROR(__xludf.DUMMYFUNCTION("""COMPUTED_VALUE"""),"Chateau Pichon Longueville Comtesse de Lalande 2eme Cru Classe, Pauillac")</f>
        <v>Chateau Pichon Longueville Comtesse de Lalande 2eme Cru Classe, Pauillac</v>
      </c>
      <c r="E693" s="9">
        <f>IFERROR(__xludf.DUMMYFUNCTION("""COMPUTED_VALUE"""),2017.0)</f>
        <v>2017</v>
      </c>
      <c r="F693" s="9">
        <f>IFERROR(__xludf.DUMMYFUNCTION("""COMPUTED_VALUE"""),750.0)</f>
        <v>750</v>
      </c>
      <c r="G693" s="9">
        <f>IFERROR(__xludf.DUMMYFUNCTION("""COMPUTED_VALUE"""),6.0)</f>
        <v>6</v>
      </c>
      <c r="H693" s="10">
        <f>IFERROR(__xludf.DUMMYFUNCTION("""COMPUTED_VALUE"""),2.0)</f>
        <v>2</v>
      </c>
      <c r="I693" s="11">
        <f>IFERROR(__xludf.DUMMYFUNCTION("""COMPUTED_VALUE"""),623.0)</f>
        <v>623</v>
      </c>
      <c r="J693" s="9" t="str">
        <f>IFERROR(__xludf.DUMMYFUNCTION("""COMPUTED_VALUE"""),"UK")</f>
        <v>UK</v>
      </c>
      <c r="K693" s="8"/>
      <c r="L693" s="12"/>
      <c r="M693" s="13"/>
      <c r="N693" s="13" t="str">
        <f>IFERROR(__xludf.DUMMYFUNCTION("IF(ISBLANK(M693),"""",M693*GOOGLEFINANCE(""USDGBP""))"),"")</f>
        <v/>
      </c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</row>
    <row r="694">
      <c r="A694" s="8" t="str">
        <f>IFERROR(__xludf.DUMMYFUNCTION("""COMPUTED_VALUE"""),"101430720140600750")</f>
        <v>101430720140600750</v>
      </c>
      <c r="B694" s="9" t="str">
        <f>IFERROR(__xludf.DUMMYFUNCTION("""COMPUTED_VALUE"""),"France")</f>
        <v>France</v>
      </c>
      <c r="C694" s="9" t="str">
        <f>IFERROR(__xludf.DUMMYFUNCTION("""COMPUTED_VALUE"""),"bordeaux")</f>
        <v>bordeaux</v>
      </c>
      <c r="D694" s="9" t="str">
        <f>IFERROR(__xludf.DUMMYFUNCTION("""COMPUTED_VALUE"""),"Chateau Pontet-Canet 5eme Cru Classe, Pauillac")</f>
        <v>Chateau Pontet-Canet 5eme Cru Classe, Pauillac</v>
      </c>
      <c r="E694" s="9">
        <f>IFERROR(__xludf.DUMMYFUNCTION("""COMPUTED_VALUE"""),2014.0)</f>
        <v>2014</v>
      </c>
      <c r="F694" s="9">
        <f>IFERROR(__xludf.DUMMYFUNCTION("""COMPUTED_VALUE"""),750.0)</f>
        <v>750</v>
      </c>
      <c r="G694" s="9">
        <f>IFERROR(__xludf.DUMMYFUNCTION("""COMPUTED_VALUE"""),6.0)</f>
        <v>6</v>
      </c>
      <c r="H694" s="10">
        <f>IFERROR(__xludf.DUMMYFUNCTION("""COMPUTED_VALUE"""),1.0)</f>
        <v>1</v>
      </c>
      <c r="I694" s="11">
        <f>IFERROR(__xludf.DUMMYFUNCTION("""COMPUTED_VALUE"""),366.0)</f>
        <v>366</v>
      </c>
      <c r="J694" s="9" t="str">
        <f>IFERROR(__xludf.DUMMYFUNCTION("""COMPUTED_VALUE"""),"UK")</f>
        <v>UK</v>
      </c>
      <c r="K694" s="8"/>
      <c r="L694" s="12"/>
      <c r="M694" s="13"/>
      <c r="N694" s="13" t="str">
        <f>IFERROR(__xludf.DUMMYFUNCTION("IF(ISBLANK(M694),"""",M694*GOOGLEFINANCE(""USDGBP""))"),"")</f>
        <v/>
      </c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</row>
    <row r="695">
      <c r="A695" s="8" t="str">
        <f>IFERROR(__xludf.DUMMYFUNCTION("""COMPUTED_VALUE"""),"101430720161200750")</f>
        <v>101430720161200750</v>
      </c>
      <c r="B695" s="9" t="str">
        <f>IFERROR(__xludf.DUMMYFUNCTION("""COMPUTED_VALUE"""),"France")</f>
        <v>France</v>
      </c>
      <c r="C695" s="9" t="str">
        <f>IFERROR(__xludf.DUMMYFUNCTION("""COMPUTED_VALUE"""),"bordeaux")</f>
        <v>bordeaux</v>
      </c>
      <c r="D695" s="9" t="str">
        <f>IFERROR(__xludf.DUMMYFUNCTION("""COMPUTED_VALUE"""),"Chateau Pontet-Canet 5eme Cru Classe, Pauillac")</f>
        <v>Chateau Pontet-Canet 5eme Cru Classe, Pauillac</v>
      </c>
      <c r="E695" s="9">
        <f>IFERROR(__xludf.DUMMYFUNCTION("""COMPUTED_VALUE"""),2016.0)</f>
        <v>2016</v>
      </c>
      <c r="F695" s="9">
        <f>IFERROR(__xludf.DUMMYFUNCTION("""COMPUTED_VALUE"""),750.0)</f>
        <v>750</v>
      </c>
      <c r="G695" s="9">
        <f>IFERROR(__xludf.DUMMYFUNCTION("""COMPUTED_VALUE"""),12.0)</f>
        <v>12</v>
      </c>
      <c r="H695" s="10">
        <f>IFERROR(__xludf.DUMMYFUNCTION("""COMPUTED_VALUE"""),1.0)</f>
        <v>1</v>
      </c>
      <c r="I695" s="11">
        <f>IFERROR(__xludf.DUMMYFUNCTION("""COMPUTED_VALUE"""),1310.0)</f>
        <v>1310</v>
      </c>
      <c r="J695" s="9" t="str">
        <f>IFERROR(__xludf.DUMMYFUNCTION("""COMPUTED_VALUE"""),"UK")</f>
        <v>UK</v>
      </c>
      <c r="K695" s="8"/>
      <c r="L695" s="12"/>
      <c r="M695" s="13"/>
      <c r="N695" s="13" t="str">
        <f>IFERROR(__xludf.DUMMYFUNCTION("IF(ISBLANK(M695),"""",M695*GOOGLEFINANCE(""USDGBP""))"),"")</f>
        <v/>
      </c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</row>
    <row r="696">
      <c r="A696" s="8" t="str">
        <f>IFERROR(__xludf.DUMMYFUNCTION("""COMPUTED_VALUE"""),"101430720171200750")</f>
        <v>101430720171200750</v>
      </c>
      <c r="B696" s="9" t="str">
        <f>IFERROR(__xludf.DUMMYFUNCTION("""COMPUTED_VALUE"""),"France")</f>
        <v>France</v>
      </c>
      <c r="C696" s="9" t="str">
        <f>IFERROR(__xludf.DUMMYFUNCTION("""COMPUTED_VALUE"""),"bordeaux")</f>
        <v>bordeaux</v>
      </c>
      <c r="D696" s="9" t="str">
        <f>IFERROR(__xludf.DUMMYFUNCTION("""COMPUTED_VALUE"""),"Chateau Pontet-Canet 5eme Cru Classe, Pauillac")</f>
        <v>Chateau Pontet-Canet 5eme Cru Classe, Pauillac</v>
      </c>
      <c r="E696" s="9">
        <f>IFERROR(__xludf.DUMMYFUNCTION("""COMPUTED_VALUE"""),2017.0)</f>
        <v>2017</v>
      </c>
      <c r="F696" s="9">
        <f>IFERROR(__xludf.DUMMYFUNCTION("""COMPUTED_VALUE"""),750.0)</f>
        <v>750</v>
      </c>
      <c r="G696" s="9">
        <f>IFERROR(__xludf.DUMMYFUNCTION("""COMPUTED_VALUE"""),12.0)</f>
        <v>12</v>
      </c>
      <c r="H696" s="10">
        <f>IFERROR(__xludf.DUMMYFUNCTION("""COMPUTED_VALUE"""),2.0)</f>
        <v>2</v>
      </c>
      <c r="I696" s="11">
        <f>IFERROR(__xludf.DUMMYFUNCTION("""COMPUTED_VALUE"""),837.0)</f>
        <v>837</v>
      </c>
      <c r="J696" s="9" t="str">
        <f>IFERROR(__xludf.DUMMYFUNCTION("""COMPUTED_VALUE"""),"UK")</f>
        <v>UK</v>
      </c>
      <c r="K696" s="8"/>
      <c r="L696" s="12"/>
      <c r="M696" s="13"/>
      <c r="N696" s="13" t="str">
        <f>IFERROR(__xludf.DUMMYFUNCTION("IF(ISBLANK(M696),"""",M696*GOOGLEFINANCE(""USDGBP""))"),"")</f>
        <v/>
      </c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</row>
    <row r="697">
      <c r="A697" s="8" t="str">
        <f>IFERROR(__xludf.DUMMYFUNCTION("""COMPUTED_VALUE"""),"101430720170600750")</f>
        <v>101430720170600750</v>
      </c>
      <c r="B697" s="9" t="str">
        <f>IFERROR(__xludf.DUMMYFUNCTION("""COMPUTED_VALUE"""),"France")</f>
        <v>France</v>
      </c>
      <c r="C697" s="9" t="str">
        <f>IFERROR(__xludf.DUMMYFUNCTION("""COMPUTED_VALUE"""),"bordeaux")</f>
        <v>bordeaux</v>
      </c>
      <c r="D697" s="9" t="str">
        <f>IFERROR(__xludf.DUMMYFUNCTION("""COMPUTED_VALUE"""),"Chateau Pontet-Canet 5eme Cru Classe, Pauillac")</f>
        <v>Chateau Pontet-Canet 5eme Cru Classe, Pauillac</v>
      </c>
      <c r="E697" s="9">
        <f>IFERROR(__xludf.DUMMYFUNCTION("""COMPUTED_VALUE"""),2017.0)</f>
        <v>2017</v>
      </c>
      <c r="F697" s="9">
        <f>IFERROR(__xludf.DUMMYFUNCTION("""COMPUTED_VALUE"""),750.0)</f>
        <v>750</v>
      </c>
      <c r="G697" s="9">
        <f>IFERROR(__xludf.DUMMYFUNCTION("""COMPUTED_VALUE"""),6.0)</f>
        <v>6</v>
      </c>
      <c r="H697" s="10">
        <f>IFERROR(__xludf.DUMMYFUNCTION("""COMPUTED_VALUE"""),38.0)</f>
        <v>38</v>
      </c>
      <c r="I697" s="11">
        <f>IFERROR(__xludf.DUMMYFUNCTION("""COMPUTED_VALUE"""),419.0)</f>
        <v>419</v>
      </c>
      <c r="J697" s="9" t="str">
        <f>IFERROR(__xludf.DUMMYFUNCTION("""COMPUTED_VALUE"""),"UK")</f>
        <v>UK</v>
      </c>
      <c r="K697" s="8"/>
      <c r="L697" s="12"/>
      <c r="M697" s="13"/>
      <c r="N697" s="13" t="str">
        <f>IFERROR(__xludf.DUMMYFUNCTION("IF(ISBLANK(M697),"""",M697*GOOGLEFINANCE(""USDGBP""))"),"")</f>
        <v/>
      </c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</row>
    <row r="698">
      <c r="A698" s="8" t="str">
        <f>IFERROR(__xludf.DUMMYFUNCTION("""COMPUTED_VALUE"""),"101430720180600750")</f>
        <v>101430720180600750</v>
      </c>
      <c r="B698" s="9" t="str">
        <f>IFERROR(__xludf.DUMMYFUNCTION("""COMPUTED_VALUE"""),"France")</f>
        <v>France</v>
      </c>
      <c r="C698" s="9" t="str">
        <f>IFERROR(__xludf.DUMMYFUNCTION("""COMPUTED_VALUE"""),"bordeaux")</f>
        <v>bordeaux</v>
      </c>
      <c r="D698" s="9" t="str">
        <f>IFERROR(__xludf.DUMMYFUNCTION("""COMPUTED_VALUE"""),"Chateau Pontet-Canet 5eme Cru Classe, Pauillac")</f>
        <v>Chateau Pontet-Canet 5eme Cru Classe, Pauillac</v>
      </c>
      <c r="E698" s="9">
        <f>IFERROR(__xludf.DUMMYFUNCTION("""COMPUTED_VALUE"""),2018.0)</f>
        <v>2018</v>
      </c>
      <c r="F698" s="9">
        <f>IFERROR(__xludf.DUMMYFUNCTION("""COMPUTED_VALUE"""),750.0)</f>
        <v>750</v>
      </c>
      <c r="G698" s="9">
        <f>IFERROR(__xludf.DUMMYFUNCTION("""COMPUTED_VALUE"""),6.0)</f>
        <v>6</v>
      </c>
      <c r="H698" s="10">
        <f>IFERROR(__xludf.DUMMYFUNCTION("""COMPUTED_VALUE"""),1.0)</f>
        <v>1</v>
      </c>
      <c r="I698" s="11">
        <f>IFERROR(__xludf.DUMMYFUNCTION("""COMPUTED_VALUE"""),527.0)</f>
        <v>527</v>
      </c>
      <c r="J698" s="9" t="str">
        <f>IFERROR(__xludf.DUMMYFUNCTION("""COMPUTED_VALUE"""),"UK")</f>
        <v>UK</v>
      </c>
      <c r="K698" s="8"/>
      <c r="L698" s="12"/>
      <c r="M698" s="13"/>
      <c r="N698" s="13" t="str">
        <f>IFERROR(__xludf.DUMMYFUNCTION("IF(ISBLANK(M698),"""",M698*GOOGLEFINANCE(""USDGBP""))"),"")</f>
        <v/>
      </c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</row>
    <row r="699">
      <c r="A699" s="8" t="str">
        <f>IFERROR(__xludf.DUMMYFUNCTION("""COMPUTED_VALUE"""),"117091120200600750")</f>
        <v>117091120200600750</v>
      </c>
      <c r="B699" s="9" t="str">
        <f>IFERROR(__xludf.DUMMYFUNCTION("""COMPUTED_VALUE"""),"France")</f>
        <v>France</v>
      </c>
      <c r="C699" s="9" t="str">
        <f>IFERROR(__xludf.DUMMYFUNCTION("""COMPUTED_VALUE"""),"bordeaux")</f>
        <v>bordeaux</v>
      </c>
      <c r="D699" s="9" t="str">
        <f>IFERROR(__xludf.DUMMYFUNCTION("""COMPUTED_VALUE"""),"Chateau Quintus, Saint-Emilion Grand Cru")</f>
        <v>Chateau Quintus, Saint-Emilion Grand Cru</v>
      </c>
      <c r="E699" s="9">
        <f>IFERROR(__xludf.DUMMYFUNCTION("""COMPUTED_VALUE"""),2020.0)</f>
        <v>2020</v>
      </c>
      <c r="F699" s="9">
        <f>IFERROR(__xludf.DUMMYFUNCTION("""COMPUTED_VALUE"""),750.0)</f>
        <v>750</v>
      </c>
      <c r="G699" s="9">
        <f>IFERROR(__xludf.DUMMYFUNCTION("""COMPUTED_VALUE"""),6.0)</f>
        <v>6</v>
      </c>
      <c r="H699" s="10">
        <f>IFERROR(__xludf.DUMMYFUNCTION("""COMPUTED_VALUE"""),3.0)</f>
        <v>3</v>
      </c>
      <c r="I699" s="11">
        <f>IFERROR(__xludf.DUMMYFUNCTION("""COMPUTED_VALUE"""),426.0)</f>
        <v>426</v>
      </c>
      <c r="J699" s="9" t="str">
        <f>IFERROR(__xludf.DUMMYFUNCTION("""COMPUTED_VALUE"""),"UK")</f>
        <v>UK</v>
      </c>
      <c r="K699" s="8"/>
      <c r="L699" s="12"/>
      <c r="M699" s="13"/>
      <c r="N699" s="13" t="str">
        <f>IFERROR(__xludf.DUMMYFUNCTION("IF(ISBLANK(M699),"""",M699*GOOGLEFINANCE(""USDGBP""))"),"")</f>
        <v/>
      </c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</row>
    <row r="700">
      <c r="A700" s="8" t="str">
        <f>IFERROR(__xludf.DUMMYFUNCTION("""COMPUTED_VALUE"""),"117091120200301500")</f>
        <v>117091120200301500</v>
      </c>
      <c r="B700" s="9" t="str">
        <f>IFERROR(__xludf.DUMMYFUNCTION("""COMPUTED_VALUE"""),"France")</f>
        <v>France</v>
      </c>
      <c r="C700" s="9" t="str">
        <f>IFERROR(__xludf.DUMMYFUNCTION("""COMPUTED_VALUE"""),"bordeaux")</f>
        <v>bordeaux</v>
      </c>
      <c r="D700" s="9" t="str">
        <f>IFERROR(__xludf.DUMMYFUNCTION("""COMPUTED_VALUE"""),"Chateau Quintus, Saint-Emilion Grand Cru")</f>
        <v>Chateau Quintus, Saint-Emilion Grand Cru</v>
      </c>
      <c r="E700" s="9">
        <f>IFERROR(__xludf.DUMMYFUNCTION("""COMPUTED_VALUE"""),2020.0)</f>
        <v>2020</v>
      </c>
      <c r="F700" s="9">
        <f>IFERROR(__xludf.DUMMYFUNCTION("""COMPUTED_VALUE"""),1500.0)</f>
        <v>1500</v>
      </c>
      <c r="G700" s="9">
        <f>IFERROR(__xludf.DUMMYFUNCTION("""COMPUTED_VALUE"""),3.0)</f>
        <v>3</v>
      </c>
      <c r="H700" s="10">
        <f>IFERROR(__xludf.DUMMYFUNCTION("""COMPUTED_VALUE"""),2.0)</f>
        <v>2</v>
      </c>
      <c r="I700" s="11">
        <f>IFERROR(__xludf.DUMMYFUNCTION("""COMPUTED_VALUE"""),420.0)</f>
        <v>420</v>
      </c>
      <c r="J700" s="9" t="str">
        <f>IFERROR(__xludf.DUMMYFUNCTION("""COMPUTED_VALUE"""),"UK")</f>
        <v>UK</v>
      </c>
      <c r="K700" s="8"/>
      <c r="L700" s="12"/>
      <c r="M700" s="13"/>
      <c r="N700" s="13" t="str">
        <f>IFERROR(__xludf.DUMMYFUNCTION("IF(ISBLANK(M700),"""",M700*GOOGLEFINANCE(""USDGBP""))"),"")</f>
        <v/>
      </c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</row>
    <row r="701">
      <c r="A701" s="8" t="str">
        <f>IFERROR(__xludf.DUMMYFUNCTION("""COMPUTED_VALUE"""),"101460020160600750")</f>
        <v>101460020160600750</v>
      </c>
      <c r="B701" s="9" t="str">
        <f>IFERROR(__xludf.DUMMYFUNCTION("""COMPUTED_VALUE"""),"France")</f>
        <v>France</v>
      </c>
      <c r="C701" s="9" t="str">
        <f>IFERROR(__xludf.DUMMYFUNCTION("""COMPUTED_VALUE"""),"bordeaux")</f>
        <v>bordeaux</v>
      </c>
      <c r="D701" s="9" t="str">
        <f>IFERROR(__xludf.DUMMYFUNCTION("""COMPUTED_VALUE"""),"Chateau Rauzan-Segla 2eme Cru Classe, Margaux")</f>
        <v>Chateau Rauzan-Segla 2eme Cru Classe, Margaux</v>
      </c>
      <c r="E701" s="9">
        <f>IFERROR(__xludf.DUMMYFUNCTION("""COMPUTED_VALUE"""),2016.0)</f>
        <v>2016</v>
      </c>
      <c r="F701" s="9">
        <f>IFERROR(__xludf.DUMMYFUNCTION("""COMPUTED_VALUE"""),750.0)</f>
        <v>750</v>
      </c>
      <c r="G701" s="9">
        <f>IFERROR(__xludf.DUMMYFUNCTION("""COMPUTED_VALUE"""),6.0)</f>
        <v>6</v>
      </c>
      <c r="H701" s="10">
        <f>IFERROR(__xludf.DUMMYFUNCTION("""COMPUTED_VALUE"""),2.0)</f>
        <v>2</v>
      </c>
      <c r="I701" s="11">
        <f>IFERROR(__xludf.DUMMYFUNCTION("""COMPUTED_VALUE"""),459.0)</f>
        <v>459</v>
      </c>
      <c r="J701" s="9" t="str">
        <f>IFERROR(__xludf.DUMMYFUNCTION("""COMPUTED_VALUE"""),"UK")</f>
        <v>UK</v>
      </c>
      <c r="K701" s="8"/>
      <c r="L701" s="12"/>
      <c r="M701" s="13"/>
      <c r="N701" s="13" t="str">
        <f>IFERROR(__xludf.DUMMYFUNCTION("IF(ISBLANK(M701),"""",M701*GOOGLEFINANCE(""USDGBP""))"),"")</f>
        <v/>
      </c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</row>
    <row r="702">
      <c r="A702" s="8" t="str">
        <f>IFERROR(__xludf.DUMMYFUNCTION("""COMPUTED_VALUE"""),"101496120091200750")</f>
        <v>101496120091200750</v>
      </c>
      <c r="B702" s="9" t="str">
        <f>IFERROR(__xludf.DUMMYFUNCTION("""COMPUTED_VALUE"""),"France")</f>
        <v>France</v>
      </c>
      <c r="C702" s="9" t="str">
        <f>IFERROR(__xludf.DUMMYFUNCTION("""COMPUTED_VALUE"""),"bordeaux")</f>
        <v>bordeaux</v>
      </c>
      <c r="D702" s="9" t="str">
        <f>IFERROR(__xludf.DUMMYFUNCTION("""COMPUTED_VALUE"""),"Chateau Saint-Pierre 4eme Cru Classe, Saint-Julien")</f>
        <v>Chateau Saint-Pierre 4eme Cru Classe, Saint-Julien</v>
      </c>
      <c r="E702" s="9">
        <f>IFERROR(__xludf.DUMMYFUNCTION("""COMPUTED_VALUE"""),2009.0)</f>
        <v>2009</v>
      </c>
      <c r="F702" s="9">
        <f>IFERROR(__xludf.DUMMYFUNCTION("""COMPUTED_VALUE"""),750.0)</f>
        <v>750</v>
      </c>
      <c r="G702" s="9">
        <f>IFERROR(__xludf.DUMMYFUNCTION("""COMPUTED_VALUE"""),12.0)</f>
        <v>12</v>
      </c>
      <c r="H702" s="10">
        <f>IFERROR(__xludf.DUMMYFUNCTION("""COMPUTED_VALUE"""),1.0)</f>
        <v>1</v>
      </c>
      <c r="I702" s="11">
        <f>IFERROR(__xludf.DUMMYFUNCTION("""COMPUTED_VALUE"""),884.0)</f>
        <v>884</v>
      </c>
      <c r="J702" s="9" t="str">
        <f>IFERROR(__xludf.DUMMYFUNCTION("""COMPUTED_VALUE"""),"UK")</f>
        <v>UK</v>
      </c>
      <c r="K702" s="8"/>
      <c r="L702" s="12"/>
      <c r="M702" s="13"/>
      <c r="N702" s="13" t="str">
        <f>IFERROR(__xludf.DUMMYFUNCTION("IF(ISBLANK(M702),"""",M702*GOOGLEFINANCE(""USDGBP""))"),"")</f>
        <v/>
      </c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</row>
    <row r="703">
      <c r="A703" s="8" t="str">
        <f>IFERROR(__xludf.DUMMYFUNCTION("""COMPUTED_VALUE"""),"101496120151200750")</f>
        <v>101496120151200750</v>
      </c>
      <c r="B703" s="9" t="str">
        <f>IFERROR(__xludf.DUMMYFUNCTION("""COMPUTED_VALUE"""),"France")</f>
        <v>France</v>
      </c>
      <c r="C703" s="9" t="str">
        <f>IFERROR(__xludf.DUMMYFUNCTION("""COMPUTED_VALUE"""),"bordeaux")</f>
        <v>bordeaux</v>
      </c>
      <c r="D703" s="9" t="str">
        <f>IFERROR(__xludf.DUMMYFUNCTION("""COMPUTED_VALUE"""),"Chateau Saint-Pierre 4eme Cru Classe, Saint-Julien")</f>
        <v>Chateau Saint-Pierre 4eme Cru Classe, Saint-Julien</v>
      </c>
      <c r="E703" s="9">
        <f>IFERROR(__xludf.DUMMYFUNCTION("""COMPUTED_VALUE"""),2015.0)</f>
        <v>2015</v>
      </c>
      <c r="F703" s="9">
        <f>IFERROR(__xludf.DUMMYFUNCTION("""COMPUTED_VALUE"""),750.0)</f>
        <v>750</v>
      </c>
      <c r="G703" s="9">
        <f>IFERROR(__xludf.DUMMYFUNCTION("""COMPUTED_VALUE"""),12.0)</f>
        <v>12</v>
      </c>
      <c r="H703" s="10">
        <f>IFERROR(__xludf.DUMMYFUNCTION("""COMPUTED_VALUE"""),3.0)</f>
        <v>3</v>
      </c>
      <c r="I703" s="11">
        <f>IFERROR(__xludf.DUMMYFUNCTION("""COMPUTED_VALUE"""),481.0)</f>
        <v>481</v>
      </c>
      <c r="J703" s="9" t="str">
        <f>IFERROR(__xludf.DUMMYFUNCTION("""COMPUTED_VALUE"""),"UK")</f>
        <v>UK</v>
      </c>
      <c r="K703" s="8"/>
      <c r="L703" s="12"/>
      <c r="M703" s="13"/>
      <c r="N703" s="13" t="str">
        <f>IFERROR(__xludf.DUMMYFUNCTION("IF(ISBLANK(M703),"""",M703*GOOGLEFINANCE(""USDGBP""))"),"")</f>
        <v/>
      </c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</row>
    <row r="704">
      <c r="A704" s="8" t="str">
        <f>IFERROR(__xludf.DUMMYFUNCTION("""COMPUTED_VALUE"""),"101526120170600750")</f>
        <v>101526120170600750</v>
      </c>
      <c r="B704" s="9" t="str">
        <f>IFERROR(__xludf.DUMMYFUNCTION("""COMPUTED_VALUE"""),"France")</f>
        <v>France</v>
      </c>
      <c r="C704" s="9" t="str">
        <f>IFERROR(__xludf.DUMMYFUNCTION("""COMPUTED_VALUE"""),"bordeaux")</f>
        <v>bordeaux</v>
      </c>
      <c r="D704" s="9" t="str">
        <f>IFERROR(__xludf.DUMMYFUNCTION("""COMPUTED_VALUE"""),"Chateau Smith Haut Lafitte, Rouge Cru Classe, Pessac-Leognan")</f>
        <v>Chateau Smith Haut Lafitte, Rouge Cru Classe, Pessac-Leognan</v>
      </c>
      <c r="E704" s="9">
        <f>IFERROR(__xludf.DUMMYFUNCTION("""COMPUTED_VALUE"""),2017.0)</f>
        <v>2017</v>
      </c>
      <c r="F704" s="9">
        <f>IFERROR(__xludf.DUMMYFUNCTION("""COMPUTED_VALUE"""),750.0)</f>
        <v>750</v>
      </c>
      <c r="G704" s="9">
        <f>IFERROR(__xludf.DUMMYFUNCTION("""COMPUTED_VALUE"""),6.0)</f>
        <v>6</v>
      </c>
      <c r="H704" s="10">
        <f>IFERROR(__xludf.DUMMYFUNCTION("""COMPUTED_VALUE"""),1.0)</f>
        <v>1</v>
      </c>
      <c r="I704" s="11">
        <f>IFERROR(__xludf.DUMMYFUNCTION("""COMPUTED_VALUE"""),381.0)</f>
        <v>381</v>
      </c>
      <c r="J704" s="9" t="str">
        <f>IFERROR(__xludf.DUMMYFUNCTION("""COMPUTED_VALUE"""),"UK")</f>
        <v>UK</v>
      </c>
      <c r="K704" s="8"/>
      <c r="L704" s="12"/>
      <c r="M704" s="13"/>
      <c r="N704" s="13" t="str">
        <f>IFERROR(__xludf.DUMMYFUNCTION("IF(ISBLANK(M704),"""",M704*GOOGLEFINANCE(""USDGBP""))"),"")</f>
        <v/>
      </c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</row>
    <row r="705">
      <c r="A705" s="8" t="str">
        <f>IFERROR(__xludf.DUMMYFUNCTION("""COMPUTED_VALUE"""),"101526120180600750")</f>
        <v>101526120180600750</v>
      </c>
      <c r="B705" s="9" t="str">
        <f>IFERROR(__xludf.DUMMYFUNCTION("""COMPUTED_VALUE"""),"France")</f>
        <v>France</v>
      </c>
      <c r="C705" s="9" t="str">
        <f>IFERROR(__xludf.DUMMYFUNCTION("""COMPUTED_VALUE"""),"bordeaux")</f>
        <v>bordeaux</v>
      </c>
      <c r="D705" s="9" t="str">
        <f>IFERROR(__xludf.DUMMYFUNCTION("""COMPUTED_VALUE"""),"Chateau Smith Haut Lafitte, Rouge Cru Classe, Pessac-Leognan")</f>
        <v>Chateau Smith Haut Lafitte, Rouge Cru Classe, Pessac-Leognan</v>
      </c>
      <c r="E705" s="9">
        <f>IFERROR(__xludf.DUMMYFUNCTION("""COMPUTED_VALUE"""),2018.0)</f>
        <v>2018</v>
      </c>
      <c r="F705" s="9">
        <f>IFERROR(__xludf.DUMMYFUNCTION("""COMPUTED_VALUE"""),750.0)</f>
        <v>750</v>
      </c>
      <c r="G705" s="9">
        <f>IFERROR(__xludf.DUMMYFUNCTION("""COMPUTED_VALUE"""),6.0)</f>
        <v>6</v>
      </c>
      <c r="H705" s="10">
        <f>IFERROR(__xludf.DUMMYFUNCTION("""COMPUTED_VALUE"""),6.0)</f>
        <v>6</v>
      </c>
      <c r="I705" s="11">
        <f>IFERROR(__xludf.DUMMYFUNCTION("""COMPUTED_VALUE"""),504.0)</f>
        <v>504</v>
      </c>
      <c r="J705" s="9" t="str">
        <f>IFERROR(__xludf.DUMMYFUNCTION("""COMPUTED_VALUE"""),"UK")</f>
        <v>UK</v>
      </c>
      <c r="K705" s="8"/>
      <c r="L705" s="12"/>
      <c r="M705" s="13"/>
      <c r="N705" s="13" t="str">
        <f>IFERROR(__xludf.DUMMYFUNCTION("IF(ISBLANK(M705),"""",M705*GOOGLEFINANCE(""USDGBP""))"),"")</f>
        <v/>
      </c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</row>
    <row r="706">
      <c r="A706" s="8" t="str">
        <f>IFERROR(__xludf.DUMMYFUNCTION("""COMPUTED_VALUE"""),"101526120180601500")</f>
        <v>101526120180601500</v>
      </c>
      <c r="B706" s="9" t="str">
        <f>IFERROR(__xludf.DUMMYFUNCTION("""COMPUTED_VALUE"""),"France")</f>
        <v>France</v>
      </c>
      <c r="C706" s="9" t="str">
        <f>IFERROR(__xludf.DUMMYFUNCTION("""COMPUTED_VALUE"""),"bordeaux")</f>
        <v>bordeaux</v>
      </c>
      <c r="D706" s="9" t="str">
        <f>IFERROR(__xludf.DUMMYFUNCTION("""COMPUTED_VALUE"""),"Chateau Smith Haut Lafitte, Rouge Cru Classe, Pessac-Leognan")</f>
        <v>Chateau Smith Haut Lafitte, Rouge Cru Classe, Pessac-Leognan</v>
      </c>
      <c r="E706" s="9">
        <f>IFERROR(__xludf.DUMMYFUNCTION("""COMPUTED_VALUE"""),2018.0)</f>
        <v>2018</v>
      </c>
      <c r="F706" s="9">
        <f>IFERROR(__xludf.DUMMYFUNCTION("""COMPUTED_VALUE"""),1500.0)</f>
        <v>1500</v>
      </c>
      <c r="G706" s="9">
        <f>IFERROR(__xludf.DUMMYFUNCTION("""COMPUTED_VALUE"""),6.0)</f>
        <v>6</v>
      </c>
      <c r="H706" s="10">
        <f>IFERROR(__xludf.DUMMYFUNCTION("""COMPUTED_VALUE"""),1.0)</f>
        <v>1</v>
      </c>
      <c r="I706" s="11">
        <f>IFERROR(__xludf.DUMMYFUNCTION("""COMPUTED_VALUE"""),1007.0)</f>
        <v>1007</v>
      </c>
      <c r="J706" s="9" t="str">
        <f>IFERROR(__xludf.DUMMYFUNCTION("""COMPUTED_VALUE"""),"UK")</f>
        <v>UK</v>
      </c>
      <c r="K706" s="8"/>
      <c r="L706" s="12"/>
      <c r="M706" s="13"/>
      <c r="N706" s="13" t="str">
        <f>IFERROR(__xludf.DUMMYFUNCTION("IF(ISBLANK(M706),"""",M706*GOOGLEFINANCE(""USDGBP""))"),"")</f>
        <v/>
      </c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</row>
    <row r="707">
      <c r="A707" s="8" t="str">
        <f>IFERROR(__xludf.DUMMYFUNCTION("""COMPUTED_VALUE"""),"101536220161200750")</f>
        <v>101536220161200750</v>
      </c>
      <c r="B707" s="9" t="str">
        <f>IFERROR(__xludf.DUMMYFUNCTION("""COMPUTED_VALUE"""),"France")</f>
        <v>France</v>
      </c>
      <c r="C707" s="9" t="str">
        <f>IFERROR(__xludf.DUMMYFUNCTION("""COMPUTED_VALUE"""),"bordeaux")</f>
        <v>bordeaux</v>
      </c>
      <c r="D707" s="9" t="str">
        <f>IFERROR(__xludf.DUMMYFUNCTION("""COMPUTED_VALUE"""),"Chateau Talbot 4eme Cru Classe, Saint-Julien")</f>
        <v>Chateau Talbot 4eme Cru Classe, Saint-Julien</v>
      </c>
      <c r="E707" s="9">
        <f>IFERROR(__xludf.DUMMYFUNCTION("""COMPUTED_VALUE"""),2016.0)</f>
        <v>2016</v>
      </c>
      <c r="F707" s="9">
        <f>IFERROR(__xludf.DUMMYFUNCTION("""COMPUTED_VALUE"""),750.0)</f>
        <v>750</v>
      </c>
      <c r="G707" s="9">
        <f>IFERROR(__xludf.DUMMYFUNCTION("""COMPUTED_VALUE"""),12.0)</f>
        <v>12</v>
      </c>
      <c r="H707" s="10">
        <f>IFERROR(__xludf.DUMMYFUNCTION("""COMPUTED_VALUE"""),7.0)</f>
        <v>7</v>
      </c>
      <c r="I707" s="11">
        <f>IFERROR(__xludf.DUMMYFUNCTION("""COMPUTED_VALUE"""),635.0)</f>
        <v>635</v>
      </c>
      <c r="J707" s="9" t="str">
        <f>IFERROR(__xludf.DUMMYFUNCTION("""COMPUTED_VALUE"""),"UK")</f>
        <v>UK</v>
      </c>
      <c r="K707" s="8"/>
      <c r="L707" s="12"/>
      <c r="M707" s="13"/>
      <c r="N707" s="13" t="str">
        <f>IFERROR(__xludf.DUMMYFUNCTION("IF(ISBLANK(M707),"""",M707*GOOGLEFINANCE(""USDGBP""))"),"")</f>
        <v/>
      </c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</row>
    <row r="708">
      <c r="A708" s="8" t="str">
        <f>IFERROR(__xludf.DUMMYFUNCTION("""COMPUTED_VALUE"""),"101536220171200750")</f>
        <v>101536220171200750</v>
      </c>
      <c r="B708" s="9" t="str">
        <f>IFERROR(__xludf.DUMMYFUNCTION("""COMPUTED_VALUE"""),"France")</f>
        <v>France</v>
      </c>
      <c r="C708" s="9" t="str">
        <f>IFERROR(__xludf.DUMMYFUNCTION("""COMPUTED_VALUE"""),"bordeaux")</f>
        <v>bordeaux</v>
      </c>
      <c r="D708" s="9" t="str">
        <f>IFERROR(__xludf.DUMMYFUNCTION("""COMPUTED_VALUE"""),"Chateau Talbot 4eme Cru Classe, Saint-Julien")</f>
        <v>Chateau Talbot 4eme Cru Classe, Saint-Julien</v>
      </c>
      <c r="E708" s="9">
        <f>IFERROR(__xludf.DUMMYFUNCTION("""COMPUTED_VALUE"""),2017.0)</f>
        <v>2017</v>
      </c>
      <c r="F708" s="9">
        <f>IFERROR(__xludf.DUMMYFUNCTION("""COMPUTED_VALUE"""),750.0)</f>
        <v>750</v>
      </c>
      <c r="G708" s="9">
        <f>IFERROR(__xludf.DUMMYFUNCTION("""COMPUTED_VALUE"""),12.0)</f>
        <v>12</v>
      </c>
      <c r="H708" s="10">
        <f>IFERROR(__xludf.DUMMYFUNCTION("""COMPUTED_VALUE"""),8.0)</f>
        <v>8</v>
      </c>
      <c r="I708" s="11">
        <f>IFERROR(__xludf.DUMMYFUNCTION("""COMPUTED_VALUE"""),557.0)</f>
        <v>557</v>
      </c>
      <c r="J708" s="9" t="str">
        <f>IFERROR(__xludf.DUMMYFUNCTION("""COMPUTED_VALUE"""),"UK")</f>
        <v>UK</v>
      </c>
      <c r="K708" s="8"/>
      <c r="L708" s="12"/>
      <c r="M708" s="13"/>
      <c r="N708" s="13" t="str">
        <f>IFERROR(__xludf.DUMMYFUNCTION("IF(ISBLANK(M708),"""",M708*GOOGLEFINANCE(""USDGBP""))"),"")</f>
        <v/>
      </c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</row>
    <row r="709">
      <c r="A709" s="8" t="str">
        <f>IFERROR(__xludf.DUMMYFUNCTION("""COMPUTED_VALUE"""),"101594220020600750")</f>
        <v>101594220020600750</v>
      </c>
      <c r="B709" s="9" t="str">
        <f>IFERROR(__xludf.DUMMYFUNCTION("""COMPUTED_VALUE"""),"France")</f>
        <v>France</v>
      </c>
      <c r="C709" s="9" t="str">
        <f>IFERROR(__xludf.DUMMYFUNCTION("""COMPUTED_VALUE"""),"bordeaux")</f>
        <v>bordeaux</v>
      </c>
      <c r="D709" s="9" t="str">
        <f>IFERROR(__xludf.DUMMYFUNCTION("""COMPUTED_VALUE"""),"Chateau Troplong Mondot Premier Grand Cru Classe B, Saint-Emilion Grand Cru")</f>
        <v>Chateau Troplong Mondot Premier Grand Cru Classe B, Saint-Emilion Grand Cru</v>
      </c>
      <c r="E709" s="9">
        <f>IFERROR(__xludf.DUMMYFUNCTION("""COMPUTED_VALUE"""),2002.0)</f>
        <v>2002</v>
      </c>
      <c r="F709" s="9">
        <f>IFERROR(__xludf.DUMMYFUNCTION("""COMPUTED_VALUE"""),750.0)</f>
        <v>750</v>
      </c>
      <c r="G709" s="9">
        <f>IFERROR(__xludf.DUMMYFUNCTION("""COMPUTED_VALUE"""),6.0)</f>
        <v>6</v>
      </c>
      <c r="H709" s="10">
        <f>IFERROR(__xludf.DUMMYFUNCTION("""COMPUTED_VALUE"""),2.0)</f>
        <v>2</v>
      </c>
      <c r="I709" s="11">
        <f>IFERROR(__xludf.DUMMYFUNCTION("""COMPUTED_VALUE"""),465.0)</f>
        <v>465</v>
      </c>
      <c r="J709" s="9" t="str">
        <f>IFERROR(__xludf.DUMMYFUNCTION("""COMPUTED_VALUE"""),"UK")</f>
        <v>UK</v>
      </c>
      <c r="K709" s="8"/>
      <c r="L709" s="12"/>
      <c r="M709" s="13"/>
      <c r="N709" s="13" t="str">
        <f>IFERROR(__xludf.DUMMYFUNCTION("IF(ISBLANK(M709),"""",M709*GOOGLEFINANCE(""USDGBP""))"),"")</f>
        <v/>
      </c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</row>
    <row r="710">
      <c r="A710" s="8" t="str">
        <f>IFERROR(__xludf.DUMMYFUNCTION("""COMPUTED_VALUE"""),"101594220110600750")</f>
        <v>101594220110600750</v>
      </c>
      <c r="B710" s="9" t="str">
        <f>IFERROR(__xludf.DUMMYFUNCTION("""COMPUTED_VALUE"""),"France")</f>
        <v>France</v>
      </c>
      <c r="C710" s="9" t="str">
        <f>IFERROR(__xludf.DUMMYFUNCTION("""COMPUTED_VALUE"""),"bordeaux")</f>
        <v>bordeaux</v>
      </c>
      <c r="D710" s="9" t="str">
        <f>IFERROR(__xludf.DUMMYFUNCTION("""COMPUTED_VALUE"""),"Chateau Troplong Mondot Premier Grand Cru Classe B, Saint-Emilion Grand Cru")</f>
        <v>Chateau Troplong Mondot Premier Grand Cru Classe B, Saint-Emilion Grand Cru</v>
      </c>
      <c r="E710" s="9">
        <f>IFERROR(__xludf.DUMMYFUNCTION("""COMPUTED_VALUE"""),2011.0)</f>
        <v>2011</v>
      </c>
      <c r="F710" s="9">
        <f>IFERROR(__xludf.DUMMYFUNCTION("""COMPUTED_VALUE"""),750.0)</f>
        <v>750</v>
      </c>
      <c r="G710" s="9">
        <f>IFERROR(__xludf.DUMMYFUNCTION("""COMPUTED_VALUE"""),6.0)</f>
        <v>6</v>
      </c>
      <c r="H710" s="10">
        <f>IFERROR(__xludf.DUMMYFUNCTION("""COMPUTED_VALUE"""),1.0)</f>
        <v>1</v>
      </c>
      <c r="I710" s="11">
        <f>IFERROR(__xludf.DUMMYFUNCTION("""COMPUTED_VALUE"""),448.0)</f>
        <v>448</v>
      </c>
      <c r="J710" s="9" t="str">
        <f>IFERROR(__xludf.DUMMYFUNCTION("""COMPUTED_VALUE"""),"UK")</f>
        <v>UK</v>
      </c>
      <c r="K710" s="8"/>
      <c r="L710" s="12"/>
      <c r="M710" s="13"/>
      <c r="N710" s="13" t="str">
        <f>IFERROR(__xludf.DUMMYFUNCTION("IF(ISBLANK(M710),"""",M710*GOOGLEFINANCE(""USDGBP""))"),"")</f>
        <v/>
      </c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</row>
    <row r="711">
      <c r="A711" s="8" t="str">
        <f>IFERROR(__xludf.DUMMYFUNCTION("""COMPUTED_VALUE"""),"101594220120600750")</f>
        <v>101594220120600750</v>
      </c>
      <c r="B711" s="9" t="str">
        <f>IFERROR(__xludf.DUMMYFUNCTION("""COMPUTED_VALUE"""),"France")</f>
        <v>France</v>
      </c>
      <c r="C711" s="9" t="str">
        <f>IFERROR(__xludf.DUMMYFUNCTION("""COMPUTED_VALUE"""),"bordeaux")</f>
        <v>bordeaux</v>
      </c>
      <c r="D711" s="9" t="str">
        <f>IFERROR(__xludf.DUMMYFUNCTION("""COMPUTED_VALUE"""),"Chateau Troplong Mondot Premier Grand Cru Classe B, Saint-Emilion Grand Cru")</f>
        <v>Chateau Troplong Mondot Premier Grand Cru Classe B, Saint-Emilion Grand Cru</v>
      </c>
      <c r="E711" s="9">
        <f>IFERROR(__xludf.DUMMYFUNCTION("""COMPUTED_VALUE"""),2012.0)</f>
        <v>2012</v>
      </c>
      <c r="F711" s="9">
        <f>IFERROR(__xludf.DUMMYFUNCTION("""COMPUTED_VALUE"""),750.0)</f>
        <v>750</v>
      </c>
      <c r="G711" s="9">
        <f>IFERROR(__xludf.DUMMYFUNCTION("""COMPUTED_VALUE"""),6.0)</f>
        <v>6</v>
      </c>
      <c r="H711" s="10">
        <f>IFERROR(__xludf.DUMMYFUNCTION("""COMPUTED_VALUE"""),3.0)</f>
        <v>3</v>
      </c>
      <c r="I711" s="11">
        <f>IFERROR(__xludf.DUMMYFUNCTION("""COMPUTED_VALUE"""),417.0)</f>
        <v>417</v>
      </c>
      <c r="J711" s="9" t="str">
        <f>IFERROR(__xludf.DUMMYFUNCTION("""COMPUTED_VALUE"""),"UK")</f>
        <v>UK</v>
      </c>
      <c r="K711" s="8"/>
      <c r="L711" s="12"/>
      <c r="M711" s="13"/>
      <c r="N711" s="13" t="str">
        <f>IFERROR(__xludf.DUMMYFUNCTION("IF(ISBLANK(M711),"""",M711*GOOGLEFINANCE(""USDGBP""))"),"")</f>
        <v/>
      </c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</row>
    <row r="712">
      <c r="A712" s="8" t="str">
        <f>IFERROR(__xludf.DUMMYFUNCTION("""COMPUTED_VALUE"""),"101594220170600750")</f>
        <v>101594220170600750</v>
      </c>
      <c r="B712" s="9" t="str">
        <f>IFERROR(__xludf.DUMMYFUNCTION("""COMPUTED_VALUE"""),"France")</f>
        <v>France</v>
      </c>
      <c r="C712" s="9" t="str">
        <f>IFERROR(__xludf.DUMMYFUNCTION("""COMPUTED_VALUE"""),"bordeaux")</f>
        <v>bordeaux</v>
      </c>
      <c r="D712" s="9" t="str">
        <f>IFERROR(__xludf.DUMMYFUNCTION("""COMPUTED_VALUE"""),"Chateau Troplong Mondot Premier Grand Cru Classe B, Saint-Emilion Grand Cru")</f>
        <v>Chateau Troplong Mondot Premier Grand Cru Classe B, Saint-Emilion Grand Cru</v>
      </c>
      <c r="E712" s="9">
        <f>IFERROR(__xludf.DUMMYFUNCTION("""COMPUTED_VALUE"""),2017.0)</f>
        <v>2017</v>
      </c>
      <c r="F712" s="9">
        <f>IFERROR(__xludf.DUMMYFUNCTION("""COMPUTED_VALUE"""),750.0)</f>
        <v>750</v>
      </c>
      <c r="G712" s="9">
        <f>IFERROR(__xludf.DUMMYFUNCTION("""COMPUTED_VALUE"""),6.0)</f>
        <v>6</v>
      </c>
      <c r="H712" s="10">
        <f>IFERROR(__xludf.DUMMYFUNCTION("""COMPUTED_VALUE"""),9.0)</f>
        <v>9</v>
      </c>
      <c r="I712" s="11">
        <f>IFERROR(__xludf.DUMMYFUNCTION("""COMPUTED_VALUE"""),392.0)</f>
        <v>392</v>
      </c>
      <c r="J712" s="9" t="str">
        <f>IFERROR(__xludf.DUMMYFUNCTION("""COMPUTED_VALUE"""),"UK")</f>
        <v>UK</v>
      </c>
      <c r="K712" s="8"/>
      <c r="L712" s="12"/>
      <c r="M712" s="13"/>
      <c r="N712" s="13" t="str">
        <f>IFERROR(__xludf.DUMMYFUNCTION("IF(ISBLANK(M712),"""",M712*GOOGLEFINANCE(""USDGBP""))"),"")</f>
        <v/>
      </c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</row>
    <row r="713">
      <c r="A713" s="8" t="str">
        <f>IFERROR(__xludf.DUMMYFUNCTION("""COMPUTED_VALUE"""),"101595520140600750")</f>
        <v>101595520140600750</v>
      </c>
      <c r="B713" s="9" t="str">
        <f>IFERROR(__xludf.DUMMYFUNCTION("""COMPUTED_VALUE"""),"France")</f>
        <v>France</v>
      </c>
      <c r="C713" s="9" t="str">
        <f>IFERROR(__xludf.DUMMYFUNCTION("""COMPUTED_VALUE"""),"bordeaux")</f>
        <v>bordeaux</v>
      </c>
      <c r="D713" s="9" t="str">
        <f>IFERROR(__xludf.DUMMYFUNCTION("""COMPUTED_VALUE"""),"Chateau Trotanoy, Pomerol")</f>
        <v>Chateau Trotanoy, Pomerol</v>
      </c>
      <c r="E713" s="9">
        <f>IFERROR(__xludf.DUMMYFUNCTION("""COMPUTED_VALUE"""),2014.0)</f>
        <v>2014</v>
      </c>
      <c r="F713" s="9">
        <f>IFERROR(__xludf.DUMMYFUNCTION("""COMPUTED_VALUE"""),750.0)</f>
        <v>750</v>
      </c>
      <c r="G713" s="9">
        <f>IFERROR(__xludf.DUMMYFUNCTION("""COMPUTED_VALUE"""),6.0)</f>
        <v>6</v>
      </c>
      <c r="H713" s="10">
        <f>IFERROR(__xludf.DUMMYFUNCTION("""COMPUTED_VALUE"""),1.0)</f>
        <v>1</v>
      </c>
      <c r="I713" s="11">
        <f>IFERROR(__xludf.DUMMYFUNCTION("""COMPUTED_VALUE"""),873.0)</f>
        <v>873</v>
      </c>
      <c r="J713" s="9" t="str">
        <f>IFERROR(__xludf.DUMMYFUNCTION("""COMPUTED_VALUE"""),"UK")</f>
        <v>UK</v>
      </c>
      <c r="K713" s="8"/>
      <c r="L713" s="12"/>
      <c r="M713" s="13"/>
      <c r="N713" s="13" t="str">
        <f>IFERROR(__xludf.DUMMYFUNCTION("IF(ISBLANK(M713),"""",M713*GOOGLEFINANCE(""USDGBP""))"),"")</f>
        <v/>
      </c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</row>
    <row r="714">
      <c r="A714" s="8" t="str">
        <f>IFERROR(__xludf.DUMMYFUNCTION("""COMPUTED_VALUE"""),"101595520170600750")</f>
        <v>101595520170600750</v>
      </c>
      <c r="B714" s="9" t="str">
        <f>IFERROR(__xludf.DUMMYFUNCTION("""COMPUTED_VALUE"""),"France")</f>
        <v>France</v>
      </c>
      <c r="C714" s="9" t="str">
        <f>IFERROR(__xludf.DUMMYFUNCTION("""COMPUTED_VALUE"""),"bordeaux")</f>
        <v>bordeaux</v>
      </c>
      <c r="D714" s="9" t="str">
        <f>IFERROR(__xludf.DUMMYFUNCTION("""COMPUTED_VALUE"""),"Chateau Trotanoy, Pomerol")</f>
        <v>Chateau Trotanoy, Pomerol</v>
      </c>
      <c r="E714" s="9">
        <f>IFERROR(__xludf.DUMMYFUNCTION("""COMPUTED_VALUE"""),2017.0)</f>
        <v>2017</v>
      </c>
      <c r="F714" s="9">
        <f>IFERROR(__xludf.DUMMYFUNCTION("""COMPUTED_VALUE"""),750.0)</f>
        <v>750</v>
      </c>
      <c r="G714" s="9">
        <f>IFERROR(__xludf.DUMMYFUNCTION("""COMPUTED_VALUE"""),6.0)</f>
        <v>6</v>
      </c>
      <c r="H714" s="10">
        <f>IFERROR(__xludf.DUMMYFUNCTION("""COMPUTED_VALUE"""),2.0)</f>
        <v>2</v>
      </c>
      <c r="I714" s="11">
        <f>IFERROR(__xludf.DUMMYFUNCTION("""COMPUTED_VALUE"""),1002.0)</f>
        <v>1002</v>
      </c>
      <c r="J714" s="9" t="str">
        <f>IFERROR(__xludf.DUMMYFUNCTION("""COMPUTED_VALUE"""),"UK")</f>
        <v>UK</v>
      </c>
      <c r="K714" s="8"/>
      <c r="L714" s="12"/>
      <c r="M714" s="13"/>
      <c r="N714" s="13" t="str">
        <f>IFERROR(__xludf.DUMMYFUNCTION("IF(ISBLANK(M714),"""",M714*GOOGLEFINANCE(""USDGBP""))"),"")</f>
        <v/>
      </c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</row>
    <row r="715">
      <c r="A715" s="8" t="str">
        <f>IFERROR(__xludf.DUMMYFUNCTION("""COMPUTED_VALUE"""),"101595520180600750")</f>
        <v>101595520180600750</v>
      </c>
      <c r="B715" s="9" t="str">
        <f>IFERROR(__xludf.DUMMYFUNCTION("""COMPUTED_VALUE"""),"France")</f>
        <v>France</v>
      </c>
      <c r="C715" s="9" t="str">
        <f>IFERROR(__xludf.DUMMYFUNCTION("""COMPUTED_VALUE"""),"bordeaux")</f>
        <v>bordeaux</v>
      </c>
      <c r="D715" s="9" t="str">
        <f>IFERROR(__xludf.DUMMYFUNCTION("""COMPUTED_VALUE"""),"Chateau Trotanoy, Pomerol")</f>
        <v>Chateau Trotanoy, Pomerol</v>
      </c>
      <c r="E715" s="9">
        <f>IFERROR(__xludf.DUMMYFUNCTION("""COMPUTED_VALUE"""),2018.0)</f>
        <v>2018</v>
      </c>
      <c r="F715" s="9">
        <f>IFERROR(__xludf.DUMMYFUNCTION("""COMPUTED_VALUE"""),750.0)</f>
        <v>750</v>
      </c>
      <c r="G715" s="9">
        <f>IFERROR(__xludf.DUMMYFUNCTION("""COMPUTED_VALUE"""),6.0)</f>
        <v>6</v>
      </c>
      <c r="H715" s="10">
        <f>IFERROR(__xludf.DUMMYFUNCTION("""COMPUTED_VALUE"""),4.0)</f>
        <v>4</v>
      </c>
      <c r="I715" s="11">
        <f>IFERROR(__xludf.DUMMYFUNCTION("""COMPUTED_VALUE"""),1520.0)</f>
        <v>1520</v>
      </c>
      <c r="J715" s="9" t="str">
        <f>IFERROR(__xludf.DUMMYFUNCTION("""COMPUTED_VALUE"""),"UK")</f>
        <v>UK</v>
      </c>
      <c r="K715" s="8"/>
      <c r="L715" s="12"/>
      <c r="M715" s="13"/>
      <c r="N715" s="13" t="str">
        <f>IFERROR(__xludf.DUMMYFUNCTION("IF(ISBLANK(M715),"""",M715*GOOGLEFINANCE(""USDGBP""))"),"")</f>
        <v/>
      </c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</row>
    <row r="716">
      <c r="A716" s="8" t="str">
        <f>IFERROR(__xludf.DUMMYFUNCTION("""COMPUTED_VALUE"""),"101598420140600750")</f>
        <v>101598420140600750</v>
      </c>
      <c r="B716" s="9" t="str">
        <f>IFERROR(__xludf.DUMMYFUNCTION("""COMPUTED_VALUE"""),"France")</f>
        <v>France</v>
      </c>
      <c r="C716" s="9" t="str">
        <f>IFERROR(__xludf.DUMMYFUNCTION("""COMPUTED_VALUE"""),"bordeaux")</f>
        <v>bordeaux</v>
      </c>
      <c r="D716" s="9" t="str">
        <f>IFERROR(__xludf.DUMMYFUNCTION("""COMPUTED_VALUE"""),"Chateau Valandraud Premier Grand Cru Classe B, Saint-Emilion Grand Cru")</f>
        <v>Chateau Valandraud Premier Grand Cru Classe B, Saint-Emilion Grand Cru</v>
      </c>
      <c r="E716" s="9">
        <f>IFERROR(__xludf.DUMMYFUNCTION("""COMPUTED_VALUE"""),2014.0)</f>
        <v>2014</v>
      </c>
      <c r="F716" s="9">
        <f>IFERROR(__xludf.DUMMYFUNCTION("""COMPUTED_VALUE"""),750.0)</f>
        <v>750</v>
      </c>
      <c r="G716" s="9">
        <f>IFERROR(__xludf.DUMMYFUNCTION("""COMPUTED_VALUE"""),6.0)</f>
        <v>6</v>
      </c>
      <c r="H716" s="10">
        <f>IFERROR(__xludf.DUMMYFUNCTION("""COMPUTED_VALUE"""),4.0)</f>
        <v>4</v>
      </c>
      <c r="I716" s="11">
        <f>IFERROR(__xludf.DUMMYFUNCTION("""COMPUTED_VALUE"""),653.0)</f>
        <v>653</v>
      </c>
      <c r="J716" s="9" t="str">
        <f>IFERROR(__xludf.DUMMYFUNCTION("""COMPUTED_VALUE"""),"UK")</f>
        <v>UK</v>
      </c>
      <c r="K716" s="8"/>
      <c r="L716" s="12"/>
      <c r="M716" s="13"/>
      <c r="N716" s="13" t="str">
        <f>IFERROR(__xludf.DUMMYFUNCTION("IF(ISBLANK(M716),"""",M716*GOOGLEFINANCE(""USDGBP""))"),"")</f>
        <v/>
      </c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</row>
    <row r="717">
      <c r="A717" s="8" t="str">
        <f>IFERROR(__xludf.DUMMYFUNCTION("""COMPUTED_VALUE"""),"101598420170600750")</f>
        <v>101598420170600750</v>
      </c>
      <c r="B717" s="9" t="str">
        <f>IFERROR(__xludf.DUMMYFUNCTION("""COMPUTED_VALUE"""),"France")</f>
        <v>France</v>
      </c>
      <c r="C717" s="9" t="str">
        <f>IFERROR(__xludf.DUMMYFUNCTION("""COMPUTED_VALUE"""),"bordeaux")</f>
        <v>bordeaux</v>
      </c>
      <c r="D717" s="9" t="str">
        <f>IFERROR(__xludf.DUMMYFUNCTION("""COMPUTED_VALUE"""),"Chateau Valandraud Premier Grand Cru Classe B, Saint-Emilion Grand Cru")</f>
        <v>Chateau Valandraud Premier Grand Cru Classe B, Saint-Emilion Grand Cru</v>
      </c>
      <c r="E717" s="9">
        <f>IFERROR(__xludf.DUMMYFUNCTION("""COMPUTED_VALUE"""),2017.0)</f>
        <v>2017</v>
      </c>
      <c r="F717" s="9">
        <f>IFERROR(__xludf.DUMMYFUNCTION("""COMPUTED_VALUE"""),750.0)</f>
        <v>750</v>
      </c>
      <c r="G717" s="9">
        <f>IFERROR(__xludf.DUMMYFUNCTION("""COMPUTED_VALUE"""),6.0)</f>
        <v>6</v>
      </c>
      <c r="H717" s="10">
        <f>IFERROR(__xludf.DUMMYFUNCTION("""COMPUTED_VALUE"""),17.0)</f>
        <v>17</v>
      </c>
      <c r="I717" s="11">
        <f>IFERROR(__xludf.DUMMYFUNCTION("""COMPUTED_VALUE"""),558.0)</f>
        <v>558</v>
      </c>
      <c r="J717" s="9" t="str">
        <f>IFERROR(__xludf.DUMMYFUNCTION("""COMPUTED_VALUE"""),"UK")</f>
        <v>UK</v>
      </c>
      <c r="K717" s="8"/>
      <c r="L717" s="12"/>
      <c r="M717" s="13"/>
      <c r="N717" s="13" t="str">
        <f>IFERROR(__xludf.DUMMYFUNCTION("IF(ISBLANK(M717),"""",M717*GOOGLEFINANCE(""USDGBP""))"),"")</f>
        <v/>
      </c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</row>
    <row r="718">
      <c r="A718" s="8" t="str">
        <f>IFERROR(__xludf.DUMMYFUNCTION("""COMPUTED_VALUE"""),"101598420180600750")</f>
        <v>101598420180600750</v>
      </c>
      <c r="B718" s="9" t="str">
        <f>IFERROR(__xludf.DUMMYFUNCTION("""COMPUTED_VALUE"""),"France")</f>
        <v>France</v>
      </c>
      <c r="C718" s="9" t="str">
        <f>IFERROR(__xludf.DUMMYFUNCTION("""COMPUTED_VALUE"""),"bordeaux")</f>
        <v>bordeaux</v>
      </c>
      <c r="D718" s="9" t="str">
        <f>IFERROR(__xludf.DUMMYFUNCTION("""COMPUTED_VALUE"""),"Chateau Valandraud Premier Grand Cru Classe B, Saint-Emilion Grand Cru")</f>
        <v>Chateau Valandraud Premier Grand Cru Classe B, Saint-Emilion Grand Cru</v>
      </c>
      <c r="E718" s="9">
        <f>IFERROR(__xludf.DUMMYFUNCTION("""COMPUTED_VALUE"""),2018.0)</f>
        <v>2018</v>
      </c>
      <c r="F718" s="9">
        <f>IFERROR(__xludf.DUMMYFUNCTION("""COMPUTED_VALUE"""),750.0)</f>
        <v>750</v>
      </c>
      <c r="G718" s="9">
        <f>IFERROR(__xludf.DUMMYFUNCTION("""COMPUTED_VALUE"""),6.0)</f>
        <v>6</v>
      </c>
      <c r="H718" s="10">
        <f>IFERROR(__xludf.DUMMYFUNCTION("""COMPUTED_VALUE"""),6.0)</f>
        <v>6</v>
      </c>
      <c r="I718" s="11">
        <f>IFERROR(__xludf.DUMMYFUNCTION("""COMPUTED_VALUE"""),739.0)</f>
        <v>739</v>
      </c>
      <c r="J718" s="9" t="str">
        <f>IFERROR(__xludf.DUMMYFUNCTION("""COMPUTED_VALUE"""),"UK")</f>
        <v>UK</v>
      </c>
      <c r="K718" s="8"/>
      <c r="L718" s="12"/>
      <c r="M718" s="13"/>
      <c r="N718" s="13" t="str">
        <f>IFERROR(__xludf.DUMMYFUNCTION("IF(ISBLANK(M718),"""",M718*GOOGLEFINANCE(""USDGBP""))"),"")</f>
        <v/>
      </c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</row>
    <row r="719">
      <c r="A719" s="8" t="str">
        <f>IFERROR(__xludf.DUMMYFUNCTION("""COMPUTED_VALUE"""),"101598420190600750")</f>
        <v>101598420190600750</v>
      </c>
      <c r="B719" s="9" t="str">
        <f>IFERROR(__xludf.DUMMYFUNCTION("""COMPUTED_VALUE"""),"France")</f>
        <v>France</v>
      </c>
      <c r="C719" s="9" t="str">
        <f>IFERROR(__xludf.DUMMYFUNCTION("""COMPUTED_VALUE"""),"bordeaux")</f>
        <v>bordeaux</v>
      </c>
      <c r="D719" s="9" t="str">
        <f>IFERROR(__xludf.DUMMYFUNCTION("""COMPUTED_VALUE"""),"Chateau Valandraud Premier Grand Cru Classe B, Saint-Emilion Grand Cru")</f>
        <v>Chateau Valandraud Premier Grand Cru Classe B, Saint-Emilion Grand Cru</v>
      </c>
      <c r="E719" s="9">
        <f>IFERROR(__xludf.DUMMYFUNCTION("""COMPUTED_VALUE"""),2019.0)</f>
        <v>2019</v>
      </c>
      <c r="F719" s="9">
        <f>IFERROR(__xludf.DUMMYFUNCTION("""COMPUTED_VALUE"""),750.0)</f>
        <v>750</v>
      </c>
      <c r="G719" s="9">
        <f>IFERROR(__xludf.DUMMYFUNCTION("""COMPUTED_VALUE"""),6.0)</f>
        <v>6</v>
      </c>
      <c r="H719" s="10">
        <f>IFERROR(__xludf.DUMMYFUNCTION("""COMPUTED_VALUE"""),7.0)</f>
        <v>7</v>
      </c>
      <c r="I719" s="11">
        <f>IFERROR(__xludf.DUMMYFUNCTION("""COMPUTED_VALUE"""),560.0)</f>
        <v>560</v>
      </c>
      <c r="J719" s="9" t="str">
        <f>IFERROR(__xludf.DUMMYFUNCTION("""COMPUTED_VALUE"""),"UK")</f>
        <v>UK</v>
      </c>
      <c r="K719" s="8"/>
      <c r="L719" s="12"/>
      <c r="M719" s="13"/>
      <c r="N719" s="13" t="str">
        <f>IFERROR(__xludf.DUMMYFUNCTION("IF(ISBLANK(M719),"""",M719*GOOGLEFINANCE(""USDGBP""))"),"")</f>
        <v/>
      </c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</row>
    <row r="720">
      <c r="A720" s="8" t="str">
        <f>IFERROR(__xludf.DUMMYFUNCTION("""COMPUTED_VALUE"""),"101598420200600750")</f>
        <v>101598420200600750</v>
      </c>
      <c r="B720" s="9" t="str">
        <f>IFERROR(__xludf.DUMMYFUNCTION("""COMPUTED_VALUE"""),"France")</f>
        <v>France</v>
      </c>
      <c r="C720" s="9" t="str">
        <f>IFERROR(__xludf.DUMMYFUNCTION("""COMPUTED_VALUE"""),"bordeaux")</f>
        <v>bordeaux</v>
      </c>
      <c r="D720" s="9" t="str">
        <f>IFERROR(__xludf.DUMMYFUNCTION("""COMPUTED_VALUE"""),"Chateau Valandraud Premier Grand Cru Classe B, Saint-Emilion Grand Cru")</f>
        <v>Chateau Valandraud Premier Grand Cru Classe B, Saint-Emilion Grand Cru</v>
      </c>
      <c r="E720" s="9">
        <f>IFERROR(__xludf.DUMMYFUNCTION("""COMPUTED_VALUE"""),2020.0)</f>
        <v>2020</v>
      </c>
      <c r="F720" s="9">
        <f>IFERROR(__xludf.DUMMYFUNCTION("""COMPUTED_VALUE"""),750.0)</f>
        <v>750</v>
      </c>
      <c r="G720" s="9">
        <f>IFERROR(__xludf.DUMMYFUNCTION("""COMPUTED_VALUE"""),6.0)</f>
        <v>6</v>
      </c>
      <c r="H720" s="10">
        <f>IFERROR(__xludf.DUMMYFUNCTION("""COMPUTED_VALUE"""),5.0)</f>
        <v>5</v>
      </c>
      <c r="I720" s="11">
        <f>IFERROR(__xludf.DUMMYFUNCTION("""COMPUTED_VALUE"""),599.0)</f>
        <v>599</v>
      </c>
      <c r="J720" s="9" t="str">
        <f>IFERROR(__xludf.DUMMYFUNCTION("""COMPUTED_VALUE"""),"UK")</f>
        <v>UK</v>
      </c>
      <c r="K720" s="8"/>
      <c r="L720" s="12"/>
      <c r="M720" s="13"/>
      <c r="N720" s="13" t="str">
        <f>IFERROR(__xludf.DUMMYFUNCTION("IF(ISBLANK(M720),"""",M720*GOOGLEFINANCE(""USDGBP""))"),"")</f>
        <v/>
      </c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</row>
    <row r="721">
      <c r="A721" s="8" t="str">
        <f>IFERROR(__xludf.DUMMYFUNCTION("""COMPUTED_VALUE"""),"100609020171200750")</f>
        <v>100609020171200750</v>
      </c>
      <c r="B721" s="9" t="str">
        <f>IFERROR(__xludf.DUMMYFUNCTION("""COMPUTED_VALUE"""),"France")</f>
        <v>France</v>
      </c>
      <c r="C721" s="9" t="str">
        <f>IFERROR(__xludf.DUMMYFUNCTION("""COMPUTED_VALUE"""),"bordeaux")</f>
        <v>bordeaux</v>
      </c>
      <c r="D721" s="9" t="str">
        <f>IFERROR(__xludf.DUMMYFUNCTION("""COMPUTED_VALUE"""),"Chateau d'Armailhac 5eme Cru Classe, Pauillac")</f>
        <v>Chateau d'Armailhac 5eme Cru Classe, Pauillac</v>
      </c>
      <c r="E721" s="9">
        <f>IFERROR(__xludf.DUMMYFUNCTION("""COMPUTED_VALUE"""),2017.0)</f>
        <v>2017</v>
      </c>
      <c r="F721" s="9">
        <f>IFERROR(__xludf.DUMMYFUNCTION("""COMPUTED_VALUE"""),750.0)</f>
        <v>750</v>
      </c>
      <c r="G721" s="9">
        <f>IFERROR(__xludf.DUMMYFUNCTION("""COMPUTED_VALUE"""),12.0)</f>
        <v>12</v>
      </c>
      <c r="H721" s="10">
        <f>IFERROR(__xludf.DUMMYFUNCTION("""COMPUTED_VALUE"""),3.0)</f>
        <v>3</v>
      </c>
      <c r="I721" s="11">
        <f>IFERROR(__xludf.DUMMYFUNCTION("""COMPUTED_VALUE"""),459.0)</f>
        <v>459</v>
      </c>
      <c r="J721" s="9" t="str">
        <f>IFERROR(__xludf.DUMMYFUNCTION("""COMPUTED_VALUE"""),"UK")</f>
        <v>UK</v>
      </c>
      <c r="K721" s="8"/>
      <c r="L721" s="12"/>
      <c r="M721" s="13"/>
      <c r="N721" s="13" t="str">
        <f>IFERROR(__xludf.DUMMYFUNCTION("IF(ISBLANK(M721),"""",M721*GOOGLEFINANCE(""USDGBP""))"),"")</f>
        <v/>
      </c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</row>
    <row r="722">
      <c r="A722" s="8" t="str">
        <f>IFERROR(__xludf.DUMMYFUNCTION("""COMPUTED_VALUE"""),"100609020180600750")</f>
        <v>100609020180600750</v>
      </c>
      <c r="B722" s="9" t="str">
        <f>IFERROR(__xludf.DUMMYFUNCTION("""COMPUTED_VALUE"""),"France")</f>
        <v>France</v>
      </c>
      <c r="C722" s="9" t="str">
        <f>IFERROR(__xludf.DUMMYFUNCTION("""COMPUTED_VALUE"""),"bordeaux")</f>
        <v>bordeaux</v>
      </c>
      <c r="D722" s="9" t="str">
        <f>IFERROR(__xludf.DUMMYFUNCTION("""COMPUTED_VALUE"""),"Chateau d'Armailhac 5eme Cru Classe, Pauillac")</f>
        <v>Chateau d'Armailhac 5eme Cru Classe, Pauillac</v>
      </c>
      <c r="E722" s="9">
        <f>IFERROR(__xludf.DUMMYFUNCTION("""COMPUTED_VALUE"""),2018.0)</f>
        <v>2018</v>
      </c>
      <c r="F722" s="9">
        <f>IFERROR(__xludf.DUMMYFUNCTION("""COMPUTED_VALUE"""),750.0)</f>
        <v>750</v>
      </c>
      <c r="G722" s="9">
        <f>IFERROR(__xludf.DUMMYFUNCTION("""COMPUTED_VALUE"""),6.0)</f>
        <v>6</v>
      </c>
      <c r="H722" s="10">
        <f>IFERROR(__xludf.DUMMYFUNCTION("""COMPUTED_VALUE"""),1.0)</f>
        <v>1</v>
      </c>
      <c r="I722" s="11">
        <f>IFERROR(__xludf.DUMMYFUNCTION("""COMPUTED_VALUE"""),235.0)</f>
        <v>235</v>
      </c>
      <c r="J722" s="9" t="str">
        <f>IFERROR(__xludf.DUMMYFUNCTION("""COMPUTED_VALUE"""),"UK")</f>
        <v>UK</v>
      </c>
      <c r="K722" s="8"/>
      <c r="L722" s="12"/>
      <c r="M722" s="13"/>
      <c r="N722" s="13" t="str">
        <f>IFERROR(__xludf.DUMMYFUNCTION("IF(ISBLANK(M722),"""",M722*GOOGLEFINANCE(""USDGBP""))"),"")</f>
        <v/>
      </c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</row>
    <row r="723">
      <c r="A723" s="8" t="str">
        <f>IFERROR(__xludf.DUMMYFUNCTION("""COMPUTED_VALUE"""),"100609020181200750")</f>
        <v>100609020181200750</v>
      </c>
      <c r="B723" s="9" t="str">
        <f>IFERROR(__xludf.DUMMYFUNCTION("""COMPUTED_VALUE"""),"France")</f>
        <v>France</v>
      </c>
      <c r="C723" s="9" t="str">
        <f>IFERROR(__xludf.DUMMYFUNCTION("""COMPUTED_VALUE"""),"bordeaux")</f>
        <v>bordeaux</v>
      </c>
      <c r="D723" s="9" t="str">
        <f>IFERROR(__xludf.DUMMYFUNCTION("""COMPUTED_VALUE"""),"Chateau d'Armailhac 5eme Cru Classe, Pauillac")</f>
        <v>Chateau d'Armailhac 5eme Cru Classe, Pauillac</v>
      </c>
      <c r="E723" s="9">
        <f>IFERROR(__xludf.DUMMYFUNCTION("""COMPUTED_VALUE"""),2018.0)</f>
        <v>2018</v>
      </c>
      <c r="F723" s="9">
        <f>IFERROR(__xludf.DUMMYFUNCTION("""COMPUTED_VALUE"""),750.0)</f>
        <v>750</v>
      </c>
      <c r="G723" s="9">
        <f>IFERROR(__xludf.DUMMYFUNCTION("""COMPUTED_VALUE"""),12.0)</f>
        <v>12</v>
      </c>
      <c r="H723" s="10">
        <f>IFERROR(__xludf.DUMMYFUNCTION("""COMPUTED_VALUE"""),2.0)</f>
        <v>2</v>
      </c>
      <c r="I723" s="11">
        <f>IFERROR(__xludf.DUMMYFUNCTION("""COMPUTED_VALUE"""),484.0)</f>
        <v>484</v>
      </c>
      <c r="J723" s="9" t="str">
        <f>IFERROR(__xludf.DUMMYFUNCTION("""COMPUTED_VALUE"""),"UK")</f>
        <v>UK</v>
      </c>
      <c r="K723" s="8"/>
      <c r="L723" s="12"/>
      <c r="M723" s="13"/>
      <c r="N723" s="13" t="str">
        <f>IFERROR(__xludf.DUMMYFUNCTION("IF(ISBLANK(M723),"""",M723*GOOGLEFINANCE(""USDGBP""))"),"")</f>
        <v/>
      </c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</row>
    <row r="724">
      <c r="A724" s="8" t="str">
        <f>IFERROR(__xludf.DUMMYFUNCTION("""COMPUTED_VALUE"""),"100609020190600750")</f>
        <v>100609020190600750</v>
      </c>
      <c r="B724" s="9" t="str">
        <f>IFERROR(__xludf.DUMMYFUNCTION("""COMPUTED_VALUE"""),"France")</f>
        <v>France</v>
      </c>
      <c r="C724" s="9" t="str">
        <f>IFERROR(__xludf.DUMMYFUNCTION("""COMPUTED_VALUE"""),"bordeaux")</f>
        <v>bordeaux</v>
      </c>
      <c r="D724" s="9" t="str">
        <f>IFERROR(__xludf.DUMMYFUNCTION("""COMPUTED_VALUE"""),"Chateau d'Armailhac 5eme Cru Classe, Pauillac")</f>
        <v>Chateau d'Armailhac 5eme Cru Classe, Pauillac</v>
      </c>
      <c r="E724" s="9">
        <f>IFERROR(__xludf.DUMMYFUNCTION("""COMPUTED_VALUE"""),2019.0)</f>
        <v>2019</v>
      </c>
      <c r="F724" s="9">
        <f>IFERROR(__xludf.DUMMYFUNCTION("""COMPUTED_VALUE"""),750.0)</f>
        <v>750</v>
      </c>
      <c r="G724" s="9">
        <f>IFERROR(__xludf.DUMMYFUNCTION("""COMPUTED_VALUE"""),6.0)</f>
        <v>6</v>
      </c>
      <c r="H724" s="10">
        <f>IFERROR(__xludf.DUMMYFUNCTION("""COMPUTED_VALUE"""),1.0)</f>
        <v>1</v>
      </c>
      <c r="I724" s="11">
        <f>IFERROR(__xludf.DUMMYFUNCTION("""COMPUTED_VALUE"""),218.0)</f>
        <v>218</v>
      </c>
      <c r="J724" s="9" t="str">
        <f>IFERROR(__xludf.DUMMYFUNCTION("""COMPUTED_VALUE"""),"UK")</f>
        <v>UK</v>
      </c>
      <c r="K724" s="8"/>
      <c r="L724" s="12"/>
      <c r="M724" s="13"/>
      <c r="N724" s="13" t="str">
        <f>IFERROR(__xludf.DUMMYFUNCTION("IF(ISBLANK(M724),"""",M724*GOOGLEFINANCE(""USDGBP""))"),"")</f>
        <v/>
      </c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</row>
    <row r="725">
      <c r="A725" s="8" t="str">
        <f>IFERROR(__xludf.DUMMYFUNCTION("""COMPUTED_VALUE"""),"101165420160600750")</f>
        <v>101165420160600750</v>
      </c>
      <c r="B725" s="9" t="str">
        <f>IFERROR(__xludf.DUMMYFUNCTION("""COMPUTED_VALUE"""),"France")</f>
        <v>France</v>
      </c>
      <c r="C725" s="9" t="str">
        <f>IFERROR(__xludf.DUMMYFUNCTION("""COMPUTED_VALUE"""),"bordeaux")</f>
        <v>bordeaux</v>
      </c>
      <c r="D725" s="9" t="str">
        <f>IFERROR(__xludf.DUMMYFUNCTION("""COMPUTED_VALUE"""),"Chateau d'Issan 3eme Cru Classe, Margaux")</f>
        <v>Chateau d'Issan 3eme Cru Classe, Margaux</v>
      </c>
      <c r="E725" s="9">
        <f>IFERROR(__xludf.DUMMYFUNCTION("""COMPUTED_VALUE"""),2016.0)</f>
        <v>2016</v>
      </c>
      <c r="F725" s="9">
        <f>IFERROR(__xludf.DUMMYFUNCTION("""COMPUTED_VALUE"""),750.0)</f>
        <v>750</v>
      </c>
      <c r="G725" s="9">
        <f>IFERROR(__xludf.DUMMYFUNCTION("""COMPUTED_VALUE"""),6.0)</f>
        <v>6</v>
      </c>
      <c r="H725" s="10">
        <f>IFERROR(__xludf.DUMMYFUNCTION("""COMPUTED_VALUE"""),3.0)</f>
        <v>3</v>
      </c>
      <c r="I725" s="11">
        <f>IFERROR(__xludf.DUMMYFUNCTION("""COMPUTED_VALUE"""),289.0)</f>
        <v>289</v>
      </c>
      <c r="J725" s="9" t="str">
        <f>IFERROR(__xludf.DUMMYFUNCTION("""COMPUTED_VALUE"""),"UK")</f>
        <v>UK</v>
      </c>
      <c r="K725" s="8"/>
      <c r="L725" s="12"/>
      <c r="M725" s="13"/>
      <c r="N725" s="13" t="str">
        <f>IFERROR(__xludf.DUMMYFUNCTION("IF(ISBLANK(M725),"""",M725*GOOGLEFINANCE(""USDGBP""))"),"")</f>
        <v/>
      </c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</row>
    <row r="726">
      <c r="A726" s="8" t="str">
        <f>IFERROR(__xludf.DUMMYFUNCTION("""COMPUTED_VALUE"""),"101165420171200750")</f>
        <v>101165420171200750</v>
      </c>
      <c r="B726" s="9" t="str">
        <f>IFERROR(__xludf.DUMMYFUNCTION("""COMPUTED_VALUE"""),"France")</f>
        <v>France</v>
      </c>
      <c r="C726" s="9" t="str">
        <f>IFERROR(__xludf.DUMMYFUNCTION("""COMPUTED_VALUE"""),"bordeaux")</f>
        <v>bordeaux</v>
      </c>
      <c r="D726" s="9" t="str">
        <f>IFERROR(__xludf.DUMMYFUNCTION("""COMPUTED_VALUE"""),"Chateau d'Issan 3eme Cru Classe, Margaux")</f>
        <v>Chateau d'Issan 3eme Cru Classe, Margaux</v>
      </c>
      <c r="E726" s="9">
        <f>IFERROR(__xludf.DUMMYFUNCTION("""COMPUTED_VALUE"""),2017.0)</f>
        <v>2017</v>
      </c>
      <c r="F726" s="9">
        <f>IFERROR(__xludf.DUMMYFUNCTION("""COMPUTED_VALUE"""),750.0)</f>
        <v>750</v>
      </c>
      <c r="G726" s="9">
        <f>IFERROR(__xludf.DUMMYFUNCTION("""COMPUTED_VALUE"""),12.0)</f>
        <v>12</v>
      </c>
      <c r="H726" s="10">
        <f>IFERROR(__xludf.DUMMYFUNCTION("""COMPUTED_VALUE"""),5.0)</f>
        <v>5</v>
      </c>
      <c r="I726" s="11">
        <f>IFERROR(__xludf.DUMMYFUNCTION("""COMPUTED_VALUE"""),448.0)</f>
        <v>448</v>
      </c>
      <c r="J726" s="9" t="str">
        <f>IFERROR(__xludf.DUMMYFUNCTION("""COMPUTED_VALUE"""),"UK")</f>
        <v>UK</v>
      </c>
      <c r="K726" s="8"/>
      <c r="L726" s="12"/>
      <c r="M726" s="13"/>
      <c r="N726" s="13" t="str">
        <f>IFERROR(__xludf.DUMMYFUNCTION("IF(ISBLANK(M726),"""",M726*GOOGLEFINANCE(""USDGBP""))"),"")</f>
        <v/>
      </c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</row>
    <row r="727">
      <c r="A727" s="8" t="str">
        <f>IFERROR(__xludf.DUMMYFUNCTION("""COMPUTED_VALUE"""),"101539120031200750")</f>
        <v>101539120031200750</v>
      </c>
      <c r="B727" s="9" t="str">
        <f>IFERROR(__xludf.DUMMYFUNCTION("""COMPUTED_VALUE"""),"France")</f>
        <v>France</v>
      </c>
      <c r="C727" s="9" t="str">
        <f>IFERROR(__xludf.DUMMYFUNCTION("""COMPUTED_VALUE"""),"bordeaux")</f>
        <v>bordeaux</v>
      </c>
      <c r="D727" s="9" t="str">
        <f>IFERROR(__xludf.DUMMYFUNCTION("""COMPUTED_VALUE"""),"Chateau du Tertre 5eme Cru Classe, Margaux")</f>
        <v>Chateau du Tertre 5eme Cru Classe, Margaux</v>
      </c>
      <c r="E727" s="9">
        <f>IFERROR(__xludf.DUMMYFUNCTION("""COMPUTED_VALUE"""),2003.0)</f>
        <v>2003</v>
      </c>
      <c r="F727" s="9">
        <f>IFERROR(__xludf.DUMMYFUNCTION("""COMPUTED_VALUE"""),750.0)</f>
        <v>750</v>
      </c>
      <c r="G727" s="9">
        <f>IFERROR(__xludf.DUMMYFUNCTION("""COMPUTED_VALUE"""),12.0)</f>
        <v>12</v>
      </c>
      <c r="H727" s="10">
        <f>IFERROR(__xludf.DUMMYFUNCTION("""COMPUTED_VALUE"""),2.0)</f>
        <v>2</v>
      </c>
      <c r="I727" s="11">
        <f>IFERROR(__xludf.DUMMYFUNCTION("""COMPUTED_VALUE"""),483.0)</f>
        <v>483</v>
      </c>
      <c r="J727" s="9" t="str">
        <f>IFERROR(__xludf.DUMMYFUNCTION("""COMPUTED_VALUE"""),"UK")</f>
        <v>UK</v>
      </c>
      <c r="K727" s="8"/>
      <c r="L727" s="12"/>
      <c r="M727" s="13"/>
      <c r="N727" s="13" t="str">
        <f>IFERROR(__xludf.DUMMYFUNCTION("IF(ISBLANK(M727),"""",M727*GOOGLEFINANCE(""USDGBP""))"),"")</f>
        <v/>
      </c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</row>
    <row r="728">
      <c r="A728" s="8" t="str">
        <f>IFERROR(__xludf.DUMMYFUNCTION("""COMPUTED_VALUE"""),"101539120161200750")</f>
        <v>101539120161200750</v>
      </c>
      <c r="B728" s="9" t="str">
        <f>IFERROR(__xludf.DUMMYFUNCTION("""COMPUTED_VALUE"""),"France")</f>
        <v>France</v>
      </c>
      <c r="C728" s="9" t="str">
        <f>IFERROR(__xludf.DUMMYFUNCTION("""COMPUTED_VALUE"""),"bordeaux")</f>
        <v>bordeaux</v>
      </c>
      <c r="D728" s="9" t="str">
        <f>IFERROR(__xludf.DUMMYFUNCTION("""COMPUTED_VALUE"""),"Chateau du Tertre 5eme Cru Classe, Margaux")</f>
        <v>Chateau du Tertre 5eme Cru Classe, Margaux</v>
      </c>
      <c r="E728" s="9">
        <f>IFERROR(__xludf.DUMMYFUNCTION("""COMPUTED_VALUE"""),2016.0)</f>
        <v>2016</v>
      </c>
      <c r="F728" s="9">
        <f>IFERROR(__xludf.DUMMYFUNCTION("""COMPUTED_VALUE"""),750.0)</f>
        <v>750</v>
      </c>
      <c r="G728" s="9">
        <f>IFERROR(__xludf.DUMMYFUNCTION("""COMPUTED_VALUE"""),12.0)</f>
        <v>12</v>
      </c>
      <c r="H728" s="10">
        <f>IFERROR(__xludf.DUMMYFUNCTION("""COMPUTED_VALUE"""),1.0)</f>
        <v>1</v>
      </c>
      <c r="I728" s="11">
        <f>IFERROR(__xludf.DUMMYFUNCTION("""COMPUTED_VALUE"""),414.0)</f>
        <v>414</v>
      </c>
      <c r="J728" s="9" t="str">
        <f>IFERROR(__xludf.DUMMYFUNCTION("""COMPUTED_VALUE"""),"UK")</f>
        <v>UK</v>
      </c>
      <c r="K728" s="8"/>
      <c r="L728" s="12"/>
      <c r="M728" s="13"/>
      <c r="N728" s="13" t="str">
        <f>IFERROR(__xludf.DUMMYFUNCTION("IF(ISBLANK(M728),"""",M728*GOOGLEFINANCE(""USDGBP""))"),"")</f>
        <v/>
      </c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</row>
    <row r="729">
      <c r="A729" s="8" t="str">
        <f>IFERROR(__xludf.DUMMYFUNCTION("""COMPUTED_VALUE"""),"100833920150600750")</f>
        <v>100833920150600750</v>
      </c>
      <c r="B729" s="9" t="str">
        <f>IFERROR(__xludf.DUMMYFUNCTION("""COMPUTED_VALUE"""),"France")</f>
        <v>France</v>
      </c>
      <c r="C729" s="9" t="str">
        <f>IFERROR(__xludf.DUMMYFUNCTION("""COMPUTED_VALUE"""),"bordeaux")</f>
        <v>bordeaux</v>
      </c>
      <c r="D729" s="9" t="str">
        <f>IFERROR(__xludf.DUMMYFUNCTION("""COMPUTED_VALUE"""),"Clos Fourtet Premier Grand Cru Classe B, Saint-Emilion Grand Cru")</f>
        <v>Clos Fourtet Premier Grand Cru Classe B, Saint-Emilion Grand Cru</v>
      </c>
      <c r="E729" s="9">
        <f>IFERROR(__xludf.DUMMYFUNCTION("""COMPUTED_VALUE"""),2015.0)</f>
        <v>2015</v>
      </c>
      <c r="F729" s="9">
        <f>IFERROR(__xludf.DUMMYFUNCTION("""COMPUTED_VALUE"""),750.0)</f>
        <v>750</v>
      </c>
      <c r="G729" s="9">
        <f>IFERROR(__xludf.DUMMYFUNCTION("""COMPUTED_VALUE"""),6.0)</f>
        <v>6</v>
      </c>
      <c r="H729" s="10">
        <f>IFERROR(__xludf.DUMMYFUNCTION("""COMPUTED_VALUE"""),1.0)</f>
        <v>1</v>
      </c>
      <c r="I729" s="11">
        <f>IFERROR(__xludf.DUMMYFUNCTION("""COMPUTED_VALUE"""),549.0)</f>
        <v>549</v>
      </c>
      <c r="J729" s="9" t="str">
        <f>IFERROR(__xludf.DUMMYFUNCTION("""COMPUTED_VALUE"""),"UK")</f>
        <v>UK</v>
      </c>
      <c r="K729" s="8"/>
      <c r="L729" s="12"/>
      <c r="M729" s="13"/>
      <c r="N729" s="13" t="str">
        <f>IFERROR(__xludf.DUMMYFUNCTION("IF(ISBLANK(M729),"""",M729*GOOGLEFINANCE(""USDGBP""))"),"")</f>
        <v/>
      </c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</row>
    <row r="730">
      <c r="A730" s="8" t="str">
        <f>IFERROR(__xludf.DUMMYFUNCTION("""COMPUTED_VALUE"""),"100833920170600750")</f>
        <v>100833920170600750</v>
      </c>
      <c r="B730" s="9" t="str">
        <f>IFERROR(__xludf.DUMMYFUNCTION("""COMPUTED_VALUE"""),"France")</f>
        <v>France</v>
      </c>
      <c r="C730" s="9" t="str">
        <f>IFERROR(__xludf.DUMMYFUNCTION("""COMPUTED_VALUE"""),"bordeaux")</f>
        <v>bordeaux</v>
      </c>
      <c r="D730" s="9" t="str">
        <f>IFERROR(__xludf.DUMMYFUNCTION("""COMPUTED_VALUE"""),"Clos Fourtet Premier Grand Cru Classe B, Saint-Emilion Grand Cru")</f>
        <v>Clos Fourtet Premier Grand Cru Classe B, Saint-Emilion Grand Cru</v>
      </c>
      <c r="E730" s="9">
        <f>IFERROR(__xludf.DUMMYFUNCTION("""COMPUTED_VALUE"""),2017.0)</f>
        <v>2017</v>
      </c>
      <c r="F730" s="9">
        <f>IFERROR(__xludf.DUMMYFUNCTION("""COMPUTED_VALUE"""),750.0)</f>
        <v>750</v>
      </c>
      <c r="G730" s="9">
        <f>IFERROR(__xludf.DUMMYFUNCTION("""COMPUTED_VALUE"""),6.0)</f>
        <v>6</v>
      </c>
      <c r="H730" s="10">
        <f>IFERROR(__xludf.DUMMYFUNCTION("""COMPUTED_VALUE"""),1.0)</f>
        <v>1</v>
      </c>
      <c r="I730" s="11">
        <f>IFERROR(__xludf.DUMMYFUNCTION("""COMPUTED_VALUE"""),487.0)</f>
        <v>487</v>
      </c>
      <c r="J730" s="9" t="str">
        <f>IFERROR(__xludf.DUMMYFUNCTION("""COMPUTED_VALUE"""),"UK")</f>
        <v>UK</v>
      </c>
      <c r="K730" s="8"/>
      <c r="L730" s="12"/>
      <c r="M730" s="13"/>
      <c r="N730" s="13" t="str">
        <f>IFERROR(__xludf.DUMMYFUNCTION("IF(ISBLANK(M730),"""",M730*GOOGLEFINANCE(""USDGBP""))"),"")</f>
        <v/>
      </c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</row>
    <row r="731">
      <c r="A731" s="8" t="str">
        <f>IFERROR(__xludf.DUMMYFUNCTION("""COMPUTED_VALUE"""),"100841420101200750")</f>
        <v>100841420101200750</v>
      </c>
      <c r="B731" s="9" t="str">
        <f>IFERROR(__xludf.DUMMYFUNCTION("""COMPUTED_VALUE"""),"France")</f>
        <v>France</v>
      </c>
      <c r="C731" s="9" t="str">
        <f>IFERROR(__xludf.DUMMYFUNCTION("""COMPUTED_VALUE"""),"bordeaux")</f>
        <v>bordeaux</v>
      </c>
      <c r="D731" s="9" t="str">
        <f>IFERROR(__xludf.DUMMYFUNCTION("""COMPUTED_VALUE"""),"Clos du Marquis, Saint-Julien")</f>
        <v>Clos du Marquis, Saint-Julien</v>
      </c>
      <c r="E731" s="9">
        <f>IFERROR(__xludf.DUMMYFUNCTION("""COMPUTED_VALUE"""),2010.0)</f>
        <v>2010</v>
      </c>
      <c r="F731" s="9">
        <f>IFERROR(__xludf.DUMMYFUNCTION("""COMPUTED_VALUE"""),750.0)</f>
        <v>750</v>
      </c>
      <c r="G731" s="9">
        <f>IFERROR(__xludf.DUMMYFUNCTION("""COMPUTED_VALUE"""),12.0)</f>
        <v>12</v>
      </c>
      <c r="H731" s="10">
        <f>IFERROR(__xludf.DUMMYFUNCTION("""COMPUTED_VALUE"""),1.0)</f>
        <v>1</v>
      </c>
      <c r="I731" s="11">
        <f>IFERROR(__xludf.DUMMYFUNCTION("""COMPUTED_VALUE"""),683.0)</f>
        <v>683</v>
      </c>
      <c r="J731" s="9" t="str">
        <f>IFERROR(__xludf.DUMMYFUNCTION("""COMPUTED_VALUE"""),"UK")</f>
        <v>UK</v>
      </c>
      <c r="K731" s="8"/>
      <c r="L731" s="12"/>
      <c r="M731" s="13"/>
      <c r="N731" s="13" t="str">
        <f>IFERROR(__xludf.DUMMYFUNCTION("IF(ISBLANK(M731),"""",M731*GOOGLEFINANCE(""USDGBP""))"),"")</f>
        <v/>
      </c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</row>
    <row r="732">
      <c r="A732" s="8" t="str">
        <f>IFERROR(__xludf.DUMMYFUNCTION("""COMPUTED_VALUE"""),"100878820150600750")</f>
        <v>100878820150600750</v>
      </c>
      <c r="B732" s="9" t="str">
        <f>IFERROR(__xludf.DUMMYFUNCTION("""COMPUTED_VALUE"""),"France")</f>
        <v>France</v>
      </c>
      <c r="C732" s="9" t="str">
        <f>IFERROR(__xludf.DUMMYFUNCTION("""COMPUTED_VALUE"""),"bordeaux")</f>
        <v>bordeaux</v>
      </c>
      <c r="D732" s="9" t="str">
        <f>IFERROR(__xludf.DUMMYFUNCTION("""COMPUTED_VALUE"""),"Cos d'Estournel 2eme Cru Classe, Saint-Estephe")</f>
        <v>Cos d'Estournel 2eme Cru Classe, Saint-Estephe</v>
      </c>
      <c r="E732" s="9">
        <f>IFERROR(__xludf.DUMMYFUNCTION("""COMPUTED_VALUE"""),2015.0)</f>
        <v>2015</v>
      </c>
      <c r="F732" s="9">
        <f>IFERROR(__xludf.DUMMYFUNCTION("""COMPUTED_VALUE"""),750.0)</f>
        <v>750</v>
      </c>
      <c r="G732" s="9">
        <f>IFERROR(__xludf.DUMMYFUNCTION("""COMPUTED_VALUE"""),6.0)</f>
        <v>6</v>
      </c>
      <c r="H732" s="10">
        <f>IFERROR(__xludf.DUMMYFUNCTION("""COMPUTED_VALUE"""),2.0)</f>
        <v>2</v>
      </c>
      <c r="I732" s="11">
        <f>IFERROR(__xludf.DUMMYFUNCTION("""COMPUTED_VALUE"""),812.0)</f>
        <v>812</v>
      </c>
      <c r="J732" s="9" t="str">
        <f>IFERROR(__xludf.DUMMYFUNCTION("""COMPUTED_VALUE"""),"UK")</f>
        <v>UK</v>
      </c>
      <c r="K732" s="8"/>
      <c r="L732" s="12"/>
      <c r="M732" s="13"/>
      <c r="N732" s="13" t="str">
        <f>IFERROR(__xludf.DUMMYFUNCTION("IF(ISBLANK(M732),"""",M732*GOOGLEFINANCE(""USDGBP""))"),"")</f>
        <v/>
      </c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</row>
    <row r="733">
      <c r="A733" s="8" t="str">
        <f>IFERROR(__xludf.DUMMYFUNCTION("""COMPUTED_VALUE"""),"100878820150301500")</f>
        <v>100878820150301500</v>
      </c>
      <c r="B733" s="9" t="str">
        <f>IFERROR(__xludf.DUMMYFUNCTION("""COMPUTED_VALUE"""),"France")</f>
        <v>France</v>
      </c>
      <c r="C733" s="9" t="str">
        <f>IFERROR(__xludf.DUMMYFUNCTION("""COMPUTED_VALUE"""),"bordeaux")</f>
        <v>bordeaux</v>
      </c>
      <c r="D733" s="9" t="str">
        <f>IFERROR(__xludf.DUMMYFUNCTION("""COMPUTED_VALUE"""),"Cos d'Estournel 2eme Cru Classe, Saint-Estephe")</f>
        <v>Cos d'Estournel 2eme Cru Classe, Saint-Estephe</v>
      </c>
      <c r="E733" s="9">
        <f>IFERROR(__xludf.DUMMYFUNCTION("""COMPUTED_VALUE"""),2015.0)</f>
        <v>2015</v>
      </c>
      <c r="F733" s="9">
        <f>IFERROR(__xludf.DUMMYFUNCTION("""COMPUTED_VALUE"""),1500.0)</f>
        <v>1500</v>
      </c>
      <c r="G733" s="9">
        <f>IFERROR(__xludf.DUMMYFUNCTION("""COMPUTED_VALUE"""),3.0)</f>
        <v>3</v>
      </c>
      <c r="H733" s="10">
        <f>IFERROR(__xludf.DUMMYFUNCTION("""COMPUTED_VALUE"""),1.0)</f>
        <v>1</v>
      </c>
      <c r="I733" s="11">
        <f>IFERROR(__xludf.DUMMYFUNCTION("""COMPUTED_VALUE"""),812.0)</f>
        <v>812</v>
      </c>
      <c r="J733" s="9" t="str">
        <f>IFERROR(__xludf.DUMMYFUNCTION("""COMPUTED_VALUE"""),"UK")</f>
        <v>UK</v>
      </c>
      <c r="K733" s="8"/>
      <c r="L733" s="12"/>
      <c r="M733" s="13"/>
      <c r="N733" s="13" t="str">
        <f>IFERROR(__xludf.DUMMYFUNCTION("IF(ISBLANK(M733),"""",M733*GOOGLEFINANCE(""USDGBP""))"),"")</f>
        <v/>
      </c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</row>
    <row r="734">
      <c r="A734" s="8" t="str">
        <f>IFERROR(__xludf.DUMMYFUNCTION("""COMPUTED_VALUE"""),"100947920190600750")</f>
        <v>100947920190600750</v>
      </c>
      <c r="B734" s="9" t="str">
        <f>IFERROR(__xludf.DUMMYFUNCTION("""COMPUTED_VALUE"""),"France")</f>
        <v>France</v>
      </c>
      <c r="C734" s="9" t="str">
        <f>IFERROR(__xludf.DUMMYFUNCTION("""COMPUTED_VALUE"""),"bordeaux")</f>
        <v>bordeaux</v>
      </c>
      <c r="D734" s="9" t="str">
        <f>IFERROR(__xludf.DUMMYFUNCTION("""COMPUTED_VALUE"""),"Ducru-Beaucaillou 2eme Cru Classe, Saint-Julien")</f>
        <v>Ducru-Beaucaillou 2eme Cru Classe, Saint-Julien</v>
      </c>
      <c r="E734" s="9">
        <f>IFERROR(__xludf.DUMMYFUNCTION("""COMPUTED_VALUE"""),2019.0)</f>
        <v>2019</v>
      </c>
      <c r="F734" s="9">
        <f>IFERROR(__xludf.DUMMYFUNCTION("""COMPUTED_VALUE"""),750.0)</f>
        <v>750</v>
      </c>
      <c r="G734" s="9">
        <f>IFERROR(__xludf.DUMMYFUNCTION("""COMPUTED_VALUE"""),6.0)</f>
        <v>6</v>
      </c>
      <c r="H734" s="10">
        <f>IFERROR(__xludf.DUMMYFUNCTION("""COMPUTED_VALUE"""),1.0)</f>
        <v>1</v>
      </c>
      <c r="I734" s="11">
        <f>IFERROR(__xludf.DUMMYFUNCTION("""COMPUTED_VALUE"""),893.0)</f>
        <v>893</v>
      </c>
      <c r="J734" s="9" t="str">
        <f>IFERROR(__xludf.DUMMYFUNCTION("""COMPUTED_VALUE"""),"UK")</f>
        <v>UK</v>
      </c>
      <c r="K734" s="8"/>
      <c r="L734" s="12"/>
      <c r="M734" s="13"/>
      <c r="N734" s="13" t="str">
        <f>IFERROR(__xludf.DUMMYFUNCTION("IF(ISBLANK(M734),"""",M734*GOOGLEFINANCE(""USDGBP""))"),"")</f>
        <v/>
      </c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</row>
    <row r="735">
      <c r="A735" s="8" t="str">
        <f>IFERROR(__xludf.DUMMYFUNCTION("""COMPUTED_VALUE"""),"100953820101200750")</f>
        <v>100953820101200750</v>
      </c>
      <c r="B735" s="9" t="str">
        <f>IFERROR(__xludf.DUMMYFUNCTION("""COMPUTED_VALUE"""),"France")</f>
        <v>France</v>
      </c>
      <c r="C735" s="9" t="str">
        <f>IFERROR(__xludf.DUMMYFUNCTION("""COMPUTED_VALUE"""),"bordeaux")</f>
        <v>bordeaux</v>
      </c>
      <c r="D735" s="9" t="str">
        <f>IFERROR(__xludf.DUMMYFUNCTION("""COMPUTED_VALUE"""),"Echo de Lynch-Bages, Pauillac")</f>
        <v>Echo de Lynch-Bages, Pauillac</v>
      </c>
      <c r="E735" s="9">
        <f>IFERROR(__xludf.DUMMYFUNCTION("""COMPUTED_VALUE"""),2010.0)</f>
        <v>2010</v>
      </c>
      <c r="F735" s="9">
        <f>IFERROR(__xludf.DUMMYFUNCTION("""COMPUTED_VALUE"""),750.0)</f>
        <v>750</v>
      </c>
      <c r="G735" s="9">
        <f>IFERROR(__xludf.DUMMYFUNCTION("""COMPUTED_VALUE"""),12.0)</f>
        <v>12</v>
      </c>
      <c r="H735" s="10">
        <f>IFERROR(__xludf.DUMMYFUNCTION("""COMPUTED_VALUE"""),2.0)</f>
        <v>2</v>
      </c>
      <c r="I735" s="11">
        <f>IFERROR(__xludf.DUMMYFUNCTION("""COMPUTED_VALUE"""),571.0)</f>
        <v>571</v>
      </c>
      <c r="J735" s="9" t="str">
        <f>IFERROR(__xludf.DUMMYFUNCTION("""COMPUTED_VALUE"""),"UK")</f>
        <v>UK</v>
      </c>
      <c r="K735" s="8"/>
      <c r="L735" s="12"/>
      <c r="M735" s="13"/>
      <c r="N735" s="13" t="str">
        <f>IFERROR(__xludf.DUMMYFUNCTION("IF(ISBLANK(M735),"""",M735*GOOGLEFINANCE(""USDGBP""))"),"")</f>
        <v/>
      </c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</row>
    <row r="736">
      <c r="A736" s="8" t="str">
        <f>IFERROR(__xludf.DUMMYFUNCTION("""COMPUTED_VALUE"""),"101322520120600750")</f>
        <v>101322520120600750</v>
      </c>
      <c r="B736" s="9" t="str">
        <f>IFERROR(__xludf.DUMMYFUNCTION("""COMPUTED_VALUE"""),"France")</f>
        <v>France</v>
      </c>
      <c r="C736" s="9" t="str">
        <f>IFERROR(__xludf.DUMMYFUNCTION("""COMPUTED_VALUE"""),"bordeaux")</f>
        <v>bordeaux</v>
      </c>
      <c r="D736" s="9" t="str">
        <f>IFERROR(__xludf.DUMMYFUNCTION("""COMPUTED_VALUE"""),"La Mondotte Premier Grand Cru Classe B, Saint-Emilion Grand Cru")</f>
        <v>La Mondotte Premier Grand Cru Classe B, Saint-Emilion Grand Cru</v>
      </c>
      <c r="E736" s="9">
        <f>IFERROR(__xludf.DUMMYFUNCTION("""COMPUTED_VALUE"""),2012.0)</f>
        <v>2012</v>
      </c>
      <c r="F736" s="9">
        <f>IFERROR(__xludf.DUMMYFUNCTION("""COMPUTED_VALUE"""),750.0)</f>
        <v>750</v>
      </c>
      <c r="G736" s="9">
        <f>IFERROR(__xludf.DUMMYFUNCTION("""COMPUTED_VALUE"""),6.0)</f>
        <v>6</v>
      </c>
      <c r="H736" s="10">
        <f>IFERROR(__xludf.DUMMYFUNCTION("""COMPUTED_VALUE"""),2.0)</f>
        <v>2</v>
      </c>
      <c r="I736" s="11">
        <f>IFERROR(__xludf.DUMMYFUNCTION("""COMPUTED_VALUE"""),789.0)</f>
        <v>789</v>
      </c>
      <c r="J736" s="9" t="str">
        <f>IFERROR(__xludf.DUMMYFUNCTION("""COMPUTED_VALUE"""),"UK")</f>
        <v>UK</v>
      </c>
      <c r="K736" s="8"/>
      <c r="L736" s="12"/>
      <c r="M736" s="13"/>
      <c r="N736" s="13" t="str">
        <f>IFERROR(__xludf.DUMMYFUNCTION("IF(ISBLANK(M736),"""",M736*GOOGLEFINANCE(""USDGBP""))"),"")</f>
        <v/>
      </c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</row>
    <row r="737">
      <c r="A737" s="8" t="str">
        <f>IFERROR(__xludf.DUMMYFUNCTION("""COMPUTED_VALUE"""),"101322520160600750")</f>
        <v>101322520160600750</v>
      </c>
      <c r="B737" s="9" t="str">
        <f>IFERROR(__xludf.DUMMYFUNCTION("""COMPUTED_VALUE"""),"France")</f>
        <v>France</v>
      </c>
      <c r="C737" s="9" t="str">
        <f>IFERROR(__xludf.DUMMYFUNCTION("""COMPUTED_VALUE"""),"bordeaux")</f>
        <v>bordeaux</v>
      </c>
      <c r="D737" s="9" t="str">
        <f>IFERROR(__xludf.DUMMYFUNCTION("""COMPUTED_VALUE"""),"La Mondotte Premier Grand Cru Classe B, Saint-Emilion Grand Cru")</f>
        <v>La Mondotte Premier Grand Cru Classe B, Saint-Emilion Grand Cru</v>
      </c>
      <c r="E737" s="9">
        <f>IFERROR(__xludf.DUMMYFUNCTION("""COMPUTED_VALUE"""),2016.0)</f>
        <v>2016</v>
      </c>
      <c r="F737" s="9">
        <f>IFERROR(__xludf.DUMMYFUNCTION("""COMPUTED_VALUE"""),750.0)</f>
        <v>750</v>
      </c>
      <c r="G737" s="9">
        <f>IFERROR(__xludf.DUMMYFUNCTION("""COMPUTED_VALUE"""),6.0)</f>
        <v>6</v>
      </c>
      <c r="H737" s="10">
        <f>IFERROR(__xludf.DUMMYFUNCTION("""COMPUTED_VALUE"""),2.0)</f>
        <v>2</v>
      </c>
      <c r="I737" s="11">
        <f>IFERROR(__xludf.DUMMYFUNCTION("""COMPUTED_VALUE"""),1078.0)</f>
        <v>1078</v>
      </c>
      <c r="J737" s="9" t="str">
        <f>IFERROR(__xludf.DUMMYFUNCTION("""COMPUTED_VALUE"""),"UK")</f>
        <v>UK</v>
      </c>
      <c r="K737" s="8"/>
      <c r="L737" s="12"/>
      <c r="M737" s="13"/>
      <c r="N737" s="13" t="str">
        <f>IFERROR(__xludf.DUMMYFUNCTION("IF(ISBLANK(M737),"""",M737*GOOGLEFINANCE(""USDGBP""))"),"")</f>
        <v/>
      </c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</row>
    <row r="738">
      <c r="A738" s="8" t="str">
        <f>IFERROR(__xludf.DUMMYFUNCTION("""COMPUTED_VALUE"""),"101322520170600750")</f>
        <v>101322520170600750</v>
      </c>
      <c r="B738" s="9" t="str">
        <f>IFERROR(__xludf.DUMMYFUNCTION("""COMPUTED_VALUE"""),"France")</f>
        <v>France</v>
      </c>
      <c r="C738" s="9" t="str">
        <f>IFERROR(__xludf.DUMMYFUNCTION("""COMPUTED_VALUE"""),"bordeaux")</f>
        <v>bordeaux</v>
      </c>
      <c r="D738" s="9" t="str">
        <f>IFERROR(__xludf.DUMMYFUNCTION("""COMPUTED_VALUE"""),"La Mondotte Premier Grand Cru Classe B, Saint-Emilion Grand Cru")</f>
        <v>La Mondotte Premier Grand Cru Classe B, Saint-Emilion Grand Cru</v>
      </c>
      <c r="E738" s="9">
        <f>IFERROR(__xludf.DUMMYFUNCTION("""COMPUTED_VALUE"""),2017.0)</f>
        <v>2017</v>
      </c>
      <c r="F738" s="9">
        <f>IFERROR(__xludf.DUMMYFUNCTION("""COMPUTED_VALUE"""),750.0)</f>
        <v>750</v>
      </c>
      <c r="G738" s="9">
        <f>IFERROR(__xludf.DUMMYFUNCTION("""COMPUTED_VALUE"""),6.0)</f>
        <v>6</v>
      </c>
      <c r="H738" s="10">
        <f>IFERROR(__xludf.DUMMYFUNCTION("""COMPUTED_VALUE"""),2.0)</f>
        <v>2</v>
      </c>
      <c r="I738" s="11">
        <f>IFERROR(__xludf.DUMMYFUNCTION("""COMPUTED_VALUE"""),599.0)</f>
        <v>599</v>
      </c>
      <c r="J738" s="9" t="str">
        <f>IFERROR(__xludf.DUMMYFUNCTION("""COMPUTED_VALUE"""),"UK")</f>
        <v>UK</v>
      </c>
      <c r="K738" s="8"/>
      <c r="L738" s="12"/>
      <c r="M738" s="13"/>
      <c r="N738" s="13" t="str">
        <f>IFERROR(__xludf.DUMMYFUNCTION("IF(ISBLANK(M738),"""",M738*GOOGLEFINANCE(""USDGBP""))"),"")</f>
        <v/>
      </c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</row>
    <row r="739">
      <c r="A739" s="8" t="str">
        <f>IFERROR(__xludf.DUMMYFUNCTION("""COMPUTED_VALUE"""),"101322520170301500")</f>
        <v>101322520170301500</v>
      </c>
      <c r="B739" s="9" t="str">
        <f>IFERROR(__xludf.DUMMYFUNCTION("""COMPUTED_VALUE"""),"France")</f>
        <v>France</v>
      </c>
      <c r="C739" s="9" t="str">
        <f>IFERROR(__xludf.DUMMYFUNCTION("""COMPUTED_VALUE"""),"bordeaux")</f>
        <v>bordeaux</v>
      </c>
      <c r="D739" s="9" t="str">
        <f>IFERROR(__xludf.DUMMYFUNCTION("""COMPUTED_VALUE"""),"La Mondotte Premier Grand Cru Classe B, Saint-Emilion Grand Cru")</f>
        <v>La Mondotte Premier Grand Cru Classe B, Saint-Emilion Grand Cru</v>
      </c>
      <c r="E739" s="9">
        <f>IFERROR(__xludf.DUMMYFUNCTION("""COMPUTED_VALUE"""),2017.0)</f>
        <v>2017</v>
      </c>
      <c r="F739" s="9">
        <f>IFERROR(__xludf.DUMMYFUNCTION("""COMPUTED_VALUE"""),1500.0)</f>
        <v>1500</v>
      </c>
      <c r="G739" s="9">
        <f>IFERROR(__xludf.DUMMYFUNCTION("""COMPUTED_VALUE"""),3.0)</f>
        <v>3</v>
      </c>
      <c r="H739" s="10">
        <f>IFERROR(__xludf.DUMMYFUNCTION("""COMPUTED_VALUE"""),1.0)</f>
        <v>1</v>
      </c>
      <c r="I739" s="11">
        <f>IFERROR(__xludf.DUMMYFUNCTION("""COMPUTED_VALUE"""),599.0)</f>
        <v>599</v>
      </c>
      <c r="J739" s="9" t="str">
        <f>IFERROR(__xludf.DUMMYFUNCTION("""COMPUTED_VALUE"""),"UK")</f>
        <v>UK</v>
      </c>
      <c r="K739" s="8"/>
      <c r="L739" s="12"/>
      <c r="M739" s="13"/>
      <c r="N739" s="13" t="str">
        <f>IFERROR(__xludf.DUMMYFUNCTION("IF(ISBLANK(M739),"""",M739*GOOGLEFINANCE(""USDGBP""))"),"")</f>
        <v/>
      </c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</row>
    <row r="740">
      <c r="A740" s="8" t="str">
        <f>IFERROR(__xludf.DUMMYFUNCTION("""COMPUTED_VALUE"""),"101322520180600750")</f>
        <v>101322520180600750</v>
      </c>
      <c r="B740" s="9" t="str">
        <f>IFERROR(__xludf.DUMMYFUNCTION("""COMPUTED_VALUE"""),"France")</f>
        <v>France</v>
      </c>
      <c r="C740" s="9" t="str">
        <f>IFERROR(__xludf.DUMMYFUNCTION("""COMPUTED_VALUE"""),"bordeaux")</f>
        <v>bordeaux</v>
      </c>
      <c r="D740" s="9" t="str">
        <f>IFERROR(__xludf.DUMMYFUNCTION("""COMPUTED_VALUE"""),"La Mondotte Premier Grand Cru Classe B, Saint-Emilion Grand Cru")</f>
        <v>La Mondotte Premier Grand Cru Classe B, Saint-Emilion Grand Cru</v>
      </c>
      <c r="E740" s="9">
        <f>IFERROR(__xludf.DUMMYFUNCTION("""COMPUTED_VALUE"""),2018.0)</f>
        <v>2018</v>
      </c>
      <c r="F740" s="9">
        <f>IFERROR(__xludf.DUMMYFUNCTION("""COMPUTED_VALUE"""),750.0)</f>
        <v>750</v>
      </c>
      <c r="G740" s="9">
        <f>IFERROR(__xludf.DUMMYFUNCTION("""COMPUTED_VALUE"""),6.0)</f>
        <v>6</v>
      </c>
      <c r="H740" s="10">
        <f>IFERROR(__xludf.DUMMYFUNCTION("""COMPUTED_VALUE"""),1.0)</f>
        <v>1</v>
      </c>
      <c r="I740" s="11">
        <f>IFERROR(__xludf.DUMMYFUNCTION("""COMPUTED_VALUE"""),896.0)</f>
        <v>896</v>
      </c>
      <c r="J740" s="9" t="str">
        <f>IFERROR(__xludf.DUMMYFUNCTION("""COMPUTED_VALUE"""),"UK")</f>
        <v>UK</v>
      </c>
      <c r="K740" s="8"/>
      <c r="L740" s="12"/>
      <c r="M740" s="13"/>
      <c r="N740" s="13" t="str">
        <f>IFERROR(__xludf.DUMMYFUNCTION("IF(ISBLANK(M740),"""",M740*GOOGLEFINANCE(""USDGBP""))"),"")</f>
        <v/>
      </c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</row>
    <row r="741">
      <c r="A741" s="8" t="str">
        <f>IFERROR(__xludf.DUMMYFUNCTION("""COMPUTED_VALUE"""),"100942420150600750")</f>
        <v>100942420150600750</v>
      </c>
      <c r="B741" s="9" t="str">
        <f>IFERROR(__xludf.DUMMYFUNCTION("""COMPUTED_VALUE"""),"France")</f>
        <v>France</v>
      </c>
      <c r="C741" s="9" t="str">
        <f>IFERROR(__xludf.DUMMYFUNCTION("""COMPUTED_VALUE"""),"bordeaux")</f>
        <v>bordeaux</v>
      </c>
      <c r="D741" s="9" t="str">
        <f>IFERROR(__xludf.DUMMYFUNCTION("""COMPUTED_VALUE"""),"Le Dome, Saint-Emilion Grand Cru")</f>
        <v>Le Dome, Saint-Emilion Grand Cru</v>
      </c>
      <c r="E741" s="9">
        <f>IFERROR(__xludf.DUMMYFUNCTION("""COMPUTED_VALUE"""),2015.0)</f>
        <v>2015</v>
      </c>
      <c r="F741" s="9">
        <f>IFERROR(__xludf.DUMMYFUNCTION("""COMPUTED_VALUE"""),750.0)</f>
        <v>750</v>
      </c>
      <c r="G741" s="9">
        <f>IFERROR(__xludf.DUMMYFUNCTION("""COMPUTED_VALUE"""),6.0)</f>
        <v>6</v>
      </c>
      <c r="H741" s="10">
        <f>IFERROR(__xludf.DUMMYFUNCTION("""COMPUTED_VALUE"""),6.0)</f>
        <v>6</v>
      </c>
      <c r="I741" s="11">
        <f>IFERROR(__xludf.DUMMYFUNCTION("""COMPUTED_VALUE"""),718.0)</f>
        <v>718</v>
      </c>
      <c r="J741" s="9" t="str">
        <f>IFERROR(__xludf.DUMMYFUNCTION("""COMPUTED_VALUE"""),"UK")</f>
        <v>UK</v>
      </c>
      <c r="K741" s="8"/>
      <c r="L741" s="12"/>
      <c r="M741" s="13"/>
      <c r="N741" s="13" t="str">
        <f>IFERROR(__xludf.DUMMYFUNCTION("IF(ISBLANK(M741),"""",M741*GOOGLEFINANCE(""USDGBP""))"),"")</f>
        <v/>
      </c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</row>
    <row r="742">
      <c r="A742" s="8" t="str">
        <f>IFERROR(__xludf.DUMMYFUNCTION("""COMPUTED_VALUE"""),"100942420180600750")</f>
        <v>100942420180600750</v>
      </c>
      <c r="B742" s="9" t="str">
        <f>IFERROR(__xludf.DUMMYFUNCTION("""COMPUTED_VALUE"""),"France")</f>
        <v>France</v>
      </c>
      <c r="C742" s="9" t="str">
        <f>IFERROR(__xludf.DUMMYFUNCTION("""COMPUTED_VALUE"""),"bordeaux")</f>
        <v>bordeaux</v>
      </c>
      <c r="D742" s="9" t="str">
        <f>IFERROR(__xludf.DUMMYFUNCTION("""COMPUTED_VALUE"""),"Le Dome, Saint-Emilion Grand Cru")</f>
        <v>Le Dome, Saint-Emilion Grand Cru</v>
      </c>
      <c r="E742" s="9">
        <f>IFERROR(__xludf.DUMMYFUNCTION("""COMPUTED_VALUE"""),2018.0)</f>
        <v>2018</v>
      </c>
      <c r="F742" s="9">
        <f>IFERROR(__xludf.DUMMYFUNCTION("""COMPUTED_VALUE"""),750.0)</f>
        <v>750</v>
      </c>
      <c r="G742" s="9">
        <f>IFERROR(__xludf.DUMMYFUNCTION("""COMPUTED_VALUE"""),6.0)</f>
        <v>6</v>
      </c>
      <c r="H742" s="10">
        <f>IFERROR(__xludf.DUMMYFUNCTION("""COMPUTED_VALUE"""),4.0)</f>
        <v>4</v>
      </c>
      <c r="I742" s="11">
        <f>IFERROR(__xludf.DUMMYFUNCTION("""COMPUTED_VALUE"""),739.0)</f>
        <v>739</v>
      </c>
      <c r="J742" s="9" t="str">
        <f>IFERROR(__xludf.DUMMYFUNCTION("""COMPUTED_VALUE"""),"UK")</f>
        <v>UK</v>
      </c>
      <c r="K742" s="8"/>
      <c r="L742" s="12"/>
      <c r="M742" s="13"/>
      <c r="N742" s="13" t="str">
        <f>IFERROR(__xludf.DUMMYFUNCTION("IF(ISBLANK(M742),"""",M742*GOOGLEFINANCE(""USDGBP""))"),"")</f>
        <v/>
      </c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</row>
    <row r="743">
      <c r="A743" s="8" t="str">
        <f>IFERROR(__xludf.DUMMYFUNCTION("""COMPUTED_VALUE"""),"101382120141200750")</f>
        <v>101382120141200750</v>
      </c>
      <c r="B743" s="9" t="str">
        <f>IFERROR(__xludf.DUMMYFUNCTION("""COMPUTED_VALUE"""),"France")</f>
        <v>France</v>
      </c>
      <c r="C743" s="9" t="str">
        <f>IFERROR(__xludf.DUMMYFUNCTION("""COMPUTED_VALUE"""),"bordeaux")</f>
        <v>bordeaux</v>
      </c>
      <c r="D743" s="9" t="str">
        <f>IFERROR(__xludf.DUMMYFUNCTION("""COMPUTED_VALUE"""),"Le Pauillac de Chateau Latour, Pauillac")</f>
        <v>Le Pauillac de Chateau Latour, Pauillac</v>
      </c>
      <c r="E743" s="9">
        <f>IFERROR(__xludf.DUMMYFUNCTION("""COMPUTED_VALUE"""),2014.0)</f>
        <v>2014</v>
      </c>
      <c r="F743" s="9">
        <f>IFERROR(__xludf.DUMMYFUNCTION("""COMPUTED_VALUE"""),750.0)</f>
        <v>750</v>
      </c>
      <c r="G743" s="9">
        <f>IFERROR(__xludf.DUMMYFUNCTION("""COMPUTED_VALUE"""),12.0)</f>
        <v>12</v>
      </c>
      <c r="H743" s="10">
        <f>IFERROR(__xludf.DUMMYFUNCTION("""COMPUTED_VALUE"""),1.0)</f>
        <v>1</v>
      </c>
      <c r="I743" s="11">
        <f>IFERROR(__xludf.DUMMYFUNCTION("""COMPUTED_VALUE"""),661.0)</f>
        <v>661</v>
      </c>
      <c r="J743" s="9" t="str">
        <f>IFERROR(__xludf.DUMMYFUNCTION("""COMPUTED_VALUE"""),"UK")</f>
        <v>UK</v>
      </c>
      <c r="K743" s="8"/>
      <c r="L743" s="12"/>
      <c r="M743" s="13"/>
      <c r="N743" s="13" t="str">
        <f>IFERROR(__xludf.DUMMYFUNCTION("IF(ISBLANK(M743),"""",M743*GOOGLEFINANCE(""USDGBP""))"),"")</f>
        <v/>
      </c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</row>
    <row r="744">
      <c r="A744" s="8" t="str">
        <f>IFERROR(__xludf.DUMMYFUNCTION("""COMPUTED_VALUE"""),"101382120151200750")</f>
        <v>101382120151200750</v>
      </c>
      <c r="B744" s="9" t="str">
        <f>IFERROR(__xludf.DUMMYFUNCTION("""COMPUTED_VALUE"""),"France")</f>
        <v>France</v>
      </c>
      <c r="C744" s="9" t="str">
        <f>IFERROR(__xludf.DUMMYFUNCTION("""COMPUTED_VALUE"""),"bordeaux")</f>
        <v>bordeaux</v>
      </c>
      <c r="D744" s="9" t="str">
        <f>IFERROR(__xludf.DUMMYFUNCTION("""COMPUTED_VALUE"""),"Le Pauillac de Chateau Latour, Pauillac")</f>
        <v>Le Pauillac de Chateau Latour, Pauillac</v>
      </c>
      <c r="E744" s="9">
        <f>IFERROR(__xludf.DUMMYFUNCTION("""COMPUTED_VALUE"""),2015.0)</f>
        <v>2015</v>
      </c>
      <c r="F744" s="9">
        <f>IFERROR(__xludf.DUMMYFUNCTION("""COMPUTED_VALUE"""),750.0)</f>
        <v>750</v>
      </c>
      <c r="G744" s="9">
        <f>IFERROR(__xludf.DUMMYFUNCTION("""COMPUTED_VALUE"""),12.0)</f>
        <v>12</v>
      </c>
      <c r="H744" s="10">
        <f>IFERROR(__xludf.DUMMYFUNCTION("""COMPUTED_VALUE"""),1.0)</f>
        <v>1</v>
      </c>
      <c r="I744" s="11">
        <f>IFERROR(__xludf.DUMMYFUNCTION("""COMPUTED_VALUE"""),761.0)</f>
        <v>761</v>
      </c>
      <c r="J744" s="9" t="str">
        <f>IFERROR(__xludf.DUMMYFUNCTION("""COMPUTED_VALUE"""),"UK")</f>
        <v>UK</v>
      </c>
      <c r="K744" s="8"/>
      <c r="L744" s="12"/>
      <c r="M744" s="13"/>
      <c r="N744" s="13" t="str">
        <f>IFERROR(__xludf.DUMMYFUNCTION("IF(ISBLANK(M744),"""",M744*GOOGLEFINANCE(""USDGBP""))"),"")</f>
        <v/>
      </c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</row>
    <row r="745">
      <c r="A745" s="8" t="str">
        <f>IFERROR(__xludf.DUMMYFUNCTION("""COMPUTED_VALUE"""),"101395120100600750")</f>
        <v>101395120100600750</v>
      </c>
      <c r="B745" s="9" t="str">
        <f>IFERROR(__xludf.DUMMYFUNCTION("""COMPUTED_VALUE"""),"France")</f>
        <v>France</v>
      </c>
      <c r="C745" s="9" t="str">
        <f>IFERROR(__xludf.DUMMYFUNCTION("""COMPUTED_VALUE"""),"bordeaux")</f>
        <v>bordeaux</v>
      </c>
      <c r="D745" s="9" t="str">
        <f>IFERROR(__xludf.DUMMYFUNCTION("""COMPUTED_VALUE"""),"Le Petit Cheval, Saint-Emilion Grand Cru")</f>
        <v>Le Petit Cheval, Saint-Emilion Grand Cru</v>
      </c>
      <c r="E745" s="9">
        <f>IFERROR(__xludf.DUMMYFUNCTION("""COMPUTED_VALUE"""),2010.0)</f>
        <v>2010</v>
      </c>
      <c r="F745" s="9">
        <f>IFERROR(__xludf.DUMMYFUNCTION("""COMPUTED_VALUE"""),750.0)</f>
        <v>750</v>
      </c>
      <c r="G745" s="9">
        <f>IFERROR(__xludf.DUMMYFUNCTION("""COMPUTED_VALUE"""),6.0)</f>
        <v>6</v>
      </c>
      <c r="H745" s="10">
        <f>IFERROR(__xludf.DUMMYFUNCTION("""COMPUTED_VALUE"""),1.0)</f>
        <v>1</v>
      </c>
      <c r="I745" s="11">
        <f>IFERROR(__xludf.DUMMYFUNCTION("""COMPUTED_VALUE"""),1206.0)</f>
        <v>1206</v>
      </c>
      <c r="J745" s="9" t="str">
        <f>IFERROR(__xludf.DUMMYFUNCTION("""COMPUTED_VALUE"""),"UK")</f>
        <v>UK</v>
      </c>
      <c r="K745" s="8"/>
      <c r="L745" s="12"/>
      <c r="M745" s="13"/>
      <c r="N745" s="13" t="str">
        <f>IFERROR(__xludf.DUMMYFUNCTION("IF(ISBLANK(M745),"""",M745*GOOGLEFINANCE(""USDGBP""))"),"")</f>
        <v/>
      </c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</row>
    <row r="746">
      <c r="A746" s="8" t="str">
        <f>IFERROR(__xludf.DUMMYFUNCTION("""COMPUTED_VALUE"""),"101395120160600750")</f>
        <v>101395120160600750</v>
      </c>
      <c r="B746" s="9" t="str">
        <f>IFERROR(__xludf.DUMMYFUNCTION("""COMPUTED_VALUE"""),"France")</f>
        <v>France</v>
      </c>
      <c r="C746" s="9" t="str">
        <f>IFERROR(__xludf.DUMMYFUNCTION("""COMPUTED_VALUE"""),"bordeaux")</f>
        <v>bordeaux</v>
      </c>
      <c r="D746" s="9" t="str">
        <f>IFERROR(__xludf.DUMMYFUNCTION("""COMPUTED_VALUE"""),"Le Petit Cheval, Saint-Emilion Grand Cru")</f>
        <v>Le Petit Cheval, Saint-Emilion Grand Cru</v>
      </c>
      <c r="E746" s="9">
        <f>IFERROR(__xludf.DUMMYFUNCTION("""COMPUTED_VALUE"""),2016.0)</f>
        <v>2016</v>
      </c>
      <c r="F746" s="9">
        <f>IFERROR(__xludf.DUMMYFUNCTION("""COMPUTED_VALUE"""),750.0)</f>
        <v>750</v>
      </c>
      <c r="G746" s="9">
        <f>IFERROR(__xludf.DUMMYFUNCTION("""COMPUTED_VALUE"""),6.0)</f>
        <v>6</v>
      </c>
      <c r="H746" s="10">
        <f>IFERROR(__xludf.DUMMYFUNCTION("""COMPUTED_VALUE"""),1.0)</f>
        <v>1</v>
      </c>
      <c r="I746" s="11">
        <f>IFERROR(__xludf.DUMMYFUNCTION("""COMPUTED_VALUE"""),880.0)</f>
        <v>880</v>
      </c>
      <c r="J746" s="9" t="str">
        <f>IFERROR(__xludf.DUMMYFUNCTION("""COMPUTED_VALUE"""),"UK")</f>
        <v>UK</v>
      </c>
      <c r="K746" s="8"/>
      <c r="L746" s="12"/>
      <c r="M746" s="13"/>
      <c r="N746" s="13" t="str">
        <f>IFERROR(__xludf.DUMMYFUNCTION("IF(ISBLANK(M746),"""",M746*GOOGLEFINANCE(""USDGBP""))"),"")</f>
        <v/>
      </c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</row>
    <row r="747">
      <c r="A747" s="8" t="str">
        <f>IFERROR(__xludf.DUMMYFUNCTION("""COMPUTED_VALUE"""),"101395120180600750")</f>
        <v>101395120180600750</v>
      </c>
      <c r="B747" s="9" t="str">
        <f>IFERROR(__xludf.DUMMYFUNCTION("""COMPUTED_VALUE"""),"France")</f>
        <v>France</v>
      </c>
      <c r="C747" s="9" t="str">
        <f>IFERROR(__xludf.DUMMYFUNCTION("""COMPUTED_VALUE"""),"bordeaux")</f>
        <v>bordeaux</v>
      </c>
      <c r="D747" s="9" t="str">
        <f>IFERROR(__xludf.DUMMYFUNCTION("""COMPUTED_VALUE"""),"Le Petit Cheval, Saint-Emilion Grand Cru")</f>
        <v>Le Petit Cheval, Saint-Emilion Grand Cru</v>
      </c>
      <c r="E747" s="9">
        <f>IFERROR(__xludf.DUMMYFUNCTION("""COMPUTED_VALUE"""),2018.0)</f>
        <v>2018</v>
      </c>
      <c r="F747" s="9">
        <f>IFERROR(__xludf.DUMMYFUNCTION("""COMPUTED_VALUE"""),750.0)</f>
        <v>750</v>
      </c>
      <c r="G747" s="9">
        <f>IFERROR(__xludf.DUMMYFUNCTION("""COMPUTED_VALUE"""),6.0)</f>
        <v>6</v>
      </c>
      <c r="H747" s="10">
        <f>IFERROR(__xludf.DUMMYFUNCTION("""COMPUTED_VALUE"""),1.0)</f>
        <v>1</v>
      </c>
      <c r="I747" s="11">
        <f>IFERROR(__xludf.DUMMYFUNCTION("""COMPUTED_VALUE"""),851.0)</f>
        <v>851</v>
      </c>
      <c r="J747" s="9" t="str">
        <f>IFERROR(__xludf.DUMMYFUNCTION("""COMPUTED_VALUE"""),"UK")</f>
        <v>UK</v>
      </c>
      <c r="K747" s="8"/>
      <c r="L747" s="12"/>
      <c r="M747" s="13"/>
      <c r="N747" s="13" t="str">
        <f>IFERROR(__xludf.DUMMYFUNCTION("IF(ISBLANK(M747),"""",M747*GOOGLEFINANCE(""USDGBP""))"),"")</f>
        <v/>
      </c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</row>
    <row r="748">
      <c r="A748" s="8" t="str">
        <f>IFERROR(__xludf.DUMMYFUNCTION("""COMPUTED_VALUE"""),"101419220180100750")</f>
        <v>101419220180100750</v>
      </c>
      <c r="B748" s="9" t="str">
        <f>IFERROR(__xludf.DUMMYFUNCTION("""COMPUTED_VALUE"""),"France")</f>
        <v>France</v>
      </c>
      <c r="C748" s="9" t="str">
        <f>IFERROR(__xludf.DUMMYFUNCTION("""COMPUTED_VALUE"""),"bordeaux")</f>
        <v>bordeaux</v>
      </c>
      <c r="D748" s="9" t="str">
        <f>IFERROR(__xludf.DUMMYFUNCTION("""COMPUTED_VALUE"""),"Le Pin, Pomerol")</f>
        <v>Le Pin, Pomerol</v>
      </c>
      <c r="E748" s="9">
        <f>IFERROR(__xludf.DUMMYFUNCTION("""COMPUTED_VALUE"""),2018.0)</f>
        <v>2018</v>
      </c>
      <c r="F748" s="9">
        <f>IFERROR(__xludf.DUMMYFUNCTION("""COMPUTED_VALUE"""),750.0)</f>
        <v>750</v>
      </c>
      <c r="G748" s="9">
        <f>IFERROR(__xludf.DUMMYFUNCTION("""COMPUTED_VALUE"""),1.0)</f>
        <v>1</v>
      </c>
      <c r="H748" s="10">
        <f>IFERROR(__xludf.DUMMYFUNCTION("""COMPUTED_VALUE"""),1.0)</f>
        <v>1</v>
      </c>
      <c r="I748" s="11">
        <f>IFERROR(__xludf.DUMMYFUNCTION("""COMPUTED_VALUE"""),2913.0)</f>
        <v>2913</v>
      </c>
      <c r="J748" s="9" t="str">
        <f>IFERROR(__xludf.DUMMYFUNCTION("""COMPUTED_VALUE"""),"UK")</f>
        <v>UK</v>
      </c>
      <c r="K748" s="8"/>
      <c r="L748" s="12"/>
      <c r="M748" s="13"/>
      <c r="N748" s="13" t="str">
        <f>IFERROR(__xludf.DUMMYFUNCTION("IF(ISBLANK(M748),"""",M748*GOOGLEFINANCE(""USDGBP""))"),"")</f>
        <v/>
      </c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</row>
    <row r="749">
      <c r="A749" s="8" t="str">
        <f>IFERROR(__xludf.DUMMYFUNCTION("""COMPUTED_VALUE"""),"113153020180600750")</f>
        <v>113153020180600750</v>
      </c>
      <c r="B749" s="9" t="str">
        <f>IFERROR(__xludf.DUMMYFUNCTION("""COMPUTED_VALUE"""),"France")</f>
        <v>France</v>
      </c>
      <c r="C749" s="9" t="str">
        <f>IFERROR(__xludf.DUMMYFUNCTION("""COMPUTED_VALUE"""),"bordeaux")</f>
        <v>bordeaux</v>
      </c>
      <c r="D749" s="9" t="str">
        <f>IFERROR(__xludf.DUMMYFUNCTION("""COMPUTED_VALUE"""),"Les Perrieres, Chateau Lafleur, Bordeaux Superieur")</f>
        <v>Les Perrieres, Chateau Lafleur, Bordeaux Superieur</v>
      </c>
      <c r="E749" s="9">
        <f>IFERROR(__xludf.DUMMYFUNCTION("""COMPUTED_VALUE"""),2018.0)</f>
        <v>2018</v>
      </c>
      <c r="F749" s="9">
        <f>IFERROR(__xludf.DUMMYFUNCTION("""COMPUTED_VALUE"""),750.0)</f>
        <v>750</v>
      </c>
      <c r="G749" s="9">
        <f>IFERROR(__xludf.DUMMYFUNCTION("""COMPUTED_VALUE"""),6.0)</f>
        <v>6</v>
      </c>
      <c r="H749" s="10">
        <f>IFERROR(__xludf.DUMMYFUNCTION("""COMPUTED_VALUE"""),2.0)</f>
        <v>2</v>
      </c>
      <c r="I749" s="11">
        <f>IFERROR(__xludf.DUMMYFUNCTION("""COMPUTED_VALUE"""),330.0)</f>
        <v>330</v>
      </c>
      <c r="J749" s="9" t="str">
        <f>IFERROR(__xludf.DUMMYFUNCTION("""COMPUTED_VALUE"""),"UK")</f>
        <v>UK</v>
      </c>
      <c r="K749" s="8"/>
      <c r="L749" s="12"/>
      <c r="M749" s="13"/>
      <c r="N749" s="13" t="str">
        <f>IFERROR(__xludf.DUMMYFUNCTION("IF(ISBLANK(M749),"""",M749*GOOGLEFINANCE(""USDGBP""))"),"")</f>
        <v/>
      </c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</row>
    <row r="750">
      <c r="A750" s="8" t="str">
        <f>IFERROR(__xludf.DUMMYFUNCTION("""COMPUTED_VALUE"""),"101364520171200750")</f>
        <v>101364520171200750</v>
      </c>
      <c r="B750" s="9" t="str">
        <f>IFERROR(__xludf.DUMMYFUNCTION("""COMPUTED_VALUE"""),"France")</f>
        <v>France</v>
      </c>
      <c r="C750" s="9" t="str">
        <f>IFERROR(__xludf.DUMMYFUNCTION("""COMPUTED_VALUE"""),"bordeaux")</f>
        <v>bordeaux</v>
      </c>
      <c r="D750" s="9" t="str">
        <f>IFERROR(__xludf.DUMMYFUNCTION("""COMPUTED_VALUE"""),"Pagodes de Cos, Saint-Estephe")</f>
        <v>Pagodes de Cos, Saint-Estephe</v>
      </c>
      <c r="E750" s="9">
        <f>IFERROR(__xludf.DUMMYFUNCTION("""COMPUTED_VALUE"""),2017.0)</f>
        <v>2017</v>
      </c>
      <c r="F750" s="9">
        <f>IFERROR(__xludf.DUMMYFUNCTION("""COMPUTED_VALUE"""),750.0)</f>
        <v>750</v>
      </c>
      <c r="G750" s="9">
        <f>IFERROR(__xludf.DUMMYFUNCTION("""COMPUTED_VALUE"""),12.0)</f>
        <v>12</v>
      </c>
      <c r="H750" s="10">
        <f>IFERROR(__xludf.DUMMYFUNCTION("""COMPUTED_VALUE"""),1.0)</f>
        <v>1</v>
      </c>
      <c r="I750" s="11">
        <f>IFERROR(__xludf.DUMMYFUNCTION("""COMPUTED_VALUE"""),346.0)</f>
        <v>346</v>
      </c>
      <c r="J750" s="9" t="str">
        <f>IFERROR(__xludf.DUMMYFUNCTION("""COMPUTED_VALUE"""),"UK")</f>
        <v>UK</v>
      </c>
      <c r="K750" s="8"/>
      <c r="L750" s="12"/>
      <c r="M750" s="13"/>
      <c r="N750" s="13" t="str">
        <f>IFERROR(__xludf.DUMMYFUNCTION("IF(ISBLANK(M750),"""",M750*GOOGLEFINANCE(""USDGBP""))"),"")</f>
        <v/>
      </c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</row>
    <row r="751">
      <c r="A751" s="8" t="str">
        <f>IFERROR(__xludf.DUMMYFUNCTION("""COMPUTED_VALUE"""),"101389220180600750")</f>
        <v>101389220180600750</v>
      </c>
      <c r="B751" s="9" t="str">
        <f>IFERROR(__xludf.DUMMYFUNCTION("""COMPUTED_VALUE"""),"France")</f>
        <v>France</v>
      </c>
      <c r="C751" s="9" t="str">
        <f>IFERROR(__xludf.DUMMYFUNCTION("""COMPUTED_VALUE"""),"bordeaux")</f>
        <v>bordeaux</v>
      </c>
      <c r="D751" s="9" t="str">
        <f>IFERROR(__xludf.DUMMYFUNCTION("""COMPUTED_VALUE"""),"Pavillon Rouge du Chateau Margaux, Margaux")</f>
        <v>Pavillon Rouge du Chateau Margaux, Margaux</v>
      </c>
      <c r="E751" s="9">
        <f>IFERROR(__xludf.DUMMYFUNCTION("""COMPUTED_VALUE"""),2018.0)</f>
        <v>2018</v>
      </c>
      <c r="F751" s="9">
        <f>IFERROR(__xludf.DUMMYFUNCTION("""COMPUTED_VALUE"""),750.0)</f>
        <v>750</v>
      </c>
      <c r="G751" s="9">
        <f>IFERROR(__xludf.DUMMYFUNCTION("""COMPUTED_VALUE"""),6.0)</f>
        <v>6</v>
      </c>
      <c r="H751" s="10">
        <f>IFERROR(__xludf.DUMMYFUNCTION("""COMPUTED_VALUE"""),1.0)</f>
        <v>1</v>
      </c>
      <c r="I751" s="11">
        <f>IFERROR(__xludf.DUMMYFUNCTION("""COMPUTED_VALUE"""),880.0)</f>
        <v>880</v>
      </c>
      <c r="J751" s="9" t="str">
        <f>IFERROR(__xludf.DUMMYFUNCTION("""COMPUTED_VALUE"""),"UK")</f>
        <v>UK</v>
      </c>
      <c r="K751" s="8"/>
      <c r="L751" s="12"/>
      <c r="M751" s="13"/>
      <c r="N751" s="13" t="str">
        <f>IFERROR(__xludf.DUMMYFUNCTION("IF(ISBLANK(M751),"""",M751*GOOGLEFINANCE(""USDGBP""))"),"")</f>
        <v/>
      </c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</row>
    <row r="752">
      <c r="A752" s="8" t="str">
        <f>IFERROR(__xludf.DUMMYFUNCTION("""COMPUTED_VALUE"""),"101389220200301500")</f>
        <v>101389220200301500</v>
      </c>
      <c r="B752" s="9" t="str">
        <f>IFERROR(__xludf.DUMMYFUNCTION("""COMPUTED_VALUE"""),"France")</f>
        <v>France</v>
      </c>
      <c r="C752" s="9" t="str">
        <f>IFERROR(__xludf.DUMMYFUNCTION("""COMPUTED_VALUE"""),"bordeaux")</f>
        <v>bordeaux</v>
      </c>
      <c r="D752" s="9" t="str">
        <f>IFERROR(__xludf.DUMMYFUNCTION("""COMPUTED_VALUE"""),"Pavillon Rouge du Chateau Margaux, Margaux")</f>
        <v>Pavillon Rouge du Chateau Margaux, Margaux</v>
      </c>
      <c r="E752" s="9">
        <f>IFERROR(__xludf.DUMMYFUNCTION("""COMPUTED_VALUE"""),2020.0)</f>
        <v>2020</v>
      </c>
      <c r="F752" s="9">
        <f>IFERROR(__xludf.DUMMYFUNCTION("""COMPUTED_VALUE"""),1500.0)</f>
        <v>1500</v>
      </c>
      <c r="G752" s="9">
        <f>IFERROR(__xludf.DUMMYFUNCTION("""COMPUTED_VALUE"""),3.0)</f>
        <v>3</v>
      </c>
      <c r="H752" s="10">
        <f>IFERROR(__xludf.DUMMYFUNCTION("""COMPUTED_VALUE"""),1.0)</f>
        <v>1</v>
      </c>
      <c r="I752" s="11">
        <f>IFERROR(__xludf.DUMMYFUNCTION("""COMPUTED_VALUE"""),828.0)</f>
        <v>828</v>
      </c>
      <c r="J752" s="9" t="str">
        <f>IFERROR(__xludf.DUMMYFUNCTION("""COMPUTED_VALUE"""),"UK")</f>
        <v>UK</v>
      </c>
      <c r="K752" s="8"/>
      <c r="L752" s="12"/>
      <c r="M752" s="13"/>
      <c r="N752" s="13" t="str">
        <f>IFERROR(__xludf.DUMMYFUNCTION("IF(ISBLANK(M752),"""",M752*GOOGLEFINANCE(""USDGBP""))"),"")</f>
        <v/>
      </c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</row>
    <row r="753">
      <c r="A753" s="8" t="str">
        <f>IFERROR(__xludf.DUMMYFUNCTION("""COMPUTED_VALUE"""),"101393520160300750")</f>
        <v>101393520160300750</v>
      </c>
      <c r="B753" s="9" t="str">
        <f>IFERROR(__xludf.DUMMYFUNCTION("""COMPUTED_VALUE"""),"France")</f>
        <v>France</v>
      </c>
      <c r="C753" s="9" t="str">
        <f>IFERROR(__xludf.DUMMYFUNCTION("""COMPUTED_VALUE"""),"bordeaux")</f>
        <v>bordeaux</v>
      </c>
      <c r="D753" s="9" t="str">
        <f>IFERROR(__xludf.DUMMYFUNCTION("""COMPUTED_VALUE"""),"Pensees de Lafleur, Pomerol")</f>
        <v>Pensees de Lafleur, Pomerol</v>
      </c>
      <c r="E753" s="9">
        <f>IFERROR(__xludf.DUMMYFUNCTION("""COMPUTED_VALUE"""),2016.0)</f>
        <v>2016</v>
      </c>
      <c r="F753" s="9">
        <f>IFERROR(__xludf.DUMMYFUNCTION("""COMPUTED_VALUE"""),750.0)</f>
        <v>750</v>
      </c>
      <c r="G753" s="9">
        <f>IFERROR(__xludf.DUMMYFUNCTION("""COMPUTED_VALUE"""),3.0)</f>
        <v>3</v>
      </c>
      <c r="H753" s="10">
        <f>IFERROR(__xludf.DUMMYFUNCTION("""COMPUTED_VALUE"""),1.0)</f>
        <v>1</v>
      </c>
      <c r="I753" s="11">
        <f>IFERROR(__xludf.DUMMYFUNCTION("""COMPUTED_VALUE"""),453.0)</f>
        <v>453</v>
      </c>
      <c r="J753" s="9" t="str">
        <f>IFERROR(__xludf.DUMMYFUNCTION("""COMPUTED_VALUE"""),"UK")</f>
        <v>UK</v>
      </c>
      <c r="K753" s="8"/>
      <c r="L753" s="12"/>
      <c r="M753" s="13"/>
      <c r="N753" s="13" t="str">
        <f>IFERROR(__xludf.DUMMYFUNCTION("IF(ISBLANK(M753),"""",M753*GOOGLEFINANCE(""USDGBP""))"),"")</f>
        <v/>
      </c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</row>
    <row r="754">
      <c r="A754" s="8" t="str">
        <f>IFERROR(__xludf.DUMMYFUNCTION("""COMPUTED_VALUE"""),"101393520160600750")</f>
        <v>101393520160600750</v>
      </c>
      <c r="B754" s="9" t="str">
        <f>IFERROR(__xludf.DUMMYFUNCTION("""COMPUTED_VALUE"""),"France")</f>
        <v>France</v>
      </c>
      <c r="C754" s="9" t="str">
        <f>IFERROR(__xludf.DUMMYFUNCTION("""COMPUTED_VALUE"""),"bordeaux")</f>
        <v>bordeaux</v>
      </c>
      <c r="D754" s="9" t="str">
        <f>IFERROR(__xludf.DUMMYFUNCTION("""COMPUTED_VALUE"""),"Pensees de Lafleur, Pomerol")</f>
        <v>Pensees de Lafleur, Pomerol</v>
      </c>
      <c r="E754" s="9">
        <f>IFERROR(__xludf.DUMMYFUNCTION("""COMPUTED_VALUE"""),2016.0)</f>
        <v>2016</v>
      </c>
      <c r="F754" s="9">
        <f>IFERROR(__xludf.DUMMYFUNCTION("""COMPUTED_VALUE"""),750.0)</f>
        <v>750</v>
      </c>
      <c r="G754" s="9">
        <f>IFERROR(__xludf.DUMMYFUNCTION("""COMPUTED_VALUE"""),6.0)</f>
        <v>6</v>
      </c>
      <c r="H754" s="10">
        <f>IFERROR(__xludf.DUMMYFUNCTION("""COMPUTED_VALUE"""),1.0)</f>
        <v>1</v>
      </c>
      <c r="I754" s="11">
        <f>IFERROR(__xludf.DUMMYFUNCTION("""COMPUTED_VALUE"""),917.0)</f>
        <v>917</v>
      </c>
      <c r="J754" s="9" t="str">
        <f>IFERROR(__xludf.DUMMYFUNCTION("""COMPUTED_VALUE"""),"UK")</f>
        <v>UK</v>
      </c>
      <c r="K754" s="8"/>
      <c r="L754" s="12"/>
      <c r="M754" s="13"/>
      <c r="N754" s="13" t="str">
        <f>IFERROR(__xludf.DUMMYFUNCTION("IF(ISBLANK(M754),"""",M754*GOOGLEFINANCE(""USDGBP""))"),"")</f>
        <v/>
      </c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</row>
    <row r="755">
      <c r="A755" s="8" t="str">
        <f>IFERROR(__xludf.DUMMYFUNCTION("""COMPUTED_VALUE"""),"117631720141200750")</f>
        <v>117631720141200750</v>
      </c>
      <c r="B755" s="9" t="str">
        <f>IFERROR(__xludf.DUMMYFUNCTION("""COMPUTED_VALUE"""),"France")</f>
        <v>France</v>
      </c>
      <c r="C755" s="9" t="str">
        <f>IFERROR(__xludf.DUMMYFUNCTION("""COMPUTED_VALUE"""),"bordeaux")</f>
        <v>bordeaux</v>
      </c>
      <c r="D755" s="9" t="str">
        <f>IFERROR(__xludf.DUMMYFUNCTION("""COMPUTED_VALUE"""),"Petit-Figeac, Saint-Emilion Grand Cru")</f>
        <v>Petit-Figeac, Saint-Emilion Grand Cru</v>
      </c>
      <c r="E755" s="9">
        <f>IFERROR(__xludf.DUMMYFUNCTION("""COMPUTED_VALUE"""),2014.0)</f>
        <v>2014</v>
      </c>
      <c r="F755" s="9">
        <f>IFERROR(__xludf.DUMMYFUNCTION("""COMPUTED_VALUE"""),750.0)</f>
        <v>750</v>
      </c>
      <c r="G755" s="9">
        <f>IFERROR(__xludf.DUMMYFUNCTION("""COMPUTED_VALUE"""),12.0)</f>
        <v>12</v>
      </c>
      <c r="H755" s="10">
        <f>IFERROR(__xludf.DUMMYFUNCTION("""COMPUTED_VALUE"""),1.0)</f>
        <v>1</v>
      </c>
      <c r="I755" s="11">
        <f>IFERROR(__xludf.DUMMYFUNCTION("""COMPUTED_VALUE"""),582.0)</f>
        <v>582</v>
      </c>
      <c r="J755" s="9" t="str">
        <f>IFERROR(__xludf.DUMMYFUNCTION("""COMPUTED_VALUE"""),"UK")</f>
        <v>UK</v>
      </c>
      <c r="K755" s="8"/>
      <c r="L755" s="12"/>
      <c r="M755" s="13"/>
      <c r="N755" s="13" t="str">
        <f>IFERROR(__xludf.DUMMYFUNCTION("IF(ISBLANK(M755),"""",M755*GOOGLEFINANCE(""USDGBP""))"),"")</f>
        <v/>
      </c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</row>
    <row r="756">
      <c r="A756" s="8" t="str">
        <f>IFERROR(__xludf.DUMMYFUNCTION("""COMPUTED_VALUE"""),"117631720161200750")</f>
        <v>117631720161200750</v>
      </c>
      <c r="B756" s="9" t="str">
        <f>IFERROR(__xludf.DUMMYFUNCTION("""COMPUTED_VALUE"""),"France")</f>
        <v>France</v>
      </c>
      <c r="C756" s="9" t="str">
        <f>IFERROR(__xludf.DUMMYFUNCTION("""COMPUTED_VALUE"""),"bordeaux")</f>
        <v>bordeaux</v>
      </c>
      <c r="D756" s="9" t="str">
        <f>IFERROR(__xludf.DUMMYFUNCTION("""COMPUTED_VALUE"""),"Petit-Figeac, Saint-Emilion Grand Cru")</f>
        <v>Petit-Figeac, Saint-Emilion Grand Cru</v>
      </c>
      <c r="E756" s="9">
        <f>IFERROR(__xludf.DUMMYFUNCTION("""COMPUTED_VALUE"""),2016.0)</f>
        <v>2016</v>
      </c>
      <c r="F756" s="9">
        <f>IFERROR(__xludf.DUMMYFUNCTION("""COMPUTED_VALUE"""),750.0)</f>
        <v>750</v>
      </c>
      <c r="G756" s="9">
        <f>IFERROR(__xludf.DUMMYFUNCTION("""COMPUTED_VALUE"""),12.0)</f>
        <v>12</v>
      </c>
      <c r="H756" s="10">
        <f>IFERROR(__xludf.DUMMYFUNCTION("""COMPUTED_VALUE"""),2.0)</f>
        <v>2</v>
      </c>
      <c r="I756" s="11">
        <f>IFERROR(__xludf.DUMMYFUNCTION("""COMPUTED_VALUE"""),582.0)</f>
        <v>582</v>
      </c>
      <c r="J756" s="9" t="str">
        <f>IFERROR(__xludf.DUMMYFUNCTION("""COMPUTED_VALUE"""),"UK")</f>
        <v>UK</v>
      </c>
      <c r="K756" s="8"/>
      <c r="L756" s="12"/>
      <c r="M756" s="13"/>
      <c r="N756" s="13" t="str">
        <f>IFERROR(__xludf.DUMMYFUNCTION("IF(ISBLANK(M756),"""",M756*GOOGLEFINANCE(""USDGBP""))"),"")</f>
        <v/>
      </c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</row>
    <row r="757">
      <c r="A757" s="8" t="str">
        <f>IFERROR(__xludf.DUMMYFUNCTION("""COMPUTED_VALUE"""),"101403320140300750")</f>
        <v>101403320140300750</v>
      </c>
      <c r="B757" s="9" t="str">
        <f>IFERROR(__xludf.DUMMYFUNCTION("""COMPUTED_VALUE"""),"France")</f>
        <v>France</v>
      </c>
      <c r="C757" s="9" t="str">
        <f>IFERROR(__xludf.DUMMYFUNCTION("""COMPUTED_VALUE"""),"bordeaux")</f>
        <v>bordeaux</v>
      </c>
      <c r="D757" s="9" t="str">
        <f>IFERROR(__xludf.DUMMYFUNCTION("""COMPUTED_VALUE"""),"Petrus, Pomerol")</f>
        <v>Petrus, Pomerol</v>
      </c>
      <c r="E757" s="9">
        <f>IFERROR(__xludf.DUMMYFUNCTION("""COMPUTED_VALUE"""),2014.0)</f>
        <v>2014</v>
      </c>
      <c r="F757" s="9">
        <f>IFERROR(__xludf.DUMMYFUNCTION("""COMPUTED_VALUE"""),750.0)</f>
        <v>750</v>
      </c>
      <c r="G757" s="9">
        <f>IFERROR(__xludf.DUMMYFUNCTION("""COMPUTED_VALUE"""),3.0)</f>
        <v>3</v>
      </c>
      <c r="H757" s="10">
        <f>IFERROR(__xludf.DUMMYFUNCTION("""COMPUTED_VALUE"""),2.0)</f>
        <v>2</v>
      </c>
      <c r="I757" s="11">
        <f>IFERROR(__xludf.DUMMYFUNCTION("""COMPUTED_VALUE"""),8136.0)</f>
        <v>8136</v>
      </c>
      <c r="J757" s="9" t="str">
        <f>IFERROR(__xludf.DUMMYFUNCTION("""COMPUTED_VALUE"""),"UK")</f>
        <v>UK</v>
      </c>
      <c r="K757" s="8"/>
      <c r="L757" s="12"/>
      <c r="M757" s="13"/>
      <c r="N757" s="13" t="str">
        <f>IFERROR(__xludf.DUMMYFUNCTION("IF(ISBLANK(M757),"""",M757*GOOGLEFINANCE(""USDGBP""))"),"")</f>
        <v/>
      </c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</row>
    <row r="758">
      <c r="A758" s="8" t="str">
        <f>IFERROR(__xludf.DUMMYFUNCTION("""COMPUTED_VALUE"""),"101403320160300750")</f>
        <v>101403320160300750</v>
      </c>
      <c r="B758" s="9" t="str">
        <f>IFERROR(__xludf.DUMMYFUNCTION("""COMPUTED_VALUE"""),"France")</f>
        <v>France</v>
      </c>
      <c r="C758" s="9" t="str">
        <f>IFERROR(__xludf.DUMMYFUNCTION("""COMPUTED_VALUE"""),"bordeaux")</f>
        <v>bordeaux</v>
      </c>
      <c r="D758" s="9" t="str">
        <f>IFERROR(__xludf.DUMMYFUNCTION("""COMPUTED_VALUE"""),"Petrus, Pomerol")</f>
        <v>Petrus, Pomerol</v>
      </c>
      <c r="E758" s="9">
        <f>IFERROR(__xludf.DUMMYFUNCTION("""COMPUTED_VALUE"""),2016.0)</f>
        <v>2016</v>
      </c>
      <c r="F758" s="9">
        <f>IFERROR(__xludf.DUMMYFUNCTION("""COMPUTED_VALUE"""),750.0)</f>
        <v>750</v>
      </c>
      <c r="G758" s="9">
        <f>IFERROR(__xludf.DUMMYFUNCTION("""COMPUTED_VALUE"""),3.0)</f>
        <v>3</v>
      </c>
      <c r="H758" s="10">
        <f>IFERROR(__xludf.DUMMYFUNCTION("""COMPUTED_VALUE"""),1.0)</f>
        <v>1</v>
      </c>
      <c r="I758" s="11">
        <f>IFERROR(__xludf.DUMMYFUNCTION("""COMPUTED_VALUE"""),11092.0)</f>
        <v>11092</v>
      </c>
      <c r="J758" s="9" t="str">
        <f>IFERROR(__xludf.DUMMYFUNCTION("""COMPUTED_VALUE"""),"UK")</f>
        <v>UK</v>
      </c>
      <c r="K758" s="8"/>
      <c r="L758" s="12"/>
      <c r="M758" s="13"/>
      <c r="N758" s="13" t="str">
        <f>IFERROR(__xludf.DUMMYFUNCTION("IF(ISBLANK(M758),"""",M758*GOOGLEFINANCE(""USDGBP""))"),"")</f>
        <v/>
      </c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</row>
    <row r="759">
      <c r="A759" s="8" t="str">
        <f>IFERROR(__xludf.DUMMYFUNCTION("""COMPUTED_VALUE"""),"101403320180100750")</f>
        <v>101403320180100750</v>
      </c>
      <c r="B759" s="9" t="str">
        <f>IFERROR(__xludf.DUMMYFUNCTION("""COMPUTED_VALUE"""),"France")</f>
        <v>France</v>
      </c>
      <c r="C759" s="9" t="str">
        <f>IFERROR(__xludf.DUMMYFUNCTION("""COMPUTED_VALUE"""),"bordeaux")</f>
        <v>bordeaux</v>
      </c>
      <c r="D759" s="9" t="str">
        <f>IFERROR(__xludf.DUMMYFUNCTION("""COMPUTED_VALUE"""),"Petrus, Pomerol")</f>
        <v>Petrus, Pomerol</v>
      </c>
      <c r="E759" s="9">
        <f>IFERROR(__xludf.DUMMYFUNCTION("""COMPUTED_VALUE"""),2018.0)</f>
        <v>2018</v>
      </c>
      <c r="F759" s="9">
        <f>IFERROR(__xludf.DUMMYFUNCTION("""COMPUTED_VALUE"""),750.0)</f>
        <v>750</v>
      </c>
      <c r="G759" s="9">
        <f>IFERROR(__xludf.DUMMYFUNCTION("""COMPUTED_VALUE"""),1.0)</f>
        <v>1</v>
      </c>
      <c r="H759" s="10">
        <f>IFERROR(__xludf.DUMMYFUNCTION("""COMPUTED_VALUE"""),1.0)</f>
        <v>1</v>
      </c>
      <c r="I759" s="11">
        <f>IFERROR(__xludf.DUMMYFUNCTION("""COMPUTED_VALUE"""),3756.0)</f>
        <v>3756</v>
      </c>
      <c r="J759" s="9" t="str">
        <f>IFERROR(__xludf.DUMMYFUNCTION("""COMPUTED_VALUE"""),"UK")</f>
        <v>UK</v>
      </c>
      <c r="K759" s="8"/>
      <c r="L759" s="12"/>
      <c r="M759" s="13"/>
      <c r="N759" s="13" t="str">
        <f>IFERROR(__xludf.DUMMYFUNCTION("IF(ISBLANK(M759),"""",M759*GOOGLEFINANCE(""USDGBP""))"),"")</f>
        <v/>
      </c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</row>
    <row r="760">
      <c r="A760" s="8" t="str">
        <f>IFERROR(__xludf.DUMMYFUNCTION("""COMPUTED_VALUE"""),"101403320200300750")</f>
        <v>101403320200300750</v>
      </c>
      <c r="B760" s="9" t="str">
        <f>IFERROR(__xludf.DUMMYFUNCTION("""COMPUTED_VALUE"""),"France")</f>
        <v>France</v>
      </c>
      <c r="C760" s="9" t="str">
        <f>IFERROR(__xludf.DUMMYFUNCTION("""COMPUTED_VALUE"""),"bordeaux")</f>
        <v>bordeaux</v>
      </c>
      <c r="D760" s="9" t="str">
        <f>IFERROR(__xludf.DUMMYFUNCTION("""COMPUTED_VALUE"""),"Petrus, Pomerol")</f>
        <v>Petrus, Pomerol</v>
      </c>
      <c r="E760" s="9">
        <f>IFERROR(__xludf.DUMMYFUNCTION("""COMPUTED_VALUE"""),2020.0)</f>
        <v>2020</v>
      </c>
      <c r="F760" s="9">
        <f>IFERROR(__xludf.DUMMYFUNCTION("""COMPUTED_VALUE"""),750.0)</f>
        <v>750</v>
      </c>
      <c r="G760" s="9">
        <f>IFERROR(__xludf.DUMMYFUNCTION("""COMPUTED_VALUE"""),3.0)</f>
        <v>3</v>
      </c>
      <c r="H760" s="10">
        <f>IFERROR(__xludf.DUMMYFUNCTION("""COMPUTED_VALUE"""),3.0)</f>
        <v>3</v>
      </c>
      <c r="I760" s="11">
        <f>IFERROR(__xludf.DUMMYFUNCTION("""COMPUTED_VALUE"""),12906.0)</f>
        <v>12906</v>
      </c>
      <c r="J760" s="9" t="str">
        <f>IFERROR(__xludf.DUMMYFUNCTION("""COMPUTED_VALUE"""),"UK")</f>
        <v>UK</v>
      </c>
      <c r="K760" s="8"/>
      <c r="L760" s="12"/>
      <c r="M760" s="13"/>
      <c r="N760" s="13" t="str">
        <f>IFERROR(__xludf.DUMMYFUNCTION("IF(ISBLANK(M760),"""",M760*GOOGLEFINANCE(""USDGBP""))"),"")</f>
        <v/>
      </c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</row>
    <row r="761">
      <c r="A761" s="8" t="str">
        <f>IFERROR(__xludf.DUMMYFUNCTION("""COMPUTED_VALUE"""),"101463920091200750")</f>
        <v>101463920091200750</v>
      </c>
      <c r="B761" s="9" t="str">
        <f>IFERROR(__xludf.DUMMYFUNCTION("""COMPUTED_VALUE"""),"France")</f>
        <v>France</v>
      </c>
      <c r="C761" s="9" t="str">
        <f>IFERROR(__xludf.DUMMYFUNCTION("""COMPUTED_VALUE"""),"bordeaux")</f>
        <v>bordeaux</v>
      </c>
      <c r="D761" s="9" t="str">
        <f>IFERROR(__xludf.DUMMYFUNCTION("""COMPUTED_VALUE"""),"Pichon Comtesse Reserve, Pauillac")</f>
        <v>Pichon Comtesse Reserve, Pauillac</v>
      </c>
      <c r="E761" s="9">
        <f>IFERROR(__xludf.DUMMYFUNCTION("""COMPUTED_VALUE"""),2009.0)</f>
        <v>2009</v>
      </c>
      <c r="F761" s="9">
        <f>IFERROR(__xludf.DUMMYFUNCTION("""COMPUTED_VALUE"""),750.0)</f>
        <v>750</v>
      </c>
      <c r="G761" s="9">
        <f>IFERROR(__xludf.DUMMYFUNCTION("""COMPUTED_VALUE"""),12.0)</f>
        <v>12</v>
      </c>
      <c r="H761" s="10">
        <f>IFERROR(__xludf.DUMMYFUNCTION("""COMPUTED_VALUE"""),1.0)</f>
        <v>1</v>
      </c>
      <c r="I761" s="11">
        <f>IFERROR(__xludf.DUMMYFUNCTION("""COMPUTED_VALUE"""),589.0)</f>
        <v>589</v>
      </c>
      <c r="J761" s="9" t="str">
        <f>IFERROR(__xludf.DUMMYFUNCTION("""COMPUTED_VALUE"""),"UK")</f>
        <v>UK</v>
      </c>
      <c r="K761" s="8"/>
      <c r="L761" s="12"/>
      <c r="M761" s="13"/>
      <c r="N761" s="13" t="str">
        <f>IFERROR(__xludf.DUMMYFUNCTION("IF(ISBLANK(M761),"""",M761*GOOGLEFINANCE(""USDGBP""))"),"")</f>
        <v/>
      </c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</row>
    <row r="762">
      <c r="A762" s="8" t="str">
        <f>IFERROR(__xludf.DUMMYFUNCTION("""COMPUTED_VALUE"""),"101463920171200750")</f>
        <v>101463920171200750</v>
      </c>
      <c r="B762" s="9" t="str">
        <f>IFERROR(__xludf.DUMMYFUNCTION("""COMPUTED_VALUE"""),"France")</f>
        <v>France</v>
      </c>
      <c r="C762" s="9" t="str">
        <f>IFERROR(__xludf.DUMMYFUNCTION("""COMPUTED_VALUE"""),"bordeaux")</f>
        <v>bordeaux</v>
      </c>
      <c r="D762" s="9" t="str">
        <f>IFERROR(__xludf.DUMMYFUNCTION("""COMPUTED_VALUE"""),"Pichon Comtesse Reserve, Pauillac")</f>
        <v>Pichon Comtesse Reserve, Pauillac</v>
      </c>
      <c r="E762" s="9">
        <f>IFERROR(__xludf.DUMMYFUNCTION("""COMPUTED_VALUE"""),2017.0)</f>
        <v>2017</v>
      </c>
      <c r="F762" s="9">
        <f>IFERROR(__xludf.DUMMYFUNCTION("""COMPUTED_VALUE"""),750.0)</f>
        <v>750</v>
      </c>
      <c r="G762" s="9">
        <f>IFERROR(__xludf.DUMMYFUNCTION("""COMPUTED_VALUE"""),12.0)</f>
        <v>12</v>
      </c>
      <c r="H762" s="10">
        <f>IFERROR(__xludf.DUMMYFUNCTION("""COMPUTED_VALUE"""),1.0)</f>
        <v>1</v>
      </c>
      <c r="I762" s="11">
        <f>IFERROR(__xludf.DUMMYFUNCTION("""COMPUTED_VALUE"""),377.0)</f>
        <v>377</v>
      </c>
      <c r="J762" s="9" t="str">
        <f>IFERROR(__xludf.DUMMYFUNCTION("""COMPUTED_VALUE"""),"UK")</f>
        <v>UK</v>
      </c>
      <c r="K762" s="8"/>
      <c r="L762" s="12"/>
      <c r="M762" s="13"/>
      <c r="N762" s="13" t="str">
        <f>IFERROR(__xludf.DUMMYFUNCTION("IF(ISBLANK(M762),"""",M762*GOOGLEFINANCE(""USDGBP""))"),"")</f>
        <v/>
      </c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</row>
    <row r="763">
      <c r="A763" s="8" t="str">
        <f>IFERROR(__xludf.DUMMYFUNCTION("""COMPUTED_VALUE"""),"131622520170600750")</f>
        <v>131622520170600750</v>
      </c>
      <c r="B763" s="9" t="str">
        <f>IFERROR(__xludf.DUMMYFUNCTION("""COMPUTED_VALUE"""),"France")</f>
        <v>France</v>
      </c>
      <c r="C763" s="9" t="str">
        <f>IFERROR(__xludf.DUMMYFUNCTION("""COMPUTED_VALUE"""),"bordeaux")</f>
        <v>bordeaux</v>
      </c>
      <c r="D763" s="9" t="str">
        <f>IFERROR(__xludf.DUMMYFUNCTION("""COMPUTED_VALUE"""),"Roc de Cambes, Cotes de Bourg")</f>
        <v>Roc de Cambes, Cotes de Bourg</v>
      </c>
      <c r="E763" s="9">
        <f>IFERROR(__xludf.DUMMYFUNCTION("""COMPUTED_VALUE"""),2017.0)</f>
        <v>2017</v>
      </c>
      <c r="F763" s="9">
        <f>IFERROR(__xludf.DUMMYFUNCTION("""COMPUTED_VALUE"""),750.0)</f>
        <v>750</v>
      </c>
      <c r="G763" s="9">
        <f>IFERROR(__xludf.DUMMYFUNCTION("""COMPUTED_VALUE"""),6.0)</f>
        <v>6</v>
      </c>
      <c r="H763" s="10">
        <f>IFERROR(__xludf.DUMMYFUNCTION("""COMPUTED_VALUE"""),2.0)</f>
        <v>2</v>
      </c>
      <c r="I763" s="11">
        <f>IFERROR(__xludf.DUMMYFUNCTION("""COMPUTED_VALUE"""),293.0)</f>
        <v>293</v>
      </c>
      <c r="J763" s="9" t="str">
        <f>IFERROR(__xludf.DUMMYFUNCTION("""COMPUTED_VALUE"""),"UK")</f>
        <v>UK</v>
      </c>
      <c r="K763" s="8"/>
      <c r="L763" s="12"/>
      <c r="M763" s="13"/>
      <c r="N763" s="13" t="str">
        <f>IFERROR(__xludf.DUMMYFUNCTION("IF(ISBLANK(M763),"""",M763*GOOGLEFINANCE(""USDGBP""))"),"")</f>
        <v/>
      </c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</row>
    <row r="764">
      <c r="A764" s="8" t="str">
        <f>IFERROR(__xludf.DUMMYFUNCTION("""COMPUTED_VALUE"""),"131622520190600750")</f>
        <v>131622520190600750</v>
      </c>
      <c r="B764" s="9" t="str">
        <f>IFERROR(__xludf.DUMMYFUNCTION("""COMPUTED_VALUE"""),"France")</f>
        <v>France</v>
      </c>
      <c r="C764" s="9" t="str">
        <f>IFERROR(__xludf.DUMMYFUNCTION("""COMPUTED_VALUE"""),"bordeaux")</f>
        <v>bordeaux</v>
      </c>
      <c r="D764" s="9" t="str">
        <f>IFERROR(__xludf.DUMMYFUNCTION("""COMPUTED_VALUE"""),"Roc de Cambes, Cotes de Bourg")</f>
        <v>Roc de Cambes, Cotes de Bourg</v>
      </c>
      <c r="E764" s="9">
        <f>IFERROR(__xludf.DUMMYFUNCTION("""COMPUTED_VALUE"""),2019.0)</f>
        <v>2019</v>
      </c>
      <c r="F764" s="9">
        <f>IFERROR(__xludf.DUMMYFUNCTION("""COMPUTED_VALUE"""),750.0)</f>
        <v>750</v>
      </c>
      <c r="G764" s="9">
        <f>IFERROR(__xludf.DUMMYFUNCTION("""COMPUTED_VALUE"""),6.0)</f>
        <v>6</v>
      </c>
      <c r="H764" s="10">
        <f>IFERROR(__xludf.DUMMYFUNCTION("""COMPUTED_VALUE"""),1.0)</f>
        <v>1</v>
      </c>
      <c r="I764" s="11">
        <f>IFERROR(__xludf.DUMMYFUNCTION("""COMPUTED_VALUE"""),291.0)</f>
        <v>291</v>
      </c>
      <c r="J764" s="9" t="str">
        <f>IFERROR(__xludf.DUMMYFUNCTION("""COMPUTED_VALUE"""),"UK")</f>
        <v>UK</v>
      </c>
      <c r="K764" s="8"/>
      <c r="L764" s="12"/>
      <c r="M764" s="13"/>
      <c r="N764" s="13" t="str">
        <f>IFERROR(__xludf.DUMMYFUNCTION("IF(ISBLANK(M764),"""",M764*GOOGLEFINANCE(""USDGBP""))"),"")</f>
        <v/>
      </c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</row>
    <row r="765">
      <c r="A765" s="8" t="str">
        <f>IFERROR(__xludf.DUMMYFUNCTION("""COMPUTED_VALUE"""),"131985120170600750")</f>
        <v>131985120170600750</v>
      </c>
      <c r="B765" s="9" t="str">
        <f>IFERROR(__xludf.DUMMYFUNCTION("""COMPUTED_VALUE"""),"France")</f>
        <v>France</v>
      </c>
      <c r="C765" s="9" t="str">
        <f>IFERROR(__xludf.DUMMYFUNCTION("""COMPUTED_VALUE"""),"bordeaux")</f>
        <v>bordeaux</v>
      </c>
      <c r="D765" s="9" t="str">
        <f>IFERROR(__xludf.DUMMYFUNCTION("""COMPUTED_VALUE"""),"Blanc de Lynch-Bages")</f>
        <v>Blanc de Lynch-Bages</v>
      </c>
      <c r="E765" s="9">
        <f>IFERROR(__xludf.DUMMYFUNCTION("""COMPUTED_VALUE"""),2017.0)</f>
        <v>2017</v>
      </c>
      <c r="F765" s="9">
        <f>IFERROR(__xludf.DUMMYFUNCTION("""COMPUTED_VALUE"""),750.0)</f>
        <v>750</v>
      </c>
      <c r="G765" s="9">
        <f>IFERROR(__xludf.DUMMYFUNCTION("""COMPUTED_VALUE"""),6.0)</f>
        <v>6</v>
      </c>
      <c r="H765" s="10">
        <f>IFERROR(__xludf.DUMMYFUNCTION("""COMPUTED_VALUE"""),1.0)</f>
        <v>1</v>
      </c>
      <c r="I765" s="11">
        <f>IFERROR(__xludf.DUMMYFUNCTION("""COMPUTED_VALUE"""),308.0)</f>
        <v>308</v>
      </c>
      <c r="J765" s="9" t="str">
        <f>IFERROR(__xludf.DUMMYFUNCTION("""COMPUTED_VALUE"""),"UK")</f>
        <v>UK</v>
      </c>
      <c r="K765" s="8"/>
      <c r="L765" s="12"/>
      <c r="M765" s="13"/>
      <c r="N765" s="13" t="str">
        <f>IFERROR(__xludf.DUMMYFUNCTION("IF(ISBLANK(M765),"""",M765*GOOGLEFINANCE(""USDGBP""))"),"")</f>
        <v/>
      </c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</row>
    <row r="766">
      <c r="A766" s="8" t="str">
        <f>IFERROR(__xludf.DUMMYFUNCTION("""COMPUTED_VALUE"""),"101669119981200750")</f>
        <v>101669119981200750</v>
      </c>
      <c r="B766" s="9" t="str">
        <f>IFERROR(__xludf.DUMMYFUNCTION("""COMPUTED_VALUE"""),"France")</f>
        <v>France</v>
      </c>
      <c r="C766" s="9" t="str">
        <f>IFERROR(__xludf.DUMMYFUNCTION("""COMPUTED_VALUE"""),"bordeaux")</f>
        <v>bordeaux</v>
      </c>
      <c r="D766" s="9" t="str">
        <f>IFERROR(__xludf.DUMMYFUNCTION("""COMPUTED_VALUE"""),"Chateau Climens Premier Cru Classe, Barsac")</f>
        <v>Chateau Climens Premier Cru Classe, Barsac</v>
      </c>
      <c r="E766" s="9">
        <f>IFERROR(__xludf.DUMMYFUNCTION("""COMPUTED_VALUE"""),1998.0)</f>
        <v>1998</v>
      </c>
      <c r="F766" s="9">
        <f>IFERROR(__xludf.DUMMYFUNCTION("""COMPUTED_VALUE"""),750.0)</f>
        <v>750</v>
      </c>
      <c r="G766" s="9">
        <f>IFERROR(__xludf.DUMMYFUNCTION("""COMPUTED_VALUE"""),12.0)</f>
        <v>12</v>
      </c>
      <c r="H766" s="10">
        <f>IFERROR(__xludf.DUMMYFUNCTION("""COMPUTED_VALUE"""),1.0)</f>
        <v>1</v>
      </c>
      <c r="I766" s="11">
        <f>IFERROR(__xludf.DUMMYFUNCTION("""COMPUTED_VALUE"""),649.0)</f>
        <v>649</v>
      </c>
      <c r="J766" s="9" t="str">
        <f>IFERROR(__xludf.DUMMYFUNCTION("""COMPUTED_VALUE"""),"UK")</f>
        <v>UK</v>
      </c>
      <c r="K766" s="8"/>
      <c r="L766" s="12"/>
      <c r="M766" s="13"/>
      <c r="N766" s="13" t="str">
        <f>IFERROR(__xludf.DUMMYFUNCTION("IF(ISBLANK(M766),"""",M766*GOOGLEFINANCE(""USDGBP""))"),"")</f>
        <v/>
      </c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</row>
    <row r="767">
      <c r="A767" s="8" t="str">
        <f>IFERROR(__xludf.DUMMYFUNCTION("""COMPUTED_VALUE"""),"101669120050600750")</f>
        <v>101669120050600750</v>
      </c>
      <c r="B767" s="9" t="str">
        <f>IFERROR(__xludf.DUMMYFUNCTION("""COMPUTED_VALUE"""),"France")</f>
        <v>France</v>
      </c>
      <c r="C767" s="9" t="str">
        <f>IFERROR(__xludf.DUMMYFUNCTION("""COMPUTED_VALUE"""),"bordeaux")</f>
        <v>bordeaux</v>
      </c>
      <c r="D767" s="9" t="str">
        <f>IFERROR(__xludf.DUMMYFUNCTION("""COMPUTED_VALUE"""),"Chateau Climens Premier Cru Classe, Barsac")</f>
        <v>Chateau Climens Premier Cru Classe, Barsac</v>
      </c>
      <c r="E767" s="9">
        <f>IFERROR(__xludf.DUMMYFUNCTION("""COMPUTED_VALUE"""),2005.0)</f>
        <v>2005</v>
      </c>
      <c r="F767" s="9">
        <f>IFERROR(__xludf.DUMMYFUNCTION("""COMPUTED_VALUE"""),750.0)</f>
        <v>750</v>
      </c>
      <c r="G767" s="9">
        <f>IFERROR(__xludf.DUMMYFUNCTION("""COMPUTED_VALUE"""),6.0)</f>
        <v>6</v>
      </c>
      <c r="H767" s="10">
        <f>IFERROR(__xludf.DUMMYFUNCTION("""COMPUTED_VALUE"""),1.0)</f>
        <v>1</v>
      </c>
      <c r="I767" s="11">
        <f>IFERROR(__xludf.DUMMYFUNCTION("""COMPUTED_VALUE"""),336.0)</f>
        <v>336</v>
      </c>
      <c r="J767" s="9" t="str">
        <f>IFERROR(__xludf.DUMMYFUNCTION("""COMPUTED_VALUE"""),"UK")</f>
        <v>UK</v>
      </c>
      <c r="K767" s="8"/>
      <c r="L767" s="12"/>
      <c r="M767" s="13"/>
      <c r="N767" s="13" t="str">
        <f>IFERROR(__xludf.DUMMYFUNCTION("IF(ISBLANK(M767),"""",M767*GOOGLEFINANCE(""USDGBP""))"),"")</f>
        <v/>
      </c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</row>
    <row r="768">
      <c r="A768" s="8" t="str">
        <f>IFERROR(__xludf.DUMMYFUNCTION("""COMPUTED_VALUE"""),"101709220200600750")</f>
        <v>101709220200600750</v>
      </c>
      <c r="B768" s="9" t="str">
        <f>IFERROR(__xludf.DUMMYFUNCTION("""COMPUTED_VALUE"""),"France")</f>
        <v>France</v>
      </c>
      <c r="C768" s="9" t="str">
        <f>IFERROR(__xludf.DUMMYFUNCTION("""COMPUTED_VALUE"""),"bordeaux")</f>
        <v>bordeaux</v>
      </c>
      <c r="D768" s="9" t="str">
        <f>IFERROR(__xludf.DUMMYFUNCTION("""COMPUTED_VALUE"""),"Chateau Haut-Brion, Blanc, Pessac-Leognan")</f>
        <v>Chateau Haut-Brion, Blanc, Pessac-Leognan</v>
      </c>
      <c r="E768" s="9">
        <f>IFERROR(__xludf.DUMMYFUNCTION("""COMPUTED_VALUE"""),2020.0)</f>
        <v>2020</v>
      </c>
      <c r="F768" s="9">
        <f>IFERROR(__xludf.DUMMYFUNCTION("""COMPUTED_VALUE"""),750.0)</f>
        <v>750</v>
      </c>
      <c r="G768" s="9">
        <f>IFERROR(__xludf.DUMMYFUNCTION("""COMPUTED_VALUE"""),6.0)</f>
        <v>6</v>
      </c>
      <c r="H768" s="10">
        <f>IFERROR(__xludf.DUMMYFUNCTION("""COMPUTED_VALUE"""),2.0)</f>
        <v>2</v>
      </c>
      <c r="I768" s="11">
        <f>IFERROR(__xludf.DUMMYFUNCTION("""COMPUTED_VALUE"""),3845.0)</f>
        <v>3845</v>
      </c>
      <c r="J768" s="9" t="str">
        <f>IFERROR(__xludf.DUMMYFUNCTION("""COMPUTED_VALUE"""),"UK")</f>
        <v>UK</v>
      </c>
      <c r="K768" s="8"/>
      <c r="L768" s="12"/>
      <c r="M768" s="13"/>
      <c r="N768" s="13" t="str">
        <f>IFERROR(__xludf.DUMMYFUNCTION("IF(ISBLANK(M768),"""",M768*GOOGLEFINANCE(""USDGBP""))"),"")</f>
        <v/>
      </c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</row>
    <row r="769">
      <c r="A769" s="8" t="str">
        <f>IFERROR(__xludf.DUMMYFUNCTION("""COMPUTED_VALUE"""),"101722320180300750")</f>
        <v>101722320180300750</v>
      </c>
      <c r="B769" s="9" t="str">
        <f>IFERROR(__xludf.DUMMYFUNCTION("""COMPUTED_VALUE"""),"France")</f>
        <v>France</v>
      </c>
      <c r="C769" s="9" t="str">
        <f>IFERROR(__xludf.DUMMYFUNCTION("""COMPUTED_VALUE"""),"bordeaux")</f>
        <v>bordeaux</v>
      </c>
      <c r="D769" s="9" t="str">
        <f>IFERROR(__xludf.DUMMYFUNCTION("""COMPUTED_VALUE"""),"Chateau La Mission Haut-Brion, Blanc, Pessac-Leognan")</f>
        <v>Chateau La Mission Haut-Brion, Blanc, Pessac-Leognan</v>
      </c>
      <c r="E769" s="9">
        <f>IFERROR(__xludf.DUMMYFUNCTION("""COMPUTED_VALUE"""),2018.0)</f>
        <v>2018</v>
      </c>
      <c r="F769" s="9">
        <f>IFERROR(__xludf.DUMMYFUNCTION("""COMPUTED_VALUE"""),750.0)</f>
        <v>750</v>
      </c>
      <c r="G769" s="9">
        <f>IFERROR(__xludf.DUMMYFUNCTION("""COMPUTED_VALUE"""),3.0)</f>
        <v>3</v>
      </c>
      <c r="H769" s="10">
        <f>IFERROR(__xludf.DUMMYFUNCTION("""COMPUTED_VALUE"""),2.0)</f>
        <v>2</v>
      </c>
      <c r="I769" s="11">
        <f>IFERROR(__xludf.DUMMYFUNCTION("""COMPUTED_VALUE"""),1321.0)</f>
        <v>1321</v>
      </c>
      <c r="J769" s="9" t="str">
        <f>IFERROR(__xludf.DUMMYFUNCTION("""COMPUTED_VALUE"""),"UK")</f>
        <v>UK</v>
      </c>
      <c r="K769" s="8"/>
      <c r="L769" s="12"/>
      <c r="M769" s="13"/>
      <c r="N769" s="13" t="str">
        <f>IFERROR(__xludf.DUMMYFUNCTION("IF(ISBLANK(M769),"""",M769*GOOGLEFINANCE(""USDGBP""))"),"")</f>
        <v/>
      </c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</row>
    <row r="770">
      <c r="A770" s="8" t="str">
        <f>IFERROR(__xludf.DUMMYFUNCTION("""COMPUTED_VALUE"""),"101736620180600750")</f>
        <v>101736620180600750</v>
      </c>
      <c r="B770" s="9" t="str">
        <f>IFERROR(__xludf.DUMMYFUNCTION("""COMPUTED_VALUE"""),"France")</f>
        <v>France</v>
      </c>
      <c r="C770" s="9" t="str">
        <f>IFERROR(__xludf.DUMMYFUNCTION("""COMPUTED_VALUE"""),"bordeaux")</f>
        <v>bordeaux</v>
      </c>
      <c r="D770" s="9" t="str">
        <f>IFERROR(__xludf.DUMMYFUNCTION("""COMPUTED_VALUE"""),"Chateau Pape Clement, Blanc, Pessac-Leognan")</f>
        <v>Chateau Pape Clement, Blanc, Pessac-Leognan</v>
      </c>
      <c r="E770" s="9">
        <f>IFERROR(__xludf.DUMMYFUNCTION("""COMPUTED_VALUE"""),2018.0)</f>
        <v>2018</v>
      </c>
      <c r="F770" s="9">
        <f>IFERROR(__xludf.DUMMYFUNCTION("""COMPUTED_VALUE"""),750.0)</f>
        <v>750</v>
      </c>
      <c r="G770" s="9">
        <f>IFERROR(__xludf.DUMMYFUNCTION("""COMPUTED_VALUE"""),6.0)</f>
        <v>6</v>
      </c>
      <c r="H770" s="10">
        <f>IFERROR(__xludf.DUMMYFUNCTION("""COMPUTED_VALUE"""),16.0)</f>
        <v>16</v>
      </c>
      <c r="I770" s="11">
        <f>IFERROR(__xludf.DUMMYFUNCTION("""COMPUTED_VALUE"""),532.0)</f>
        <v>532</v>
      </c>
      <c r="J770" s="9" t="str">
        <f>IFERROR(__xludf.DUMMYFUNCTION("""COMPUTED_VALUE"""),"UK")</f>
        <v>UK</v>
      </c>
      <c r="K770" s="8"/>
      <c r="L770" s="12"/>
      <c r="M770" s="13"/>
      <c r="N770" s="13" t="str">
        <f>IFERROR(__xludf.DUMMYFUNCTION("IF(ISBLANK(M770),"""",M770*GOOGLEFINANCE(""USDGBP""))"),"")</f>
        <v/>
      </c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</row>
    <row r="771">
      <c r="A771" s="8" t="str">
        <f>IFERROR(__xludf.DUMMYFUNCTION("""COMPUTED_VALUE"""),"101736620190600750")</f>
        <v>101736620190600750</v>
      </c>
      <c r="B771" s="9" t="str">
        <f>IFERROR(__xludf.DUMMYFUNCTION("""COMPUTED_VALUE"""),"France")</f>
        <v>France</v>
      </c>
      <c r="C771" s="9" t="str">
        <f>IFERROR(__xludf.DUMMYFUNCTION("""COMPUTED_VALUE"""),"bordeaux")</f>
        <v>bordeaux</v>
      </c>
      <c r="D771" s="9" t="str">
        <f>IFERROR(__xludf.DUMMYFUNCTION("""COMPUTED_VALUE"""),"Chateau Pape Clement, Blanc, Pessac-Leognan")</f>
        <v>Chateau Pape Clement, Blanc, Pessac-Leognan</v>
      </c>
      <c r="E771" s="9">
        <f>IFERROR(__xludf.DUMMYFUNCTION("""COMPUTED_VALUE"""),2019.0)</f>
        <v>2019</v>
      </c>
      <c r="F771" s="9">
        <f>IFERROR(__xludf.DUMMYFUNCTION("""COMPUTED_VALUE"""),750.0)</f>
        <v>750</v>
      </c>
      <c r="G771" s="9">
        <f>IFERROR(__xludf.DUMMYFUNCTION("""COMPUTED_VALUE"""),6.0)</f>
        <v>6</v>
      </c>
      <c r="H771" s="10">
        <f>IFERROR(__xludf.DUMMYFUNCTION("""COMPUTED_VALUE"""),4.0)</f>
        <v>4</v>
      </c>
      <c r="I771" s="11">
        <f>IFERROR(__xludf.DUMMYFUNCTION("""COMPUTED_VALUE"""),521.0)</f>
        <v>521</v>
      </c>
      <c r="J771" s="9" t="str">
        <f>IFERROR(__xludf.DUMMYFUNCTION("""COMPUTED_VALUE"""),"UK")</f>
        <v>UK</v>
      </c>
      <c r="K771" s="8"/>
      <c r="L771" s="12"/>
      <c r="M771" s="13"/>
      <c r="N771" s="13" t="str">
        <f>IFERROR(__xludf.DUMMYFUNCTION("IF(ISBLANK(M771),"""",M771*GOOGLEFINANCE(""USDGBP""))"),"")</f>
        <v/>
      </c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</row>
    <row r="772">
      <c r="A772" s="8" t="str">
        <f>IFERROR(__xludf.DUMMYFUNCTION("""COMPUTED_VALUE"""),"101748320091200750")</f>
        <v>101748320091200750</v>
      </c>
      <c r="B772" s="9" t="str">
        <f>IFERROR(__xludf.DUMMYFUNCTION("""COMPUTED_VALUE"""),"France")</f>
        <v>France</v>
      </c>
      <c r="C772" s="9" t="str">
        <f>IFERROR(__xludf.DUMMYFUNCTION("""COMPUTED_VALUE"""),"bordeaux")</f>
        <v>bordeaux</v>
      </c>
      <c r="D772" s="9" t="str">
        <f>IFERROR(__xludf.DUMMYFUNCTION("""COMPUTED_VALUE"""),"Chateau Rieussec Premier Cru Classe, Sauternes")</f>
        <v>Chateau Rieussec Premier Cru Classe, Sauternes</v>
      </c>
      <c r="E772" s="9">
        <f>IFERROR(__xludf.DUMMYFUNCTION("""COMPUTED_VALUE"""),2009.0)</f>
        <v>2009</v>
      </c>
      <c r="F772" s="9">
        <f>IFERROR(__xludf.DUMMYFUNCTION("""COMPUTED_VALUE"""),750.0)</f>
        <v>750</v>
      </c>
      <c r="G772" s="9">
        <f>IFERROR(__xludf.DUMMYFUNCTION("""COMPUTED_VALUE"""),12.0)</f>
        <v>12</v>
      </c>
      <c r="H772" s="10">
        <f>IFERROR(__xludf.DUMMYFUNCTION("""COMPUTED_VALUE"""),1.0)</f>
        <v>1</v>
      </c>
      <c r="I772" s="11">
        <f>IFERROR(__xludf.DUMMYFUNCTION("""COMPUTED_VALUE"""),502.0)</f>
        <v>502</v>
      </c>
      <c r="J772" s="9" t="str">
        <f>IFERROR(__xludf.DUMMYFUNCTION("""COMPUTED_VALUE"""),"UK")</f>
        <v>UK</v>
      </c>
      <c r="K772" s="8"/>
      <c r="L772" s="12"/>
      <c r="M772" s="13"/>
      <c r="N772" s="13" t="str">
        <f>IFERROR(__xludf.DUMMYFUNCTION("IF(ISBLANK(M772),"""",M772*GOOGLEFINANCE(""USDGBP""))"),"")</f>
        <v/>
      </c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</row>
    <row r="773">
      <c r="A773" s="8" t="str">
        <f>IFERROR(__xludf.DUMMYFUNCTION("""COMPUTED_VALUE"""),"101762720161200750")</f>
        <v>101762720161200750</v>
      </c>
      <c r="B773" s="9" t="str">
        <f>IFERROR(__xludf.DUMMYFUNCTION("""COMPUTED_VALUE"""),"France")</f>
        <v>France</v>
      </c>
      <c r="C773" s="9" t="str">
        <f>IFERROR(__xludf.DUMMYFUNCTION("""COMPUTED_VALUE"""),"bordeaux")</f>
        <v>bordeaux</v>
      </c>
      <c r="D773" s="9" t="str">
        <f>IFERROR(__xludf.DUMMYFUNCTION("""COMPUTED_VALUE"""),"Chateau Smith Haut Lafitte, Blanc, Pessac-Leognan")</f>
        <v>Chateau Smith Haut Lafitte, Blanc, Pessac-Leognan</v>
      </c>
      <c r="E773" s="9">
        <f>IFERROR(__xludf.DUMMYFUNCTION("""COMPUTED_VALUE"""),2016.0)</f>
        <v>2016</v>
      </c>
      <c r="F773" s="9">
        <f>IFERROR(__xludf.DUMMYFUNCTION("""COMPUTED_VALUE"""),750.0)</f>
        <v>750</v>
      </c>
      <c r="G773" s="9">
        <f>IFERROR(__xludf.DUMMYFUNCTION("""COMPUTED_VALUE"""),12.0)</f>
        <v>12</v>
      </c>
      <c r="H773" s="10">
        <f>IFERROR(__xludf.DUMMYFUNCTION("""COMPUTED_VALUE"""),1.0)</f>
        <v>1</v>
      </c>
      <c r="I773" s="11">
        <f>IFERROR(__xludf.DUMMYFUNCTION("""COMPUTED_VALUE"""),1323.0)</f>
        <v>1323</v>
      </c>
      <c r="J773" s="9" t="str">
        <f>IFERROR(__xludf.DUMMYFUNCTION("""COMPUTED_VALUE"""),"UK")</f>
        <v>UK</v>
      </c>
      <c r="K773" s="8"/>
      <c r="L773" s="12"/>
      <c r="M773" s="13"/>
      <c r="N773" s="13" t="str">
        <f>IFERROR(__xludf.DUMMYFUNCTION("IF(ISBLANK(M773),"""",M773*GOOGLEFINANCE(""USDGBP""))"),"")</f>
        <v/>
      </c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</row>
    <row r="774">
      <c r="A774" s="8" t="str">
        <f>IFERROR(__xludf.DUMMYFUNCTION("""COMPUTED_VALUE"""),"101762720180600750")</f>
        <v>101762720180600750</v>
      </c>
      <c r="B774" s="9" t="str">
        <f>IFERROR(__xludf.DUMMYFUNCTION("""COMPUTED_VALUE"""),"France")</f>
        <v>France</v>
      </c>
      <c r="C774" s="9" t="str">
        <f>IFERROR(__xludf.DUMMYFUNCTION("""COMPUTED_VALUE"""),"bordeaux")</f>
        <v>bordeaux</v>
      </c>
      <c r="D774" s="9" t="str">
        <f>IFERROR(__xludf.DUMMYFUNCTION("""COMPUTED_VALUE"""),"Chateau Smith Haut Lafitte, Blanc, Pessac-Leognan")</f>
        <v>Chateau Smith Haut Lafitte, Blanc, Pessac-Leognan</v>
      </c>
      <c r="E774" s="9">
        <f>IFERROR(__xludf.DUMMYFUNCTION("""COMPUTED_VALUE"""),2018.0)</f>
        <v>2018</v>
      </c>
      <c r="F774" s="9">
        <f>IFERROR(__xludf.DUMMYFUNCTION("""COMPUTED_VALUE"""),750.0)</f>
        <v>750</v>
      </c>
      <c r="G774" s="9">
        <f>IFERROR(__xludf.DUMMYFUNCTION("""COMPUTED_VALUE"""),6.0)</f>
        <v>6</v>
      </c>
      <c r="H774" s="10">
        <f>IFERROR(__xludf.DUMMYFUNCTION("""COMPUTED_VALUE"""),1.0)</f>
        <v>1</v>
      </c>
      <c r="I774" s="11">
        <f>IFERROR(__xludf.DUMMYFUNCTION("""COMPUTED_VALUE"""),616.0)</f>
        <v>616</v>
      </c>
      <c r="J774" s="9" t="str">
        <f>IFERROR(__xludf.DUMMYFUNCTION("""COMPUTED_VALUE"""),"UK")</f>
        <v>UK</v>
      </c>
      <c r="K774" s="8"/>
      <c r="L774" s="12"/>
      <c r="M774" s="13"/>
      <c r="N774" s="13" t="str">
        <f>IFERROR(__xludf.DUMMYFUNCTION("IF(ISBLANK(M774),"""",M774*GOOGLEFINANCE(""USDGBP""))"),"")</f>
        <v/>
      </c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</row>
    <row r="775">
      <c r="A775" s="8" t="str">
        <f>IFERROR(__xludf.DUMMYFUNCTION("""COMPUTED_VALUE"""),"101762720190600750")</f>
        <v>101762720190600750</v>
      </c>
      <c r="B775" s="9" t="str">
        <f>IFERROR(__xludf.DUMMYFUNCTION("""COMPUTED_VALUE"""),"France")</f>
        <v>France</v>
      </c>
      <c r="C775" s="9" t="str">
        <f>IFERROR(__xludf.DUMMYFUNCTION("""COMPUTED_VALUE"""),"bordeaux")</f>
        <v>bordeaux</v>
      </c>
      <c r="D775" s="9" t="str">
        <f>IFERROR(__xludf.DUMMYFUNCTION("""COMPUTED_VALUE"""),"Chateau Smith Haut Lafitte, Blanc, Pessac-Leognan")</f>
        <v>Chateau Smith Haut Lafitte, Blanc, Pessac-Leognan</v>
      </c>
      <c r="E775" s="9">
        <f>IFERROR(__xludf.DUMMYFUNCTION("""COMPUTED_VALUE"""),2019.0)</f>
        <v>2019</v>
      </c>
      <c r="F775" s="9">
        <f>IFERROR(__xludf.DUMMYFUNCTION("""COMPUTED_VALUE"""),750.0)</f>
        <v>750</v>
      </c>
      <c r="G775" s="9">
        <f>IFERROR(__xludf.DUMMYFUNCTION("""COMPUTED_VALUE"""),6.0)</f>
        <v>6</v>
      </c>
      <c r="H775" s="10">
        <f>IFERROR(__xludf.DUMMYFUNCTION("""COMPUTED_VALUE"""),1.0)</f>
        <v>1</v>
      </c>
      <c r="I775" s="11">
        <f>IFERROR(__xludf.DUMMYFUNCTION("""COMPUTED_VALUE"""),599.0)</f>
        <v>599</v>
      </c>
      <c r="J775" s="9" t="str">
        <f>IFERROR(__xludf.DUMMYFUNCTION("""COMPUTED_VALUE"""),"UK")</f>
        <v>UK</v>
      </c>
      <c r="K775" s="8"/>
      <c r="L775" s="12"/>
      <c r="M775" s="13"/>
      <c r="N775" s="13" t="str">
        <f>IFERROR(__xludf.DUMMYFUNCTION("IF(ISBLANK(M775),"""",M775*GOOGLEFINANCE(""USDGBP""))"),"")</f>
        <v/>
      </c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</row>
    <row r="776">
      <c r="A776" s="8" t="str">
        <f>IFERROR(__xludf.DUMMYFUNCTION("""COMPUTED_VALUE"""),"101765620061200750")</f>
        <v>101765620061200750</v>
      </c>
      <c r="B776" s="9" t="str">
        <f>IFERROR(__xludf.DUMMYFUNCTION("""COMPUTED_VALUE"""),"France")</f>
        <v>France</v>
      </c>
      <c r="C776" s="9" t="str">
        <f>IFERROR(__xludf.DUMMYFUNCTION("""COMPUTED_VALUE"""),"bordeaux")</f>
        <v>bordeaux</v>
      </c>
      <c r="D776" s="9" t="str">
        <f>IFERROR(__xludf.DUMMYFUNCTION("""COMPUTED_VALUE"""),"Chateau Suduiraut Premier Cru Classe, Sauternes")</f>
        <v>Chateau Suduiraut Premier Cru Classe, Sauternes</v>
      </c>
      <c r="E776" s="9">
        <f>IFERROR(__xludf.DUMMYFUNCTION("""COMPUTED_VALUE"""),2006.0)</f>
        <v>2006</v>
      </c>
      <c r="F776" s="9">
        <f>IFERROR(__xludf.DUMMYFUNCTION("""COMPUTED_VALUE"""),750.0)</f>
        <v>750</v>
      </c>
      <c r="G776" s="9">
        <f>IFERROR(__xludf.DUMMYFUNCTION("""COMPUTED_VALUE"""),12.0)</f>
        <v>12</v>
      </c>
      <c r="H776" s="10">
        <f>IFERROR(__xludf.DUMMYFUNCTION("""COMPUTED_VALUE"""),3.0)</f>
        <v>3</v>
      </c>
      <c r="I776" s="11">
        <f>IFERROR(__xludf.DUMMYFUNCTION("""COMPUTED_VALUE"""),398.0)</f>
        <v>398</v>
      </c>
      <c r="J776" s="9" t="str">
        <f>IFERROR(__xludf.DUMMYFUNCTION("""COMPUTED_VALUE"""),"UK")</f>
        <v>UK</v>
      </c>
      <c r="K776" s="8"/>
      <c r="L776" s="12"/>
      <c r="M776" s="13"/>
      <c r="N776" s="13" t="str">
        <f>IFERROR(__xludf.DUMMYFUNCTION("IF(ISBLANK(M776),"""",M776*GOOGLEFINANCE(""USDGBP""))"),"")</f>
        <v/>
      </c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</row>
    <row r="777">
      <c r="A777" s="8" t="str">
        <f>IFERROR(__xludf.DUMMYFUNCTION("""COMPUTED_VALUE"""),"101775720170600750")</f>
        <v>101775720170600750</v>
      </c>
      <c r="B777" s="9" t="str">
        <f>IFERROR(__xludf.DUMMYFUNCTION("""COMPUTED_VALUE"""),"France")</f>
        <v>France</v>
      </c>
      <c r="C777" s="9" t="str">
        <f>IFERROR(__xludf.DUMMYFUNCTION("""COMPUTED_VALUE"""),"bordeaux")</f>
        <v>bordeaux</v>
      </c>
      <c r="D777" s="9" t="str">
        <f>IFERROR(__xludf.DUMMYFUNCTION("""COMPUTED_VALUE"""),"Chateau d'Yquem Premier Cru Superieur, Sauternes")</f>
        <v>Chateau d'Yquem Premier Cru Superieur, Sauternes</v>
      </c>
      <c r="E777" s="9">
        <f>IFERROR(__xludf.DUMMYFUNCTION("""COMPUTED_VALUE"""),2017.0)</f>
        <v>2017</v>
      </c>
      <c r="F777" s="9">
        <f>IFERROR(__xludf.DUMMYFUNCTION("""COMPUTED_VALUE"""),750.0)</f>
        <v>750</v>
      </c>
      <c r="G777" s="9">
        <f>IFERROR(__xludf.DUMMYFUNCTION("""COMPUTED_VALUE"""),6.0)</f>
        <v>6</v>
      </c>
      <c r="H777" s="10">
        <f>IFERROR(__xludf.DUMMYFUNCTION("""COMPUTED_VALUE"""),2.0)</f>
        <v>2</v>
      </c>
      <c r="I777" s="11">
        <f>IFERROR(__xludf.DUMMYFUNCTION("""COMPUTED_VALUE"""),1679.0)</f>
        <v>1679</v>
      </c>
      <c r="J777" s="9" t="str">
        <f>IFERROR(__xludf.DUMMYFUNCTION("""COMPUTED_VALUE"""),"UK")</f>
        <v>UK</v>
      </c>
      <c r="K777" s="8"/>
      <c r="L777" s="12"/>
      <c r="M777" s="13"/>
      <c r="N777" s="13" t="str">
        <f>IFERROR(__xludf.DUMMYFUNCTION("IF(ISBLANK(M777),"""",M777*GOOGLEFINANCE(""USDGBP""))"),"")</f>
        <v/>
      </c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</row>
    <row r="778">
      <c r="A778" s="8" t="str">
        <f>IFERROR(__xludf.DUMMYFUNCTION("""COMPUTED_VALUE"""),"101774420160600750")</f>
        <v>101774420160600750</v>
      </c>
      <c r="B778" s="9" t="str">
        <f>IFERROR(__xludf.DUMMYFUNCTION("""COMPUTED_VALUE"""),"France")</f>
        <v>France</v>
      </c>
      <c r="C778" s="9" t="str">
        <f>IFERROR(__xludf.DUMMYFUNCTION("""COMPUTED_VALUE"""),"bordeaux")</f>
        <v>bordeaux</v>
      </c>
      <c r="D778" s="9" t="str">
        <f>IFERROR(__xludf.DUMMYFUNCTION("""COMPUTED_VALUE"""),"Chateau d'Yquem, Y, Bordeaux")</f>
        <v>Chateau d'Yquem, Y, Bordeaux</v>
      </c>
      <c r="E778" s="9">
        <f>IFERROR(__xludf.DUMMYFUNCTION("""COMPUTED_VALUE"""),2016.0)</f>
        <v>2016</v>
      </c>
      <c r="F778" s="9">
        <f>IFERROR(__xludf.DUMMYFUNCTION("""COMPUTED_VALUE"""),750.0)</f>
        <v>750</v>
      </c>
      <c r="G778" s="9">
        <f>IFERROR(__xludf.DUMMYFUNCTION("""COMPUTED_VALUE"""),6.0)</f>
        <v>6</v>
      </c>
      <c r="H778" s="10">
        <f>IFERROR(__xludf.DUMMYFUNCTION("""COMPUTED_VALUE"""),1.0)</f>
        <v>1</v>
      </c>
      <c r="I778" s="11">
        <f>IFERROR(__xludf.DUMMYFUNCTION("""COMPUTED_VALUE"""),912.0)</f>
        <v>912</v>
      </c>
      <c r="J778" s="9" t="str">
        <f>IFERROR(__xludf.DUMMYFUNCTION("""COMPUTED_VALUE"""),"UK")</f>
        <v>UK</v>
      </c>
      <c r="K778" s="8"/>
      <c r="L778" s="12"/>
      <c r="M778" s="13"/>
      <c r="N778" s="13" t="str">
        <f>IFERROR(__xludf.DUMMYFUNCTION("IF(ISBLANK(M778),"""",M778*GOOGLEFINANCE(""USDGBP""))"),"")</f>
        <v/>
      </c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</row>
    <row r="779">
      <c r="A779" s="8" t="str">
        <f>IFERROR(__xludf.DUMMYFUNCTION("""COMPUTED_VALUE"""),"101774420200600750")</f>
        <v>101774420200600750</v>
      </c>
      <c r="B779" s="9" t="str">
        <f>IFERROR(__xludf.DUMMYFUNCTION("""COMPUTED_VALUE"""),"France")</f>
        <v>France</v>
      </c>
      <c r="C779" s="9" t="str">
        <f>IFERROR(__xludf.DUMMYFUNCTION("""COMPUTED_VALUE"""),"bordeaux")</f>
        <v>bordeaux</v>
      </c>
      <c r="D779" s="9" t="str">
        <f>IFERROR(__xludf.DUMMYFUNCTION("""COMPUTED_VALUE"""),"Chateau d'Yquem, Y, Bordeaux")</f>
        <v>Chateau d'Yquem, Y, Bordeaux</v>
      </c>
      <c r="E779" s="9">
        <f>IFERROR(__xludf.DUMMYFUNCTION("""COMPUTED_VALUE"""),2020.0)</f>
        <v>2020</v>
      </c>
      <c r="F779" s="9">
        <f>IFERROR(__xludf.DUMMYFUNCTION("""COMPUTED_VALUE"""),750.0)</f>
        <v>750</v>
      </c>
      <c r="G779" s="9">
        <f>IFERROR(__xludf.DUMMYFUNCTION("""COMPUTED_VALUE"""),6.0)</f>
        <v>6</v>
      </c>
      <c r="H779" s="10">
        <f>IFERROR(__xludf.DUMMYFUNCTION("""COMPUTED_VALUE"""),3.0)</f>
        <v>3</v>
      </c>
      <c r="I779" s="11">
        <f>IFERROR(__xludf.DUMMYFUNCTION("""COMPUTED_VALUE"""),827.0)</f>
        <v>827</v>
      </c>
      <c r="J779" s="9" t="str">
        <f>IFERROR(__xludf.DUMMYFUNCTION("""COMPUTED_VALUE"""),"UK")</f>
        <v>UK</v>
      </c>
      <c r="K779" s="8"/>
      <c r="L779" s="12"/>
      <c r="M779" s="13"/>
      <c r="N779" s="13" t="str">
        <f>IFERROR(__xludf.DUMMYFUNCTION("IF(ISBLANK(M779),"""",M779*GOOGLEFINANCE(""USDGBP""))"),"")</f>
        <v/>
      </c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</row>
    <row r="780">
      <c r="A780" s="8" t="str">
        <f>IFERROR(__xludf.DUMMYFUNCTION("""COMPUTED_VALUE"""),"101671820051200750")</f>
        <v>101671820051200750</v>
      </c>
      <c r="B780" s="9" t="str">
        <f>IFERROR(__xludf.DUMMYFUNCTION("""COMPUTED_VALUE"""),"France")</f>
        <v>France</v>
      </c>
      <c r="C780" s="9" t="str">
        <f>IFERROR(__xludf.DUMMYFUNCTION("""COMPUTED_VALUE"""),"bordeaux")</f>
        <v>bordeaux</v>
      </c>
      <c r="D780" s="9" t="str">
        <f>IFERROR(__xludf.DUMMYFUNCTION("""COMPUTED_VALUE"""),"Clos Haut-Peyraguey Premier Cru Classe, Sauternes")</f>
        <v>Clos Haut-Peyraguey Premier Cru Classe, Sauternes</v>
      </c>
      <c r="E780" s="9">
        <f>IFERROR(__xludf.DUMMYFUNCTION("""COMPUTED_VALUE"""),2005.0)</f>
        <v>2005</v>
      </c>
      <c r="F780" s="9">
        <f>IFERROR(__xludf.DUMMYFUNCTION("""COMPUTED_VALUE"""),750.0)</f>
        <v>750</v>
      </c>
      <c r="G780" s="9">
        <f>IFERROR(__xludf.DUMMYFUNCTION("""COMPUTED_VALUE"""),12.0)</f>
        <v>12</v>
      </c>
      <c r="H780" s="10">
        <f>IFERROR(__xludf.DUMMYFUNCTION("""COMPUTED_VALUE"""),1.0)</f>
        <v>1</v>
      </c>
      <c r="I780" s="11">
        <f>IFERROR(__xludf.DUMMYFUNCTION("""COMPUTED_VALUE"""),323.0)</f>
        <v>323</v>
      </c>
      <c r="J780" s="9" t="str">
        <f>IFERROR(__xludf.DUMMYFUNCTION("""COMPUTED_VALUE"""),"UK")</f>
        <v>UK</v>
      </c>
      <c r="K780" s="8"/>
      <c r="L780" s="12"/>
      <c r="M780" s="13"/>
      <c r="N780" s="13" t="str">
        <f>IFERROR(__xludf.DUMMYFUNCTION("IF(ISBLANK(M780),"""",M780*GOOGLEFINANCE(""USDGBP""))"),"")</f>
        <v/>
      </c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</row>
    <row r="781">
      <c r="A781" s="8" t="str">
        <f>IFERROR(__xludf.DUMMYFUNCTION("""COMPUTED_VALUE"""),"101676320180600750")</f>
        <v>101676320180600750</v>
      </c>
      <c r="B781" s="9" t="str">
        <f>IFERROR(__xludf.DUMMYFUNCTION("""COMPUTED_VALUE"""),"France")</f>
        <v>France</v>
      </c>
      <c r="C781" s="9" t="str">
        <f>IFERROR(__xludf.DUMMYFUNCTION("""COMPUTED_VALUE"""),"bordeaux")</f>
        <v>bordeaux</v>
      </c>
      <c r="D781" s="9" t="str">
        <f>IFERROR(__xludf.DUMMYFUNCTION("""COMPUTED_VALUE"""),"Cos d'Estournel, Bordeaux Blanc")</f>
        <v>Cos d'Estournel, Bordeaux Blanc</v>
      </c>
      <c r="E781" s="9">
        <f>IFERROR(__xludf.DUMMYFUNCTION("""COMPUTED_VALUE"""),2018.0)</f>
        <v>2018</v>
      </c>
      <c r="F781" s="9">
        <f>IFERROR(__xludf.DUMMYFUNCTION("""COMPUTED_VALUE"""),750.0)</f>
        <v>750</v>
      </c>
      <c r="G781" s="9">
        <f>IFERROR(__xludf.DUMMYFUNCTION("""COMPUTED_VALUE"""),6.0)</f>
        <v>6</v>
      </c>
      <c r="H781" s="10">
        <f>IFERROR(__xludf.DUMMYFUNCTION("""COMPUTED_VALUE"""),6.0)</f>
        <v>6</v>
      </c>
      <c r="I781" s="11">
        <f>IFERROR(__xludf.DUMMYFUNCTION("""COMPUTED_VALUE"""),562.0)</f>
        <v>562</v>
      </c>
      <c r="J781" s="9" t="str">
        <f>IFERROR(__xludf.DUMMYFUNCTION("""COMPUTED_VALUE"""),"UK")</f>
        <v>UK</v>
      </c>
      <c r="K781" s="8"/>
      <c r="L781" s="12"/>
      <c r="M781" s="13"/>
      <c r="N781" s="13" t="str">
        <f>IFERROR(__xludf.DUMMYFUNCTION("IF(ISBLANK(M781),"""",M781*GOOGLEFINANCE(""USDGBP""))"),"")</f>
        <v/>
      </c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</row>
    <row r="782">
      <c r="A782" s="8" t="str">
        <f>IFERROR(__xludf.DUMMYFUNCTION("""COMPUTED_VALUE"""),"117354720190600750")</f>
        <v>117354720190600750</v>
      </c>
      <c r="B782" s="9" t="str">
        <f>IFERROR(__xludf.DUMMYFUNCTION("""COMPUTED_VALUE"""),"France")</f>
        <v>France</v>
      </c>
      <c r="C782" s="9" t="str">
        <f>IFERROR(__xludf.DUMMYFUNCTION("""COMPUTED_VALUE"""),"bordeaux")</f>
        <v>bordeaux</v>
      </c>
      <c r="D782" s="9" t="str">
        <f>IFERROR(__xludf.DUMMYFUNCTION("""COMPUTED_VALUE"""),"Domaine de Chevalier, Blanc Cru Classe, Pessac-Leognan")</f>
        <v>Domaine de Chevalier, Blanc Cru Classe, Pessac-Leognan</v>
      </c>
      <c r="E782" s="9">
        <f>IFERROR(__xludf.DUMMYFUNCTION("""COMPUTED_VALUE"""),2019.0)</f>
        <v>2019</v>
      </c>
      <c r="F782" s="9">
        <f>IFERROR(__xludf.DUMMYFUNCTION("""COMPUTED_VALUE"""),750.0)</f>
        <v>750</v>
      </c>
      <c r="G782" s="9">
        <f>IFERROR(__xludf.DUMMYFUNCTION("""COMPUTED_VALUE"""),6.0)</f>
        <v>6</v>
      </c>
      <c r="H782" s="10">
        <f>IFERROR(__xludf.DUMMYFUNCTION("""COMPUTED_VALUE"""),1.0)</f>
        <v>1</v>
      </c>
      <c r="I782" s="11">
        <f>IFERROR(__xludf.DUMMYFUNCTION("""COMPUTED_VALUE"""),414.0)</f>
        <v>414</v>
      </c>
      <c r="J782" s="9" t="str">
        <f>IFERROR(__xludf.DUMMYFUNCTION("""COMPUTED_VALUE"""),"UK")</f>
        <v>UK</v>
      </c>
      <c r="K782" s="8"/>
      <c r="L782" s="12"/>
      <c r="M782" s="13"/>
      <c r="N782" s="13" t="str">
        <f>IFERROR(__xludf.DUMMYFUNCTION("IF(ISBLANK(M782),"""",M782*GOOGLEFINANCE(""USDGBP""))"),"")</f>
        <v/>
      </c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</row>
    <row r="783">
      <c r="A783" s="8" t="str">
        <f>IFERROR(__xludf.DUMMYFUNCTION("""COMPUTED_VALUE"""),"101668820160600750")</f>
        <v>101668820160600750</v>
      </c>
      <c r="B783" s="9" t="str">
        <f>IFERROR(__xludf.DUMMYFUNCTION("""COMPUTED_VALUE"""),"France")</f>
        <v>France</v>
      </c>
      <c r="C783" s="9" t="str">
        <f>IFERROR(__xludf.DUMMYFUNCTION("""COMPUTED_VALUE"""),"bordeaux")</f>
        <v>bordeaux</v>
      </c>
      <c r="D783" s="9" t="str">
        <f>IFERROR(__xludf.DUMMYFUNCTION("""COMPUTED_VALUE"""),"La Clarte de Haut-Brion, Pessac-Leognan")</f>
        <v>La Clarte de Haut-Brion, Pessac-Leognan</v>
      </c>
      <c r="E783" s="9">
        <f>IFERROR(__xludf.DUMMYFUNCTION("""COMPUTED_VALUE"""),2016.0)</f>
        <v>2016</v>
      </c>
      <c r="F783" s="9">
        <f>IFERROR(__xludf.DUMMYFUNCTION("""COMPUTED_VALUE"""),750.0)</f>
        <v>750</v>
      </c>
      <c r="G783" s="9">
        <f>IFERROR(__xludf.DUMMYFUNCTION("""COMPUTED_VALUE"""),6.0)</f>
        <v>6</v>
      </c>
      <c r="H783" s="10">
        <f>IFERROR(__xludf.DUMMYFUNCTION("""COMPUTED_VALUE"""),1.0)</f>
        <v>1</v>
      </c>
      <c r="I783" s="11">
        <f>IFERROR(__xludf.DUMMYFUNCTION("""COMPUTED_VALUE"""),403.0)</f>
        <v>403</v>
      </c>
      <c r="J783" s="9" t="str">
        <f>IFERROR(__xludf.DUMMYFUNCTION("""COMPUTED_VALUE"""),"UK")</f>
        <v>UK</v>
      </c>
      <c r="K783" s="8"/>
      <c r="L783" s="12"/>
      <c r="M783" s="13"/>
      <c r="N783" s="13" t="str">
        <f>IFERROR(__xludf.DUMMYFUNCTION("IF(ISBLANK(M783),"""",M783*GOOGLEFINANCE(""USDGBP""))"),"")</f>
        <v/>
      </c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</row>
    <row r="784">
      <c r="A784" s="8" t="str">
        <f>IFERROR(__xludf.DUMMYFUNCTION("""COMPUTED_VALUE"""),"101737920200600750")</f>
        <v>101737920200600750</v>
      </c>
      <c r="B784" s="9" t="str">
        <f>IFERROR(__xludf.DUMMYFUNCTION("""COMPUTED_VALUE"""),"France")</f>
        <v>France</v>
      </c>
      <c r="C784" s="9" t="str">
        <f>IFERROR(__xludf.DUMMYFUNCTION("""COMPUTED_VALUE"""),"bordeaux")</f>
        <v>bordeaux</v>
      </c>
      <c r="D784" s="9" t="str">
        <f>IFERROR(__xludf.DUMMYFUNCTION("""COMPUTED_VALUE"""),"Pavillon Blanc du Chateau Margaux")</f>
        <v>Pavillon Blanc du Chateau Margaux</v>
      </c>
      <c r="E784" s="9">
        <f>IFERROR(__xludf.DUMMYFUNCTION("""COMPUTED_VALUE"""),2020.0)</f>
        <v>2020</v>
      </c>
      <c r="F784" s="9">
        <f>IFERROR(__xludf.DUMMYFUNCTION("""COMPUTED_VALUE"""),750.0)</f>
        <v>750</v>
      </c>
      <c r="G784" s="9">
        <f>IFERROR(__xludf.DUMMYFUNCTION("""COMPUTED_VALUE"""),6.0)</f>
        <v>6</v>
      </c>
      <c r="H784" s="10">
        <f>IFERROR(__xludf.DUMMYFUNCTION("""COMPUTED_VALUE"""),2.0)</f>
        <v>2</v>
      </c>
      <c r="I784" s="11">
        <f>IFERROR(__xludf.DUMMYFUNCTION("""COMPUTED_VALUE"""),1388.0)</f>
        <v>1388</v>
      </c>
      <c r="J784" s="9" t="str">
        <f>IFERROR(__xludf.DUMMYFUNCTION("""COMPUTED_VALUE"""),"UK")</f>
        <v>UK</v>
      </c>
      <c r="K784" s="8"/>
      <c r="L784" s="12"/>
      <c r="M784" s="13"/>
      <c r="N784" s="13" t="str">
        <f>IFERROR(__xludf.DUMMYFUNCTION("IF(ISBLANK(M784),"""",M784*GOOGLEFINANCE(""USDGBP""))"),"")</f>
        <v/>
      </c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</row>
    <row r="785">
      <c r="A785" s="8" t="str">
        <f>IFERROR(__xludf.DUMMYFUNCTION("""COMPUTED_VALUE"""),"148548620180700750")</f>
        <v>148548620180700750</v>
      </c>
      <c r="B785" s="9" t="str">
        <f>IFERROR(__xludf.DUMMYFUNCTION("""COMPUTED_VALUE"""),"France")</f>
        <v>France</v>
      </c>
      <c r="C785" s="9" t="str">
        <f>IFERROR(__xludf.DUMMYFUNCTION("""COMPUTED_VALUE"""),"burgundy")</f>
        <v>burgundy</v>
      </c>
      <c r="D785" s="9" t="str">
        <f>IFERROR(__xludf.DUMMYFUNCTION("""COMPUTED_VALUE"""),"Olivier Bernstein, Grand Cru, Assortment Case")</f>
        <v>Olivier Bernstein, Grand Cru, Assortment Case</v>
      </c>
      <c r="E785" s="9">
        <f>IFERROR(__xludf.DUMMYFUNCTION("""COMPUTED_VALUE"""),2018.0)</f>
        <v>2018</v>
      </c>
      <c r="F785" s="9">
        <f>IFERROR(__xludf.DUMMYFUNCTION("""COMPUTED_VALUE"""),750.0)</f>
        <v>750</v>
      </c>
      <c r="G785" s="9">
        <f>IFERROR(__xludf.DUMMYFUNCTION("""COMPUTED_VALUE"""),7.0)</f>
        <v>7</v>
      </c>
      <c r="H785" s="10">
        <f>IFERROR(__xludf.DUMMYFUNCTION("""COMPUTED_VALUE"""),1.0)</f>
        <v>1</v>
      </c>
      <c r="I785" s="11">
        <f>IFERROR(__xludf.DUMMYFUNCTION("""COMPUTED_VALUE"""),7391.0)</f>
        <v>7391</v>
      </c>
      <c r="J785" s="9" t="str">
        <f>IFERROR(__xludf.DUMMYFUNCTION("""COMPUTED_VALUE"""),"UK")</f>
        <v>UK</v>
      </c>
      <c r="K785" s="8"/>
      <c r="L785" s="12"/>
      <c r="M785" s="13"/>
      <c r="N785" s="13" t="str">
        <f>IFERROR(__xludf.DUMMYFUNCTION("IF(ISBLANK(M785),"""",M785*GOOGLEFINANCE(""USDGBP""))"),"")</f>
        <v/>
      </c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</row>
    <row r="786">
      <c r="A786" s="8" t="str">
        <f>IFERROR(__xludf.DUMMYFUNCTION("""COMPUTED_VALUE"""),"103733720190300750")</f>
        <v>103733720190300750</v>
      </c>
      <c r="B786" s="9" t="str">
        <f>IFERROR(__xludf.DUMMYFUNCTION("""COMPUTED_VALUE"""),"France")</f>
        <v>France</v>
      </c>
      <c r="C786" s="9" t="str">
        <f>IFERROR(__xludf.DUMMYFUNCTION("""COMPUTED_VALUE"""),"burgundy")</f>
        <v>burgundy</v>
      </c>
      <c r="D786" s="9" t="str">
        <f>IFERROR(__xludf.DUMMYFUNCTION("""COMPUTED_VALUE"""),"Alain Hudelot-Noellat, Clos de Vougeot Grand Cru")</f>
        <v>Alain Hudelot-Noellat, Clos de Vougeot Grand Cru</v>
      </c>
      <c r="E786" s="9">
        <f>IFERROR(__xludf.DUMMYFUNCTION("""COMPUTED_VALUE"""),2019.0)</f>
        <v>2019</v>
      </c>
      <c r="F786" s="9">
        <f>IFERROR(__xludf.DUMMYFUNCTION("""COMPUTED_VALUE"""),750.0)</f>
        <v>750</v>
      </c>
      <c r="G786" s="9">
        <f>IFERROR(__xludf.DUMMYFUNCTION("""COMPUTED_VALUE"""),3.0)</f>
        <v>3</v>
      </c>
      <c r="H786" s="10">
        <f>IFERROR(__xludf.DUMMYFUNCTION("""COMPUTED_VALUE"""),1.0)</f>
        <v>1</v>
      </c>
      <c r="I786" s="11">
        <f>IFERROR(__xludf.DUMMYFUNCTION("""COMPUTED_VALUE"""),846.0)</f>
        <v>846</v>
      </c>
      <c r="J786" s="9" t="str">
        <f>IFERROR(__xludf.DUMMYFUNCTION("""COMPUTED_VALUE"""),"UK")</f>
        <v>UK</v>
      </c>
      <c r="K786" s="8"/>
      <c r="L786" s="12"/>
      <c r="M786" s="13"/>
      <c r="N786" s="13" t="str">
        <f>IFERROR(__xludf.DUMMYFUNCTION("IF(ISBLANK(M786),"""",M786*GOOGLEFINANCE(""USDGBP""))"),"")</f>
        <v/>
      </c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</row>
    <row r="787">
      <c r="A787" s="8" t="str">
        <f>IFERROR(__xludf.DUMMYFUNCTION("""COMPUTED_VALUE"""),"103737920140600750")</f>
        <v>103737920140600750</v>
      </c>
      <c r="B787" s="9" t="str">
        <f>IFERROR(__xludf.DUMMYFUNCTION("""COMPUTED_VALUE"""),"France")</f>
        <v>France</v>
      </c>
      <c r="C787" s="9" t="str">
        <f>IFERROR(__xludf.DUMMYFUNCTION("""COMPUTED_VALUE"""),"burgundy")</f>
        <v>burgundy</v>
      </c>
      <c r="D787" s="9" t="str">
        <f>IFERROR(__xludf.DUMMYFUNCTION("""COMPUTED_VALUE"""),"Alain Hudelot-Noellat, Nuits-Saint-Georges Premier Cru, Aux Murgers")</f>
        <v>Alain Hudelot-Noellat, Nuits-Saint-Georges Premier Cru, Aux Murgers</v>
      </c>
      <c r="E787" s="9">
        <f>IFERROR(__xludf.DUMMYFUNCTION("""COMPUTED_VALUE"""),2014.0)</f>
        <v>2014</v>
      </c>
      <c r="F787" s="9">
        <f>IFERROR(__xludf.DUMMYFUNCTION("""COMPUTED_VALUE"""),750.0)</f>
        <v>750</v>
      </c>
      <c r="G787" s="9">
        <f>IFERROR(__xludf.DUMMYFUNCTION("""COMPUTED_VALUE"""),6.0)</f>
        <v>6</v>
      </c>
      <c r="H787" s="10">
        <f>IFERROR(__xludf.DUMMYFUNCTION("""COMPUTED_VALUE"""),2.0)</f>
        <v>2</v>
      </c>
      <c r="I787" s="11">
        <f>IFERROR(__xludf.DUMMYFUNCTION("""COMPUTED_VALUE"""),718.0)</f>
        <v>718</v>
      </c>
      <c r="J787" s="9" t="str">
        <f>IFERROR(__xludf.DUMMYFUNCTION("""COMPUTED_VALUE"""),"UK")</f>
        <v>UK</v>
      </c>
      <c r="K787" s="8"/>
      <c r="L787" s="12"/>
      <c r="M787" s="13"/>
      <c r="N787" s="13" t="str">
        <f>IFERROR(__xludf.DUMMYFUNCTION("IF(ISBLANK(M787),"""",M787*GOOGLEFINANCE(""USDGBP""))"),"")</f>
        <v/>
      </c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</row>
    <row r="788">
      <c r="A788" s="8" t="str">
        <f>IFERROR(__xludf.DUMMYFUNCTION("""COMPUTED_VALUE"""),"103740920190600750")</f>
        <v>103740920190600750</v>
      </c>
      <c r="B788" s="9" t="str">
        <f>IFERROR(__xludf.DUMMYFUNCTION("""COMPUTED_VALUE"""),"France")</f>
        <v>France</v>
      </c>
      <c r="C788" s="9" t="str">
        <f>IFERROR(__xludf.DUMMYFUNCTION("""COMPUTED_VALUE"""),"burgundy")</f>
        <v>burgundy</v>
      </c>
      <c r="D788" s="9" t="str">
        <f>IFERROR(__xludf.DUMMYFUNCTION("""COMPUTED_VALUE"""),"Alain Hudelot-Noellat, Vosne-Romanee")</f>
        <v>Alain Hudelot-Noellat, Vosne-Romanee</v>
      </c>
      <c r="E788" s="9">
        <f>IFERROR(__xludf.DUMMYFUNCTION("""COMPUTED_VALUE"""),2019.0)</f>
        <v>2019</v>
      </c>
      <c r="F788" s="9">
        <f>IFERROR(__xludf.DUMMYFUNCTION("""COMPUTED_VALUE"""),750.0)</f>
        <v>750</v>
      </c>
      <c r="G788" s="9">
        <f>IFERROR(__xludf.DUMMYFUNCTION("""COMPUTED_VALUE"""),6.0)</f>
        <v>6</v>
      </c>
      <c r="H788" s="10">
        <f>IFERROR(__xludf.DUMMYFUNCTION("""COMPUTED_VALUE"""),1.0)</f>
        <v>1</v>
      </c>
      <c r="I788" s="11">
        <f>IFERROR(__xludf.DUMMYFUNCTION("""COMPUTED_VALUE"""),509.0)</f>
        <v>509</v>
      </c>
      <c r="J788" s="9" t="str">
        <f>IFERROR(__xludf.DUMMYFUNCTION("""COMPUTED_VALUE"""),"UK")</f>
        <v>UK</v>
      </c>
      <c r="K788" s="8"/>
      <c r="L788" s="12"/>
      <c r="M788" s="13"/>
      <c r="N788" s="13" t="str">
        <f>IFERROR(__xludf.DUMMYFUNCTION("IF(ISBLANK(M788),"""",M788*GOOGLEFINANCE(""USDGBP""))"),"")</f>
        <v/>
      </c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</row>
    <row r="789">
      <c r="A789" s="8" t="str">
        <f>IFERROR(__xludf.DUMMYFUNCTION("""COMPUTED_VALUE"""),"215743220200600750")</f>
        <v>215743220200600750</v>
      </c>
      <c r="B789" s="9" t="str">
        <f>IFERROR(__xludf.DUMMYFUNCTION("""COMPUTED_VALUE"""),"France")</f>
        <v>France</v>
      </c>
      <c r="C789" s="9" t="str">
        <f>IFERROR(__xludf.DUMMYFUNCTION("""COMPUTED_VALUE"""),"burgundy")</f>
        <v>burgundy</v>
      </c>
      <c r="D789" s="9" t="str">
        <f>IFERROR(__xludf.DUMMYFUNCTION("""COMPUTED_VALUE"""),"Albert Bichot, Griotte-Chambertin Grand Cru")</f>
        <v>Albert Bichot, Griotte-Chambertin Grand Cru</v>
      </c>
      <c r="E789" s="9">
        <f>IFERROR(__xludf.DUMMYFUNCTION("""COMPUTED_VALUE"""),2020.0)</f>
        <v>2020</v>
      </c>
      <c r="F789" s="9">
        <f>IFERROR(__xludf.DUMMYFUNCTION("""COMPUTED_VALUE"""),750.0)</f>
        <v>750</v>
      </c>
      <c r="G789" s="9">
        <f>IFERROR(__xludf.DUMMYFUNCTION("""COMPUTED_VALUE"""),6.0)</f>
        <v>6</v>
      </c>
      <c r="H789" s="10">
        <f>IFERROR(__xludf.DUMMYFUNCTION("""COMPUTED_VALUE"""),3.0)</f>
        <v>3</v>
      </c>
      <c r="I789" s="11">
        <f>IFERROR(__xludf.DUMMYFUNCTION("""COMPUTED_VALUE"""),1345.0)</f>
        <v>1345</v>
      </c>
      <c r="J789" s="9" t="str">
        <f>IFERROR(__xludf.DUMMYFUNCTION("""COMPUTED_VALUE"""),"UK")</f>
        <v>UK</v>
      </c>
      <c r="K789" s="8"/>
      <c r="L789" s="12"/>
      <c r="M789" s="13"/>
      <c r="N789" s="13" t="str">
        <f>IFERROR(__xludf.DUMMYFUNCTION("IF(ISBLANK(M789),"""",M789*GOOGLEFINANCE(""USDGBP""))"),"")</f>
        <v/>
      </c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</row>
    <row r="790">
      <c r="A790" s="8" t="str">
        <f>IFERROR(__xludf.DUMMYFUNCTION("""COMPUTED_VALUE"""),"104345120160101500")</f>
        <v>104345120160101500</v>
      </c>
      <c r="B790" s="9" t="str">
        <f>IFERROR(__xludf.DUMMYFUNCTION("""COMPUTED_VALUE"""),"France")</f>
        <v>France</v>
      </c>
      <c r="C790" s="9" t="str">
        <f>IFERROR(__xludf.DUMMYFUNCTION("""COMPUTED_VALUE"""),"burgundy")</f>
        <v>burgundy</v>
      </c>
      <c r="D790" s="9" t="str">
        <f>IFERROR(__xludf.DUMMYFUNCTION("""COMPUTED_VALUE"""),"Benjamin Leroux, Bonnes Mares Grand Cru")</f>
        <v>Benjamin Leroux, Bonnes Mares Grand Cru</v>
      </c>
      <c r="E790" s="9">
        <f>IFERROR(__xludf.DUMMYFUNCTION("""COMPUTED_VALUE"""),2016.0)</f>
        <v>2016</v>
      </c>
      <c r="F790" s="9">
        <f>IFERROR(__xludf.DUMMYFUNCTION("""COMPUTED_VALUE"""),1500.0)</f>
        <v>1500</v>
      </c>
      <c r="G790" s="9">
        <f>IFERROR(__xludf.DUMMYFUNCTION("""COMPUTED_VALUE"""),1.0)</f>
        <v>1</v>
      </c>
      <c r="H790" s="10">
        <f>IFERROR(__xludf.DUMMYFUNCTION("""COMPUTED_VALUE"""),1.0)</f>
        <v>1</v>
      </c>
      <c r="I790" s="11">
        <f>IFERROR(__xludf.DUMMYFUNCTION("""COMPUTED_VALUE"""),452.0)</f>
        <v>452</v>
      </c>
      <c r="J790" s="9" t="str">
        <f>IFERROR(__xludf.DUMMYFUNCTION("""COMPUTED_VALUE"""),"UK")</f>
        <v>UK</v>
      </c>
      <c r="K790" s="8"/>
      <c r="L790" s="12"/>
      <c r="M790" s="13"/>
      <c r="N790" s="13" t="str">
        <f>IFERROR(__xludf.DUMMYFUNCTION("IF(ISBLANK(M790),"""",M790*GOOGLEFINANCE(""USDGBP""))"),"")</f>
        <v/>
      </c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</row>
    <row r="791">
      <c r="A791" s="8" t="str">
        <f>IFERROR(__xludf.DUMMYFUNCTION("""COMPUTED_VALUE"""),"115246520150600750")</f>
        <v>115246520150600750</v>
      </c>
      <c r="B791" s="9" t="str">
        <f>IFERROR(__xludf.DUMMYFUNCTION("""COMPUTED_VALUE"""),"France")</f>
        <v>France</v>
      </c>
      <c r="C791" s="9" t="str">
        <f>IFERROR(__xludf.DUMMYFUNCTION("""COMPUTED_VALUE"""),"burgundy")</f>
        <v>burgundy</v>
      </c>
      <c r="D791" s="9" t="str">
        <f>IFERROR(__xludf.DUMMYFUNCTION("""COMPUTED_VALUE"""),"Benjamin Leroux, Gevrey-Chambertin Premier Cru, Champeaux")</f>
        <v>Benjamin Leroux, Gevrey-Chambertin Premier Cru, Champeaux</v>
      </c>
      <c r="E791" s="9">
        <f>IFERROR(__xludf.DUMMYFUNCTION("""COMPUTED_VALUE"""),2015.0)</f>
        <v>2015</v>
      </c>
      <c r="F791" s="9">
        <f>IFERROR(__xludf.DUMMYFUNCTION("""COMPUTED_VALUE"""),750.0)</f>
        <v>750</v>
      </c>
      <c r="G791" s="9">
        <f>IFERROR(__xludf.DUMMYFUNCTION("""COMPUTED_VALUE"""),6.0)</f>
        <v>6</v>
      </c>
      <c r="H791" s="10">
        <f>IFERROR(__xludf.DUMMYFUNCTION("""COMPUTED_VALUE"""),1.0)</f>
        <v>1</v>
      </c>
      <c r="I791" s="11">
        <f>IFERROR(__xludf.DUMMYFUNCTION("""COMPUTED_VALUE"""),887.0)</f>
        <v>887</v>
      </c>
      <c r="J791" s="9" t="str">
        <f>IFERROR(__xludf.DUMMYFUNCTION("""COMPUTED_VALUE"""),"UK")</f>
        <v>UK</v>
      </c>
      <c r="K791" s="8"/>
      <c r="L791" s="12"/>
      <c r="M791" s="13"/>
      <c r="N791" s="13" t="str">
        <f>IFERROR(__xludf.DUMMYFUNCTION("IF(ISBLANK(M791),"""",M791*GOOGLEFINANCE(""USDGBP""))"),"")</f>
        <v/>
      </c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</row>
    <row r="792">
      <c r="A792" s="8" t="str">
        <f>IFERROR(__xludf.DUMMYFUNCTION("""COMPUTED_VALUE"""),"115246520180600750")</f>
        <v>115246520180600750</v>
      </c>
      <c r="B792" s="9" t="str">
        <f>IFERROR(__xludf.DUMMYFUNCTION("""COMPUTED_VALUE"""),"France")</f>
        <v>France</v>
      </c>
      <c r="C792" s="9" t="str">
        <f>IFERROR(__xludf.DUMMYFUNCTION("""COMPUTED_VALUE"""),"burgundy")</f>
        <v>burgundy</v>
      </c>
      <c r="D792" s="9" t="str">
        <f>IFERROR(__xludf.DUMMYFUNCTION("""COMPUTED_VALUE"""),"Benjamin Leroux, Gevrey-Chambertin Premier Cru, Champeaux")</f>
        <v>Benjamin Leroux, Gevrey-Chambertin Premier Cru, Champeaux</v>
      </c>
      <c r="E792" s="9">
        <f>IFERROR(__xludf.DUMMYFUNCTION("""COMPUTED_VALUE"""),2018.0)</f>
        <v>2018</v>
      </c>
      <c r="F792" s="9">
        <f>IFERROR(__xludf.DUMMYFUNCTION("""COMPUTED_VALUE"""),750.0)</f>
        <v>750</v>
      </c>
      <c r="G792" s="9">
        <f>IFERROR(__xludf.DUMMYFUNCTION("""COMPUTED_VALUE"""),6.0)</f>
        <v>6</v>
      </c>
      <c r="H792" s="10">
        <f>IFERROR(__xludf.DUMMYFUNCTION("""COMPUTED_VALUE"""),2.0)</f>
        <v>2</v>
      </c>
      <c r="I792" s="11">
        <f>IFERROR(__xludf.DUMMYFUNCTION("""COMPUTED_VALUE"""),683.0)</f>
        <v>683</v>
      </c>
      <c r="J792" s="9" t="str">
        <f>IFERROR(__xludf.DUMMYFUNCTION("""COMPUTED_VALUE"""),"UK")</f>
        <v>UK</v>
      </c>
      <c r="K792" s="8"/>
      <c r="L792" s="12"/>
      <c r="M792" s="13"/>
      <c r="N792" s="13" t="str">
        <f>IFERROR(__xludf.DUMMYFUNCTION("IF(ISBLANK(M792),"""",M792*GOOGLEFINANCE(""USDGBP""))"),"")</f>
        <v/>
      </c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</row>
    <row r="793">
      <c r="A793" s="8" t="str">
        <f>IFERROR(__xludf.DUMMYFUNCTION("""COMPUTED_VALUE"""),"142500820170600750")</f>
        <v>142500820170600750</v>
      </c>
      <c r="B793" s="9" t="str">
        <f>IFERROR(__xludf.DUMMYFUNCTION("""COMPUTED_VALUE"""),"France")</f>
        <v>France</v>
      </c>
      <c r="C793" s="9" t="str">
        <f>IFERROR(__xludf.DUMMYFUNCTION("""COMPUTED_VALUE"""),"burgundy")</f>
        <v>burgundy</v>
      </c>
      <c r="D793" s="9" t="str">
        <f>IFERROR(__xludf.DUMMYFUNCTION("""COMPUTED_VALUE"""),"Benjamin Leroux, Nuits-Saint-Georges Premier Cru, Aux Boudots")</f>
        <v>Benjamin Leroux, Nuits-Saint-Georges Premier Cru, Aux Boudots</v>
      </c>
      <c r="E793" s="9">
        <f>IFERROR(__xludf.DUMMYFUNCTION("""COMPUTED_VALUE"""),2017.0)</f>
        <v>2017</v>
      </c>
      <c r="F793" s="9">
        <f>IFERROR(__xludf.DUMMYFUNCTION("""COMPUTED_VALUE"""),750.0)</f>
        <v>750</v>
      </c>
      <c r="G793" s="9">
        <f>IFERROR(__xludf.DUMMYFUNCTION("""COMPUTED_VALUE"""),6.0)</f>
        <v>6</v>
      </c>
      <c r="H793" s="10">
        <f>IFERROR(__xludf.DUMMYFUNCTION("""COMPUTED_VALUE"""),2.0)</f>
        <v>2</v>
      </c>
      <c r="I793" s="11">
        <f>IFERROR(__xludf.DUMMYFUNCTION("""COMPUTED_VALUE"""),606.0)</f>
        <v>606</v>
      </c>
      <c r="J793" s="9" t="str">
        <f>IFERROR(__xludf.DUMMYFUNCTION("""COMPUTED_VALUE"""),"UK")</f>
        <v>UK</v>
      </c>
      <c r="K793" s="8"/>
      <c r="L793" s="12"/>
      <c r="M793" s="13"/>
      <c r="N793" s="13" t="str">
        <f>IFERROR(__xludf.DUMMYFUNCTION("IF(ISBLANK(M793),"""",M793*GOOGLEFINANCE(""USDGBP""))"),"")</f>
        <v/>
      </c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</row>
    <row r="794">
      <c r="A794" s="8" t="str">
        <f>IFERROR(__xludf.DUMMYFUNCTION("""COMPUTED_VALUE"""),"142500820180600750")</f>
        <v>142500820180600750</v>
      </c>
      <c r="B794" s="9" t="str">
        <f>IFERROR(__xludf.DUMMYFUNCTION("""COMPUTED_VALUE"""),"France")</f>
        <v>France</v>
      </c>
      <c r="C794" s="9" t="str">
        <f>IFERROR(__xludf.DUMMYFUNCTION("""COMPUTED_VALUE"""),"burgundy")</f>
        <v>burgundy</v>
      </c>
      <c r="D794" s="9" t="str">
        <f>IFERROR(__xludf.DUMMYFUNCTION("""COMPUTED_VALUE"""),"Benjamin Leroux, Nuits-Saint-Georges Premier Cru, Aux Boudots")</f>
        <v>Benjamin Leroux, Nuits-Saint-Georges Premier Cru, Aux Boudots</v>
      </c>
      <c r="E794" s="9">
        <f>IFERROR(__xludf.DUMMYFUNCTION("""COMPUTED_VALUE"""),2018.0)</f>
        <v>2018</v>
      </c>
      <c r="F794" s="9">
        <f>IFERROR(__xludf.DUMMYFUNCTION("""COMPUTED_VALUE"""),750.0)</f>
        <v>750</v>
      </c>
      <c r="G794" s="9">
        <f>IFERROR(__xludf.DUMMYFUNCTION("""COMPUTED_VALUE"""),6.0)</f>
        <v>6</v>
      </c>
      <c r="H794" s="10">
        <f>IFERROR(__xludf.DUMMYFUNCTION("""COMPUTED_VALUE"""),3.0)</f>
        <v>3</v>
      </c>
      <c r="I794" s="11">
        <f>IFERROR(__xludf.DUMMYFUNCTION("""COMPUTED_VALUE"""),582.0)</f>
        <v>582</v>
      </c>
      <c r="J794" s="9" t="str">
        <f>IFERROR(__xludf.DUMMYFUNCTION("""COMPUTED_VALUE"""),"UK")</f>
        <v>UK</v>
      </c>
      <c r="K794" s="8"/>
      <c r="L794" s="12"/>
      <c r="M794" s="13"/>
      <c r="N794" s="13" t="str">
        <f>IFERROR(__xludf.DUMMYFUNCTION("IF(ISBLANK(M794),"""",M794*GOOGLEFINANCE(""USDGBP""))"),"")</f>
        <v/>
      </c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</row>
    <row r="795">
      <c r="A795" s="8" t="str">
        <f>IFERROR(__xludf.DUMMYFUNCTION("""COMPUTED_VALUE"""),"104355220100600750")</f>
        <v>104355220100600750</v>
      </c>
      <c r="B795" s="9" t="str">
        <f>IFERROR(__xludf.DUMMYFUNCTION("""COMPUTED_VALUE"""),"France")</f>
        <v>France</v>
      </c>
      <c r="C795" s="9" t="str">
        <f>IFERROR(__xludf.DUMMYFUNCTION("""COMPUTED_VALUE"""),"burgundy")</f>
        <v>burgundy</v>
      </c>
      <c r="D795" s="9" t="str">
        <f>IFERROR(__xludf.DUMMYFUNCTION("""COMPUTED_VALUE"""),"Benjamin Leroux, Nuits-Saint-Georges Premier Cru, Aux Thorey")</f>
        <v>Benjamin Leroux, Nuits-Saint-Georges Premier Cru, Aux Thorey</v>
      </c>
      <c r="E795" s="9">
        <f>IFERROR(__xludf.DUMMYFUNCTION("""COMPUTED_VALUE"""),2010.0)</f>
        <v>2010</v>
      </c>
      <c r="F795" s="9">
        <f>IFERROR(__xludf.DUMMYFUNCTION("""COMPUTED_VALUE"""),750.0)</f>
        <v>750</v>
      </c>
      <c r="G795" s="9">
        <f>IFERROR(__xludf.DUMMYFUNCTION("""COMPUTED_VALUE"""),6.0)</f>
        <v>6</v>
      </c>
      <c r="H795" s="10">
        <f>IFERROR(__xludf.DUMMYFUNCTION("""COMPUTED_VALUE"""),1.0)</f>
        <v>1</v>
      </c>
      <c r="I795" s="11">
        <f>IFERROR(__xludf.DUMMYFUNCTION("""COMPUTED_VALUE"""),633.0)</f>
        <v>633</v>
      </c>
      <c r="J795" s="9" t="str">
        <f>IFERROR(__xludf.DUMMYFUNCTION("""COMPUTED_VALUE"""),"UK")</f>
        <v>UK</v>
      </c>
      <c r="K795" s="8"/>
      <c r="L795" s="12"/>
      <c r="M795" s="13"/>
      <c r="N795" s="13" t="str">
        <f>IFERROR(__xludf.DUMMYFUNCTION("IF(ISBLANK(M795),"""",M795*GOOGLEFINANCE(""USDGBP""))"),"")</f>
        <v/>
      </c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</row>
    <row r="796">
      <c r="A796" s="8" t="str">
        <f>IFERROR(__xludf.DUMMYFUNCTION("""COMPUTED_VALUE"""),"102155820170600750")</f>
        <v>102155820170600750</v>
      </c>
      <c r="B796" s="9" t="str">
        <f>IFERROR(__xludf.DUMMYFUNCTION("""COMPUTED_VALUE"""),"France")</f>
        <v>France</v>
      </c>
      <c r="C796" s="9" t="str">
        <f>IFERROR(__xludf.DUMMYFUNCTION("""COMPUTED_VALUE"""),"burgundy")</f>
        <v>burgundy</v>
      </c>
      <c r="D796" s="9" t="str">
        <f>IFERROR(__xludf.DUMMYFUNCTION("""COMPUTED_VALUE"""),"Bouchard Pere et Fils, Beaune Premier Cru, Les Greves L'Enfant Jesus")</f>
        <v>Bouchard Pere et Fils, Beaune Premier Cru, Les Greves L'Enfant Jesus</v>
      </c>
      <c r="E796" s="9">
        <f>IFERROR(__xludf.DUMMYFUNCTION("""COMPUTED_VALUE"""),2017.0)</f>
        <v>2017</v>
      </c>
      <c r="F796" s="9">
        <f>IFERROR(__xludf.DUMMYFUNCTION("""COMPUTED_VALUE"""),750.0)</f>
        <v>750</v>
      </c>
      <c r="G796" s="9">
        <f>IFERROR(__xludf.DUMMYFUNCTION("""COMPUTED_VALUE"""),6.0)</f>
        <v>6</v>
      </c>
      <c r="H796" s="10">
        <f>IFERROR(__xludf.DUMMYFUNCTION("""COMPUTED_VALUE"""),2.0)</f>
        <v>2</v>
      </c>
      <c r="I796" s="11">
        <f>IFERROR(__xludf.DUMMYFUNCTION("""COMPUTED_VALUE"""),610.0)</f>
        <v>610</v>
      </c>
      <c r="J796" s="9" t="str">
        <f>IFERROR(__xludf.DUMMYFUNCTION("""COMPUTED_VALUE"""),"UK")</f>
        <v>UK</v>
      </c>
      <c r="K796" s="8"/>
      <c r="L796" s="12"/>
      <c r="M796" s="13"/>
      <c r="N796" s="13" t="str">
        <f>IFERROR(__xludf.DUMMYFUNCTION("IF(ISBLANK(M796),"""",M796*GOOGLEFINANCE(""USDGBP""))"),"")</f>
        <v/>
      </c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</row>
    <row r="797">
      <c r="A797" s="8" t="str">
        <f>IFERROR(__xludf.DUMMYFUNCTION("""COMPUTED_VALUE"""),"102155820180600750")</f>
        <v>102155820180600750</v>
      </c>
      <c r="B797" s="9" t="str">
        <f>IFERROR(__xludf.DUMMYFUNCTION("""COMPUTED_VALUE"""),"France")</f>
        <v>France</v>
      </c>
      <c r="C797" s="9" t="str">
        <f>IFERROR(__xludf.DUMMYFUNCTION("""COMPUTED_VALUE"""),"burgundy")</f>
        <v>burgundy</v>
      </c>
      <c r="D797" s="9" t="str">
        <f>IFERROR(__xludf.DUMMYFUNCTION("""COMPUTED_VALUE"""),"Bouchard Pere et Fils, Beaune Premier Cru, Les Greves L'Enfant Jesus")</f>
        <v>Bouchard Pere et Fils, Beaune Premier Cru, Les Greves L'Enfant Jesus</v>
      </c>
      <c r="E797" s="9">
        <f>IFERROR(__xludf.DUMMYFUNCTION("""COMPUTED_VALUE"""),2018.0)</f>
        <v>2018</v>
      </c>
      <c r="F797" s="9">
        <f>IFERROR(__xludf.DUMMYFUNCTION("""COMPUTED_VALUE"""),750.0)</f>
        <v>750</v>
      </c>
      <c r="G797" s="9">
        <f>IFERROR(__xludf.DUMMYFUNCTION("""COMPUTED_VALUE"""),6.0)</f>
        <v>6</v>
      </c>
      <c r="H797" s="10">
        <f>IFERROR(__xludf.DUMMYFUNCTION("""COMPUTED_VALUE"""),13.0)</f>
        <v>13</v>
      </c>
      <c r="I797" s="11">
        <f>IFERROR(__xludf.DUMMYFUNCTION("""COMPUTED_VALUE"""),599.0)</f>
        <v>599</v>
      </c>
      <c r="J797" s="9" t="str">
        <f>IFERROR(__xludf.DUMMYFUNCTION("""COMPUTED_VALUE"""),"UK")</f>
        <v>UK</v>
      </c>
      <c r="K797" s="8"/>
      <c r="L797" s="12"/>
      <c r="M797" s="13"/>
      <c r="N797" s="13" t="str">
        <f>IFERROR(__xludf.DUMMYFUNCTION("IF(ISBLANK(M797),"""",M797*GOOGLEFINANCE(""USDGBP""))"),"")</f>
        <v/>
      </c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</row>
    <row r="798">
      <c r="A798" s="8" t="str">
        <f>IFERROR(__xludf.DUMMYFUNCTION("""COMPUTED_VALUE"""),"102155820190600750")</f>
        <v>102155820190600750</v>
      </c>
      <c r="B798" s="9" t="str">
        <f>IFERROR(__xludf.DUMMYFUNCTION("""COMPUTED_VALUE"""),"France")</f>
        <v>France</v>
      </c>
      <c r="C798" s="9" t="str">
        <f>IFERROR(__xludf.DUMMYFUNCTION("""COMPUTED_VALUE"""),"burgundy")</f>
        <v>burgundy</v>
      </c>
      <c r="D798" s="9" t="str">
        <f>IFERROR(__xludf.DUMMYFUNCTION("""COMPUTED_VALUE"""),"Bouchard Pere et Fils, Beaune Premier Cru, Les Greves L'Enfant Jesus")</f>
        <v>Bouchard Pere et Fils, Beaune Premier Cru, Les Greves L'Enfant Jesus</v>
      </c>
      <c r="E798" s="9">
        <f>IFERROR(__xludf.DUMMYFUNCTION("""COMPUTED_VALUE"""),2019.0)</f>
        <v>2019</v>
      </c>
      <c r="F798" s="9">
        <f>IFERROR(__xludf.DUMMYFUNCTION("""COMPUTED_VALUE"""),750.0)</f>
        <v>750</v>
      </c>
      <c r="G798" s="9">
        <f>IFERROR(__xludf.DUMMYFUNCTION("""COMPUTED_VALUE"""),6.0)</f>
        <v>6</v>
      </c>
      <c r="H798" s="10">
        <f>IFERROR(__xludf.DUMMYFUNCTION("""COMPUTED_VALUE"""),3.0)</f>
        <v>3</v>
      </c>
      <c r="I798" s="11">
        <f>IFERROR(__xludf.DUMMYFUNCTION("""COMPUTED_VALUE"""),628.0)</f>
        <v>628</v>
      </c>
      <c r="J798" s="9" t="str">
        <f>IFERROR(__xludf.DUMMYFUNCTION("""COMPUTED_VALUE"""),"UK")</f>
        <v>UK</v>
      </c>
      <c r="K798" s="8"/>
      <c r="L798" s="12"/>
      <c r="M798" s="13"/>
      <c r="N798" s="13" t="str">
        <f>IFERROR(__xludf.DUMMYFUNCTION("IF(ISBLANK(M798),"""",M798*GOOGLEFINANCE(""USDGBP""))"),"")</f>
        <v/>
      </c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</row>
    <row r="799">
      <c r="A799" s="8" t="str">
        <f>IFERROR(__xludf.DUMMYFUNCTION("""COMPUTED_VALUE"""),"102162020110600750")</f>
        <v>102162020110600750</v>
      </c>
      <c r="B799" s="9" t="str">
        <f>IFERROR(__xludf.DUMMYFUNCTION("""COMPUTED_VALUE"""),"France")</f>
        <v>France</v>
      </c>
      <c r="C799" s="9" t="str">
        <f>IFERROR(__xludf.DUMMYFUNCTION("""COMPUTED_VALUE"""),"burgundy")</f>
        <v>burgundy</v>
      </c>
      <c r="D799" s="9" t="str">
        <f>IFERROR(__xludf.DUMMYFUNCTION("""COMPUTED_VALUE"""),"Bouchard Pere et Fils, Chambertin-Clos de Beze Grand Cru")</f>
        <v>Bouchard Pere et Fils, Chambertin-Clos de Beze Grand Cru</v>
      </c>
      <c r="E799" s="9">
        <f>IFERROR(__xludf.DUMMYFUNCTION("""COMPUTED_VALUE"""),2011.0)</f>
        <v>2011</v>
      </c>
      <c r="F799" s="9">
        <f>IFERROR(__xludf.DUMMYFUNCTION("""COMPUTED_VALUE"""),750.0)</f>
        <v>750</v>
      </c>
      <c r="G799" s="9">
        <f>IFERROR(__xludf.DUMMYFUNCTION("""COMPUTED_VALUE"""),6.0)</f>
        <v>6</v>
      </c>
      <c r="H799" s="10">
        <f>IFERROR(__xludf.DUMMYFUNCTION("""COMPUTED_VALUE"""),2.0)</f>
        <v>2</v>
      </c>
      <c r="I799" s="11">
        <f>IFERROR(__xludf.DUMMYFUNCTION("""COMPUTED_VALUE"""),1130.0)</f>
        <v>1130</v>
      </c>
      <c r="J799" s="9" t="str">
        <f>IFERROR(__xludf.DUMMYFUNCTION("""COMPUTED_VALUE"""),"UK")</f>
        <v>UK</v>
      </c>
      <c r="K799" s="8"/>
      <c r="L799" s="12"/>
      <c r="M799" s="13"/>
      <c r="N799" s="13" t="str">
        <f>IFERROR(__xludf.DUMMYFUNCTION("IF(ISBLANK(M799),"""",M799*GOOGLEFINANCE(""USDGBP""))"),"")</f>
        <v/>
      </c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</row>
    <row r="800">
      <c r="A800" s="8" t="str">
        <f>IFERROR(__xludf.DUMMYFUNCTION("""COMPUTED_VALUE"""),"102162020190600750")</f>
        <v>102162020190600750</v>
      </c>
      <c r="B800" s="9" t="str">
        <f>IFERROR(__xludf.DUMMYFUNCTION("""COMPUTED_VALUE"""),"France")</f>
        <v>France</v>
      </c>
      <c r="C800" s="9" t="str">
        <f>IFERROR(__xludf.DUMMYFUNCTION("""COMPUTED_VALUE"""),"burgundy")</f>
        <v>burgundy</v>
      </c>
      <c r="D800" s="9" t="str">
        <f>IFERROR(__xludf.DUMMYFUNCTION("""COMPUTED_VALUE"""),"Bouchard Pere et Fils, Chambertin-Clos de Beze Grand Cru")</f>
        <v>Bouchard Pere et Fils, Chambertin-Clos de Beze Grand Cru</v>
      </c>
      <c r="E800" s="9">
        <f>IFERROR(__xludf.DUMMYFUNCTION("""COMPUTED_VALUE"""),2019.0)</f>
        <v>2019</v>
      </c>
      <c r="F800" s="9">
        <f>IFERROR(__xludf.DUMMYFUNCTION("""COMPUTED_VALUE"""),750.0)</f>
        <v>750</v>
      </c>
      <c r="G800" s="9">
        <f>IFERROR(__xludf.DUMMYFUNCTION("""COMPUTED_VALUE"""),6.0)</f>
        <v>6</v>
      </c>
      <c r="H800" s="10">
        <f>IFERROR(__xludf.DUMMYFUNCTION("""COMPUTED_VALUE"""),8.0)</f>
        <v>8</v>
      </c>
      <c r="I800" s="11">
        <f>IFERROR(__xludf.DUMMYFUNCTION("""COMPUTED_VALUE"""),1982.0)</f>
        <v>1982</v>
      </c>
      <c r="J800" s="9" t="str">
        <f>IFERROR(__xludf.DUMMYFUNCTION("""COMPUTED_VALUE"""),"UK")</f>
        <v>UK</v>
      </c>
      <c r="K800" s="8"/>
      <c r="L800" s="12"/>
      <c r="M800" s="13"/>
      <c r="N800" s="13" t="str">
        <f>IFERROR(__xludf.DUMMYFUNCTION("IF(ISBLANK(M800),"""",M800*GOOGLEFINANCE(""USDGBP""))"),"")</f>
        <v/>
      </c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</row>
    <row r="801">
      <c r="A801" s="8" t="str">
        <f>IFERROR(__xludf.DUMMYFUNCTION("""COMPUTED_VALUE"""),"102162020200101500")</f>
        <v>102162020200101500</v>
      </c>
      <c r="B801" s="9" t="str">
        <f>IFERROR(__xludf.DUMMYFUNCTION("""COMPUTED_VALUE"""),"France")</f>
        <v>France</v>
      </c>
      <c r="C801" s="9" t="str">
        <f>IFERROR(__xludf.DUMMYFUNCTION("""COMPUTED_VALUE"""),"burgundy")</f>
        <v>burgundy</v>
      </c>
      <c r="D801" s="9" t="str">
        <f>IFERROR(__xludf.DUMMYFUNCTION("""COMPUTED_VALUE"""),"Bouchard Pere et Fils, Chambertin-Clos de Beze Grand Cru")</f>
        <v>Bouchard Pere et Fils, Chambertin-Clos de Beze Grand Cru</v>
      </c>
      <c r="E801" s="9">
        <f>IFERROR(__xludf.DUMMYFUNCTION("""COMPUTED_VALUE"""),2020.0)</f>
        <v>2020</v>
      </c>
      <c r="F801" s="9">
        <f>IFERROR(__xludf.DUMMYFUNCTION("""COMPUTED_VALUE"""),1500.0)</f>
        <v>1500</v>
      </c>
      <c r="G801" s="9">
        <f>IFERROR(__xludf.DUMMYFUNCTION("""COMPUTED_VALUE"""),1.0)</f>
        <v>1</v>
      </c>
      <c r="H801" s="10">
        <f>IFERROR(__xludf.DUMMYFUNCTION("""COMPUTED_VALUE"""),1.0)</f>
        <v>1</v>
      </c>
      <c r="I801" s="11">
        <f>IFERROR(__xludf.DUMMYFUNCTION("""COMPUTED_VALUE"""),783.0)</f>
        <v>783</v>
      </c>
      <c r="J801" s="9" t="str">
        <f>IFERROR(__xludf.DUMMYFUNCTION("""COMPUTED_VALUE"""),"UK")</f>
        <v>UK</v>
      </c>
      <c r="K801" s="8"/>
      <c r="L801" s="12"/>
      <c r="M801" s="13"/>
      <c r="N801" s="13" t="str">
        <f>IFERROR(__xludf.DUMMYFUNCTION("IF(ISBLANK(M801),"""",M801*GOOGLEFINANCE(""USDGBP""))"),"")</f>
        <v/>
      </c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</row>
    <row r="802">
      <c r="A802" s="8" t="str">
        <f>IFERROR(__xludf.DUMMYFUNCTION("""COMPUTED_VALUE"""),"102166220100600750")</f>
        <v>102166220100600750</v>
      </c>
      <c r="B802" s="9" t="str">
        <f>IFERROR(__xludf.DUMMYFUNCTION("""COMPUTED_VALUE"""),"France")</f>
        <v>France</v>
      </c>
      <c r="C802" s="9" t="str">
        <f>IFERROR(__xludf.DUMMYFUNCTION("""COMPUTED_VALUE"""),"burgundy")</f>
        <v>burgundy</v>
      </c>
      <c r="D802" s="9" t="str">
        <f>IFERROR(__xludf.DUMMYFUNCTION("""COMPUTED_VALUE"""),"Bouchard Pere et Fils, Charmes-Chambertin Grand Cru")</f>
        <v>Bouchard Pere et Fils, Charmes-Chambertin Grand Cru</v>
      </c>
      <c r="E802" s="9">
        <f>IFERROR(__xludf.DUMMYFUNCTION("""COMPUTED_VALUE"""),2010.0)</f>
        <v>2010</v>
      </c>
      <c r="F802" s="9">
        <f>IFERROR(__xludf.DUMMYFUNCTION("""COMPUTED_VALUE"""),750.0)</f>
        <v>750</v>
      </c>
      <c r="G802" s="9">
        <f>IFERROR(__xludf.DUMMYFUNCTION("""COMPUTED_VALUE"""),6.0)</f>
        <v>6</v>
      </c>
      <c r="H802" s="10">
        <f>IFERROR(__xludf.DUMMYFUNCTION("""COMPUTED_VALUE"""),2.0)</f>
        <v>2</v>
      </c>
      <c r="I802" s="11">
        <f>IFERROR(__xludf.DUMMYFUNCTION("""COMPUTED_VALUE"""),1735.0)</f>
        <v>1735</v>
      </c>
      <c r="J802" s="9" t="str">
        <f>IFERROR(__xludf.DUMMYFUNCTION("""COMPUTED_VALUE"""),"UK")</f>
        <v>UK</v>
      </c>
      <c r="K802" s="8"/>
      <c r="L802" s="12"/>
      <c r="M802" s="13"/>
      <c r="N802" s="13" t="str">
        <f>IFERROR(__xludf.DUMMYFUNCTION("IF(ISBLANK(M802),"""",M802*GOOGLEFINANCE(""USDGBP""))"),"")</f>
        <v/>
      </c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</row>
    <row r="803">
      <c r="A803" s="8" t="str">
        <f>IFERROR(__xludf.DUMMYFUNCTION("""COMPUTED_VALUE"""),"102169120160600750")</f>
        <v>102169120160600750</v>
      </c>
      <c r="B803" s="9" t="str">
        <f>IFERROR(__xludf.DUMMYFUNCTION("""COMPUTED_VALUE"""),"France")</f>
        <v>France</v>
      </c>
      <c r="C803" s="9" t="str">
        <f>IFERROR(__xludf.DUMMYFUNCTION("""COMPUTED_VALUE"""),"burgundy")</f>
        <v>burgundy</v>
      </c>
      <c r="D803" s="9" t="str">
        <f>IFERROR(__xludf.DUMMYFUNCTION("""COMPUTED_VALUE"""),"Bouchard Pere et Fils, Corton Grand Cru")</f>
        <v>Bouchard Pere et Fils, Corton Grand Cru</v>
      </c>
      <c r="E803" s="9">
        <f>IFERROR(__xludf.DUMMYFUNCTION("""COMPUTED_VALUE"""),2016.0)</f>
        <v>2016</v>
      </c>
      <c r="F803" s="9">
        <f>IFERROR(__xludf.DUMMYFUNCTION("""COMPUTED_VALUE"""),750.0)</f>
        <v>750</v>
      </c>
      <c r="G803" s="9">
        <f>IFERROR(__xludf.DUMMYFUNCTION("""COMPUTED_VALUE"""),6.0)</f>
        <v>6</v>
      </c>
      <c r="H803" s="10">
        <f>IFERROR(__xludf.DUMMYFUNCTION("""COMPUTED_VALUE"""),1.0)</f>
        <v>1</v>
      </c>
      <c r="I803" s="11">
        <f>IFERROR(__xludf.DUMMYFUNCTION("""COMPUTED_VALUE"""),593.0)</f>
        <v>593</v>
      </c>
      <c r="J803" s="9" t="str">
        <f>IFERROR(__xludf.DUMMYFUNCTION("""COMPUTED_VALUE"""),"UK")</f>
        <v>UK</v>
      </c>
      <c r="K803" s="8"/>
      <c r="L803" s="12"/>
      <c r="M803" s="13"/>
      <c r="N803" s="13" t="str">
        <f>IFERROR(__xludf.DUMMYFUNCTION("IF(ISBLANK(M803),"""",M803*GOOGLEFINANCE(""USDGBP""))"),"")</f>
        <v/>
      </c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</row>
    <row r="804">
      <c r="A804" s="8" t="str">
        <f>IFERROR(__xludf.DUMMYFUNCTION("""COMPUTED_VALUE"""),"102169120180600750")</f>
        <v>102169120180600750</v>
      </c>
      <c r="B804" s="9" t="str">
        <f>IFERROR(__xludf.DUMMYFUNCTION("""COMPUTED_VALUE"""),"France")</f>
        <v>France</v>
      </c>
      <c r="C804" s="9" t="str">
        <f>IFERROR(__xludf.DUMMYFUNCTION("""COMPUTED_VALUE"""),"burgundy")</f>
        <v>burgundy</v>
      </c>
      <c r="D804" s="9" t="str">
        <f>IFERROR(__xludf.DUMMYFUNCTION("""COMPUTED_VALUE"""),"Bouchard Pere et Fils, Corton Grand Cru")</f>
        <v>Bouchard Pere et Fils, Corton Grand Cru</v>
      </c>
      <c r="E804" s="9">
        <f>IFERROR(__xludf.DUMMYFUNCTION("""COMPUTED_VALUE"""),2018.0)</f>
        <v>2018</v>
      </c>
      <c r="F804" s="9">
        <f>IFERROR(__xludf.DUMMYFUNCTION("""COMPUTED_VALUE"""),750.0)</f>
        <v>750</v>
      </c>
      <c r="G804" s="9">
        <f>IFERROR(__xludf.DUMMYFUNCTION("""COMPUTED_VALUE"""),6.0)</f>
        <v>6</v>
      </c>
      <c r="H804" s="10">
        <f>IFERROR(__xludf.DUMMYFUNCTION("""COMPUTED_VALUE"""),13.0)</f>
        <v>13</v>
      </c>
      <c r="I804" s="11">
        <f>IFERROR(__xludf.DUMMYFUNCTION("""COMPUTED_VALUE"""),599.0)</f>
        <v>599</v>
      </c>
      <c r="J804" s="9" t="str">
        <f>IFERROR(__xludf.DUMMYFUNCTION("""COMPUTED_VALUE"""),"UK")</f>
        <v>UK</v>
      </c>
      <c r="K804" s="8"/>
      <c r="L804" s="12"/>
      <c r="M804" s="13"/>
      <c r="N804" s="13" t="str">
        <f>IFERROR(__xludf.DUMMYFUNCTION("IF(ISBLANK(M804),"""",M804*GOOGLEFINANCE(""USDGBP""))"),"")</f>
        <v/>
      </c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</row>
    <row r="805">
      <c r="A805" s="8" t="str">
        <f>IFERROR(__xludf.DUMMYFUNCTION("""COMPUTED_VALUE"""),"102169120190600750")</f>
        <v>102169120190600750</v>
      </c>
      <c r="B805" s="9" t="str">
        <f>IFERROR(__xludf.DUMMYFUNCTION("""COMPUTED_VALUE"""),"France")</f>
        <v>France</v>
      </c>
      <c r="C805" s="9" t="str">
        <f>IFERROR(__xludf.DUMMYFUNCTION("""COMPUTED_VALUE"""),"burgundy")</f>
        <v>burgundy</v>
      </c>
      <c r="D805" s="9" t="str">
        <f>IFERROR(__xludf.DUMMYFUNCTION("""COMPUTED_VALUE"""),"Bouchard Pere et Fils, Corton Grand Cru")</f>
        <v>Bouchard Pere et Fils, Corton Grand Cru</v>
      </c>
      <c r="E805" s="9">
        <f>IFERROR(__xludf.DUMMYFUNCTION("""COMPUTED_VALUE"""),2019.0)</f>
        <v>2019</v>
      </c>
      <c r="F805" s="9">
        <f>IFERROR(__xludf.DUMMYFUNCTION("""COMPUTED_VALUE"""),750.0)</f>
        <v>750</v>
      </c>
      <c r="G805" s="9">
        <f>IFERROR(__xludf.DUMMYFUNCTION("""COMPUTED_VALUE"""),6.0)</f>
        <v>6</v>
      </c>
      <c r="H805" s="10">
        <f>IFERROR(__xludf.DUMMYFUNCTION("""COMPUTED_VALUE"""),8.0)</f>
        <v>8</v>
      </c>
      <c r="I805" s="11">
        <f>IFERROR(__xludf.DUMMYFUNCTION("""COMPUTED_VALUE"""),664.0)</f>
        <v>664</v>
      </c>
      <c r="J805" s="9" t="str">
        <f>IFERROR(__xludf.DUMMYFUNCTION("""COMPUTED_VALUE"""),"UK")</f>
        <v>UK</v>
      </c>
      <c r="K805" s="8"/>
      <c r="L805" s="12"/>
      <c r="M805" s="13"/>
      <c r="N805" s="13" t="str">
        <f>IFERROR(__xludf.DUMMYFUNCTION("IF(ISBLANK(M805),"""",M805*GOOGLEFINANCE(""USDGBP""))"),"")</f>
        <v/>
      </c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</row>
    <row r="806">
      <c r="A806" s="8" t="str">
        <f>IFERROR(__xludf.DUMMYFUNCTION("""COMPUTED_VALUE"""),"119799420200600750")</f>
        <v>119799420200600750</v>
      </c>
      <c r="B806" s="9" t="str">
        <f>IFERROR(__xludf.DUMMYFUNCTION("""COMPUTED_VALUE"""),"France")</f>
        <v>France</v>
      </c>
      <c r="C806" s="9" t="str">
        <f>IFERROR(__xludf.DUMMYFUNCTION("""COMPUTED_VALUE"""),"burgundy")</f>
        <v>burgundy</v>
      </c>
      <c r="D806" s="9" t="str">
        <f>IFERROR(__xludf.DUMMYFUNCTION("""COMPUTED_VALUE"""),"Bouchard Pere et Fils, Volnay Premier Cru, Les Caillerets Ancienne Cuvee Carnot")</f>
        <v>Bouchard Pere et Fils, Volnay Premier Cru, Les Caillerets Ancienne Cuvee Carnot</v>
      </c>
      <c r="E806" s="9">
        <f>IFERROR(__xludf.DUMMYFUNCTION("""COMPUTED_VALUE"""),2020.0)</f>
        <v>2020</v>
      </c>
      <c r="F806" s="9">
        <f>IFERROR(__xludf.DUMMYFUNCTION("""COMPUTED_VALUE"""),750.0)</f>
        <v>750</v>
      </c>
      <c r="G806" s="9">
        <f>IFERROR(__xludf.DUMMYFUNCTION("""COMPUTED_VALUE"""),6.0)</f>
        <v>6</v>
      </c>
      <c r="H806" s="10">
        <f>IFERROR(__xludf.DUMMYFUNCTION("""COMPUTED_VALUE"""),2.0)</f>
        <v>2</v>
      </c>
      <c r="I806" s="11">
        <f>IFERROR(__xludf.DUMMYFUNCTION("""COMPUTED_VALUE"""),409.0)</f>
        <v>409</v>
      </c>
      <c r="J806" s="9" t="str">
        <f>IFERROR(__xludf.DUMMYFUNCTION("""COMPUTED_VALUE"""),"UK")</f>
        <v>UK</v>
      </c>
      <c r="K806" s="8"/>
      <c r="L806" s="12"/>
      <c r="M806" s="13"/>
      <c r="N806" s="13" t="str">
        <f>IFERROR(__xludf.DUMMYFUNCTION("IF(ISBLANK(M806),"""",M806*GOOGLEFINANCE(""USDGBP""))"),"")</f>
        <v/>
      </c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</row>
    <row r="807">
      <c r="A807" s="8" t="str">
        <f>IFERROR(__xludf.DUMMYFUNCTION("""COMPUTED_VALUE"""),"135935620170600750")</f>
        <v>135935620170600750</v>
      </c>
      <c r="B807" s="9" t="str">
        <f>IFERROR(__xludf.DUMMYFUNCTION("""COMPUTED_VALUE"""),"France")</f>
        <v>France</v>
      </c>
      <c r="C807" s="9" t="str">
        <f>IFERROR(__xludf.DUMMYFUNCTION("""COMPUTED_VALUE"""),"burgundy")</f>
        <v>burgundy</v>
      </c>
      <c r="D807" s="9" t="str">
        <f>IFERROR(__xludf.DUMMYFUNCTION("""COMPUTED_VALUE"""),"Charles van Canneyt, Chambertin Grand Cru")</f>
        <v>Charles van Canneyt, Chambertin Grand Cru</v>
      </c>
      <c r="E807" s="9">
        <f>IFERROR(__xludf.DUMMYFUNCTION("""COMPUTED_VALUE"""),2017.0)</f>
        <v>2017</v>
      </c>
      <c r="F807" s="9">
        <f>IFERROR(__xludf.DUMMYFUNCTION("""COMPUTED_VALUE"""),750.0)</f>
        <v>750</v>
      </c>
      <c r="G807" s="9">
        <f>IFERROR(__xludf.DUMMYFUNCTION("""COMPUTED_VALUE"""),6.0)</f>
        <v>6</v>
      </c>
      <c r="H807" s="10">
        <f>IFERROR(__xludf.DUMMYFUNCTION("""COMPUTED_VALUE"""),1.0)</f>
        <v>1</v>
      </c>
      <c r="I807" s="11">
        <f>IFERROR(__xludf.DUMMYFUNCTION("""COMPUTED_VALUE"""),2716.0)</f>
        <v>2716</v>
      </c>
      <c r="J807" s="9" t="str">
        <f>IFERROR(__xludf.DUMMYFUNCTION("""COMPUTED_VALUE"""),"UK")</f>
        <v>UK</v>
      </c>
      <c r="K807" s="8"/>
      <c r="L807" s="12"/>
      <c r="M807" s="13"/>
      <c r="N807" s="13" t="str">
        <f>IFERROR(__xludf.DUMMYFUNCTION("IF(ISBLANK(M807),"""",M807*GOOGLEFINANCE(""USDGBP""))"),"")</f>
        <v/>
      </c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</row>
    <row r="808">
      <c r="A808" s="8" t="str">
        <f>IFERROR(__xludf.DUMMYFUNCTION("""COMPUTED_VALUE"""),"186979220180600750")</f>
        <v>186979220180600750</v>
      </c>
      <c r="B808" s="9" t="str">
        <f>IFERROR(__xludf.DUMMYFUNCTION("""COMPUTED_VALUE"""),"France")</f>
        <v>France</v>
      </c>
      <c r="C808" s="9" t="str">
        <f>IFERROR(__xludf.DUMMYFUNCTION("""COMPUTED_VALUE"""),"burgundy")</f>
        <v>burgundy</v>
      </c>
      <c r="D808" s="9" t="str">
        <f>IFERROR(__xludf.DUMMYFUNCTION("""COMPUTED_VALUE"""),"Charles van Canneyt, Corton Grand Cru")</f>
        <v>Charles van Canneyt, Corton Grand Cru</v>
      </c>
      <c r="E808" s="9">
        <f>IFERROR(__xludf.DUMMYFUNCTION("""COMPUTED_VALUE"""),2018.0)</f>
        <v>2018</v>
      </c>
      <c r="F808" s="9">
        <f>IFERROR(__xludf.DUMMYFUNCTION("""COMPUTED_VALUE"""),750.0)</f>
        <v>750</v>
      </c>
      <c r="G808" s="9">
        <f>IFERROR(__xludf.DUMMYFUNCTION("""COMPUTED_VALUE"""),6.0)</f>
        <v>6</v>
      </c>
      <c r="H808" s="10">
        <f>IFERROR(__xludf.DUMMYFUNCTION("""COMPUTED_VALUE"""),1.0)</f>
        <v>1</v>
      </c>
      <c r="I808" s="11">
        <f>IFERROR(__xludf.DUMMYFUNCTION("""COMPUTED_VALUE"""),2262.0)</f>
        <v>2262</v>
      </c>
      <c r="J808" s="9" t="str">
        <f>IFERROR(__xludf.DUMMYFUNCTION("""COMPUTED_VALUE"""),"UK")</f>
        <v>UK</v>
      </c>
      <c r="K808" s="8"/>
      <c r="L808" s="12"/>
      <c r="M808" s="13"/>
      <c r="N808" s="13" t="str">
        <f>IFERROR(__xludf.DUMMYFUNCTION("IF(ISBLANK(M808),"""",M808*GOOGLEFINANCE(""USDGBP""))"),"")</f>
        <v/>
      </c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</row>
    <row r="809">
      <c r="A809" s="8" t="str">
        <f>IFERROR(__xludf.DUMMYFUNCTION("""COMPUTED_VALUE"""),"137122020160600750")</f>
        <v>137122020160600750</v>
      </c>
      <c r="B809" s="9" t="str">
        <f>IFERROR(__xludf.DUMMYFUNCTION("""COMPUTED_VALUE"""),"France")</f>
        <v>France</v>
      </c>
      <c r="C809" s="9" t="str">
        <f>IFERROR(__xludf.DUMMYFUNCTION("""COMPUTED_VALUE"""),"burgundy")</f>
        <v>burgundy</v>
      </c>
      <c r="D809" s="9" t="str">
        <f>IFERROR(__xludf.DUMMYFUNCTION("""COMPUTED_VALUE"""),"Charles van Canneyt, Corton Grand Cru, Les Renardes")</f>
        <v>Charles van Canneyt, Corton Grand Cru, Les Renardes</v>
      </c>
      <c r="E809" s="9">
        <f>IFERROR(__xludf.DUMMYFUNCTION("""COMPUTED_VALUE"""),2016.0)</f>
        <v>2016</v>
      </c>
      <c r="F809" s="9">
        <f>IFERROR(__xludf.DUMMYFUNCTION("""COMPUTED_VALUE"""),750.0)</f>
        <v>750</v>
      </c>
      <c r="G809" s="9">
        <f>IFERROR(__xludf.DUMMYFUNCTION("""COMPUTED_VALUE"""),6.0)</f>
        <v>6</v>
      </c>
      <c r="H809" s="10">
        <f>IFERROR(__xludf.DUMMYFUNCTION("""COMPUTED_VALUE"""),1.0)</f>
        <v>1</v>
      </c>
      <c r="I809" s="11">
        <f>IFERROR(__xludf.DUMMYFUNCTION("""COMPUTED_VALUE"""),566.0)</f>
        <v>566</v>
      </c>
      <c r="J809" s="9" t="str">
        <f>IFERROR(__xludf.DUMMYFUNCTION("""COMPUTED_VALUE"""),"UK")</f>
        <v>UK</v>
      </c>
      <c r="K809" s="8"/>
      <c r="L809" s="12"/>
      <c r="M809" s="13"/>
      <c r="N809" s="13" t="str">
        <f>IFERROR(__xludf.DUMMYFUNCTION("IF(ISBLANK(M809),"""",M809*GOOGLEFINANCE(""USDGBP""))"),"")</f>
        <v/>
      </c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</row>
    <row r="810">
      <c r="A810" s="8" t="str">
        <f>IFERROR(__xludf.DUMMYFUNCTION("""COMPUTED_VALUE"""),"102993220181200750")</f>
        <v>102993220181200750</v>
      </c>
      <c r="B810" s="9" t="str">
        <f>IFERROR(__xludf.DUMMYFUNCTION("""COMPUTED_VALUE"""),"France")</f>
        <v>France</v>
      </c>
      <c r="C810" s="9" t="str">
        <f>IFERROR(__xludf.DUMMYFUNCTION("""COMPUTED_VALUE"""),"burgundy")</f>
        <v>burgundy</v>
      </c>
      <c r="D810" s="9" t="str">
        <f>IFERROR(__xludf.DUMMYFUNCTION("""COMPUTED_VALUE"""),"Claude Dugat, Bourgogne, Rouge")</f>
        <v>Claude Dugat, Bourgogne, Rouge</v>
      </c>
      <c r="E810" s="9">
        <f>IFERROR(__xludf.DUMMYFUNCTION("""COMPUTED_VALUE"""),2018.0)</f>
        <v>2018</v>
      </c>
      <c r="F810" s="9">
        <f>IFERROR(__xludf.DUMMYFUNCTION("""COMPUTED_VALUE"""),750.0)</f>
        <v>750</v>
      </c>
      <c r="G810" s="9">
        <f>IFERROR(__xludf.DUMMYFUNCTION("""COMPUTED_VALUE"""),12.0)</f>
        <v>12</v>
      </c>
      <c r="H810" s="10">
        <f>IFERROR(__xludf.DUMMYFUNCTION("""COMPUTED_VALUE"""),4.0)</f>
        <v>4</v>
      </c>
      <c r="I810" s="11">
        <f>IFERROR(__xludf.DUMMYFUNCTION("""COMPUTED_VALUE"""),616.0)</f>
        <v>616</v>
      </c>
      <c r="J810" s="9" t="str">
        <f>IFERROR(__xludf.DUMMYFUNCTION("""COMPUTED_VALUE"""),"UK")</f>
        <v>UK</v>
      </c>
      <c r="K810" s="8"/>
      <c r="L810" s="12"/>
      <c r="M810" s="13"/>
      <c r="N810" s="13" t="str">
        <f>IFERROR(__xludf.DUMMYFUNCTION("IF(ISBLANK(M810),"""",M810*GOOGLEFINANCE(""USDGBP""))"),"")</f>
        <v/>
      </c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</row>
    <row r="811">
      <c r="A811" s="8" t="str">
        <f>IFERROR(__xludf.DUMMYFUNCTION("""COMPUTED_VALUE"""),"102996120200600750")</f>
        <v>102996120200600750</v>
      </c>
      <c r="B811" s="9" t="str">
        <f>IFERROR(__xludf.DUMMYFUNCTION("""COMPUTED_VALUE"""),"France")</f>
        <v>France</v>
      </c>
      <c r="C811" s="9" t="str">
        <f>IFERROR(__xludf.DUMMYFUNCTION("""COMPUTED_VALUE"""),"burgundy")</f>
        <v>burgundy</v>
      </c>
      <c r="D811" s="9" t="str">
        <f>IFERROR(__xludf.DUMMYFUNCTION("""COMPUTED_VALUE"""),"Claude Dugat, Chapelle-Chambertin Grand Cru")</f>
        <v>Claude Dugat, Chapelle-Chambertin Grand Cru</v>
      </c>
      <c r="E811" s="9">
        <f>IFERROR(__xludf.DUMMYFUNCTION("""COMPUTED_VALUE"""),2020.0)</f>
        <v>2020</v>
      </c>
      <c r="F811" s="9">
        <f>IFERROR(__xludf.DUMMYFUNCTION("""COMPUTED_VALUE"""),750.0)</f>
        <v>750</v>
      </c>
      <c r="G811" s="9">
        <f>IFERROR(__xludf.DUMMYFUNCTION("""COMPUTED_VALUE"""),6.0)</f>
        <v>6</v>
      </c>
      <c r="H811" s="10">
        <f>IFERROR(__xludf.DUMMYFUNCTION("""COMPUTED_VALUE"""),2.0)</f>
        <v>2</v>
      </c>
      <c r="I811" s="11">
        <f>IFERROR(__xludf.DUMMYFUNCTION("""COMPUTED_VALUE"""),4805.0)</f>
        <v>4805</v>
      </c>
      <c r="J811" s="9" t="str">
        <f>IFERROR(__xludf.DUMMYFUNCTION("""COMPUTED_VALUE"""),"UK")</f>
        <v>UK</v>
      </c>
      <c r="K811" s="8"/>
      <c r="L811" s="12"/>
      <c r="M811" s="13"/>
      <c r="N811" s="13" t="str">
        <f>IFERROR(__xludf.DUMMYFUNCTION("IF(ISBLANK(M811),"""",M811*GOOGLEFINANCE(""USDGBP""))"),"")</f>
        <v/>
      </c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</row>
    <row r="812">
      <c r="A812" s="8" t="str">
        <f>IFERROR(__xludf.DUMMYFUNCTION("""COMPUTED_VALUE"""),"104764820170600750")</f>
        <v>104764820170600750</v>
      </c>
      <c r="B812" s="9" t="str">
        <f>IFERROR(__xludf.DUMMYFUNCTION("""COMPUTED_VALUE"""),"France")</f>
        <v>France</v>
      </c>
      <c r="C812" s="9" t="str">
        <f>IFERROR(__xludf.DUMMYFUNCTION("""COMPUTED_VALUE"""),"burgundy")</f>
        <v>burgundy</v>
      </c>
      <c r="D812" s="9" t="str">
        <f>IFERROR(__xludf.DUMMYFUNCTION("""COMPUTED_VALUE"""),"Clos de Tart, Clos de Tart Grand Cru")</f>
        <v>Clos de Tart, Clos de Tart Grand Cru</v>
      </c>
      <c r="E812" s="9">
        <f>IFERROR(__xludf.DUMMYFUNCTION("""COMPUTED_VALUE"""),2017.0)</f>
        <v>2017</v>
      </c>
      <c r="F812" s="9">
        <f>IFERROR(__xludf.DUMMYFUNCTION("""COMPUTED_VALUE"""),750.0)</f>
        <v>750</v>
      </c>
      <c r="G812" s="9">
        <f>IFERROR(__xludf.DUMMYFUNCTION("""COMPUTED_VALUE"""),6.0)</f>
        <v>6</v>
      </c>
      <c r="H812" s="10">
        <f>IFERROR(__xludf.DUMMYFUNCTION("""COMPUTED_VALUE"""),1.0)</f>
        <v>1</v>
      </c>
      <c r="I812" s="11">
        <f>IFERROR(__xludf.DUMMYFUNCTION("""COMPUTED_VALUE"""),2541.0)</f>
        <v>2541</v>
      </c>
      <c r="J812" s="9" t="str">
        <f>IFERROR(__xludf.DUMMYFUNCTION("""COMPUTED_VALUE"""),"UK")</f>
        <v>UK</v>
      </c>
      <c r="K812" s="8"/>
      <c r="L812" s="12"/>
      <c r="M812" s="13"/>
      <c r="N812" s="13" t="str">
        <f>IFERROR(__xludf.DUMMYFUNCTION("IF(ISBLANK(M812),"""",M812*GOOGLEFINANCE(""USDGBP""))"),"")</f>
        <v/>
      </c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</row>
    <row r="813">
      <c r="A813" s="8" t="str">
        <f>IFERROR(__xludf.DUMMYFUNCTION("""COMPUTED_VALUE"""),"102652420140600750")</f>
        <v>102652420140600750</v>
      </c>
      <c r="B813" s="9" t="str">
        <f>IFERROR(__xludf.DUMMYFUNCTION("""COMPUTED_VALUE"""),"France")</f>
        <v>France</v>
      </c>
      <c r="C813" s="9" t="str">
        <f>IFERROR(__xludf.DUMMYFUNCTION("""COMPUTED_VALUE"""),"burgundy")</f>
        <v>burgundy</v>
      </c>
      <c r="D813" s="9" t="str">
        <f>IFERROR(__xludf.DUMMYFUNCTION("""COMPUTED_VALUE"""),"Comte Armand, Pommard Premier Cru, Clos des Epeneaux")</f>
        <v>Comte Armand, Pommard Premier Cru, Clos des Epeneaux</v>
      </c>
      <c r="E813" s="9">
        <f>IFERROR(__xludf.DUMMYFUNCTION("""COMPUTED_VALUE"""),2014.0)</f>
        <v>2014</v>
      </c>
      <c r="F813" s="9">
        <f>IFERROR(__xludf.DUMMYFUNCTION("""COMPUTED_VALUE"""),750.0)</f>
        <v>750</v>
      </c>
      <c r="G813" s="9">
        <f>IFERROR(__xludf.DUMMYFUNCTION("""COMPUTED_VALUE"""),6.0)</f>
        <v>6</v>
      </c>
      <c r="H813" s="10">
        <f>IFERROR(__xludf.DUMMYFUNCTION("""COMPUTED_VALUE"""),1.0)</f>
        <v>1</v>
      </c>
      <c r="I813" s="11">
        <f>IFERROR(__xludf.DUMMYFUNCTION("""COMPUTED_VALUE"""),548.0)</f>
        <v>548</v>
      </c>
      <c r="J813" s="9" t="str">
        <f>IFERROR(__xludf.DUMMYFUNCTION("""COMPUTED_VALUE"""),"UK")</f>
        <v>UK</v>
      </c>
      <c r="K813" s="8"/>
      <c r="L813" s="12"/>
      <c r="M813" s="13"/>
      <c r="N813" s="13" t="str">
        <f>IFERROR(__xludf.DUMMYFUNCTION("IF(ISBLANK(M813),"""",M813*GOOGLEFINANCE(""USDGBP""))"),"")</f>
        <v/>
      </c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</row>
    <row r="814">
      <c r="A814" s="8" t="str">
        <f>IFERROR(__xludf.DUMMYFUNCTION("""COMPUTED_VALUE"""),"102652420160600750")</f>
        <v>102652420160600750</v>
      </c>
      <c r="B814" s="9" t="str">
        <f>IFERROR(__xludf.DUMMYFUNCTION("""COMPUTED_VALUE"""),"France")</f>
        <v>France</v>
      </c>
      <c r="C814" s="9" t="str">
        <f>IFERROR(__xludf.DUMMYFUNCTION("""COMPUTED_VALUE"""),"burgundy")</f>
        <v>burgundy</v>
      </c>
      <c r="D814" s="9" t="str">
        <f>IFERROR(__xludf.DUMMYFUNCTION("""COMPUTED_VALUE"""),"Comte Armand, Pommard Premier Cru, Clos des Epeneaux")</f>
        <v>Comte Armand, Pommard Premier Cru, Clos des Epeneaux</v>
      </c>
      <c r="E814" s="9">
        <f>IFERROR(__xludf.DUMMYFUNCTION("""COMPUTED_VALUE"""),2016.0)</f>
        <v>2016</v>
      </c>
      <c r="F814" s="9">
        <f>IFERROR(__xludf.DUMMYFUNCTION("""COMPUTED_VALUE"""),750.0)</f>
        <v>750</v>
      </c>
      <c r="G814" s="9">
        <f>IFERROR(__xludf.DUMMYFUNCTION("""COMPUTED_VALUE"""),6.0)</f>
        <v>6</v>
      </c>
      <c r="H814" s="10">
        <f>IFERROR(__xludf.DUMMYFUNCTION("""COMPUTED_VALUE"""),2.0)</f>
        <v>2</v>
      </c>
      <c r="I814" s="11">
        <f>IFERROR(__xludf.DUMMYFUNCTION("""COMPUTED_VALUE"""),688.0)</f>
        <v>688</v>
      </c>
      <c r="J814" s="9" t="str">
        <f>IFERROR(__xludf.DUMMYFUNCTION("""COMPUTED_VALUE"""),"UK")</f>
        <v>UK</v>
      </c>
      <c r="K814" s="8"/>
      <c r="L814" s="12"/>
      <c r="M814" s="13"/>
      <c r="N814" s="13" t="str">
        <f>IFERROR(__xludf.DUMMYFUNCTION("IF(ISBLANK(M814),"""",M814*GOOGLEFINANCE(""USDGBP""))"),"")</f>
        <v/>
      </c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</row>
    <row r="815">
      <c r="A815" s="8" t="str">
        <f>IFERROR(__xludf.DUMMYFUNCTION("""COMPUTED_VALUE"""),"102652420170600750")</f>
        <v>102652420170600750</v>
      </c>
      <c r="B815" s="9" t="str">
        <f>IFERROR(__xludf.DUMMYFUNCTION("""COMPUTED_VALUE"""),"France")</f>
        <v>France</v>
      </c>
      <c r="C815" s="9" t="str">
        <f>IFERROR(__xludf.DUMMYFUNCTION("""COMPUTED_VALUE"""),"burgundy")</f>
        <v>burgundy</v>
      </c>
      <c r="D815" s="9" t="str">
        <f>IFERROR(__xludf.DUMMYFUNCTION("""COMPUTED_VALUE"""),"Comte Armand, Pommard Premier Cru, Clos des Epeneaux")</f>
        <v>Comte Armand, Pommard Premier Cru, Clos des Epeneaux</v>
      </c>
      <c r="E815" s="9">
        <f>IFERROR(__xludf.DUMMYFUNCTION("""COMPUTED_VALUE"""),2017.0)</f>
        <v>2017</v>
      </c>
      <c r="F815" s="9">
        <f>IFERROR(__xludf.DUMMYFUNCTION("""COMPUTED_VALUE"""),750.0)</f>
        <v>750</v>
      </c>
      <c r="G815" s="9">
        <f>IFERROR(__xludf.DUMMYFUNCTION("""COMPUTED_VALUE"""),6.0)</f>
        <v>6</v>
      </c>
      <c r="H815" s="10">
        <f>IFERROR(__xludf.DUMMYFUNCTION("""COMPUTED_VALUE"""),2.0)</f>
        <v>2</v>
      </c>
      <c r="I815" s="11">
        <f>IFERROR(__xludf.DUMMYFUNCTION("""COMPUTED_VALUE"""),593.0)</f>
        <v>593</v>
      </c>
      <c r="J815" s="9" t="str">
        <f>IFERROR(__xludf.DUMMYFUNCTION("""COMPUTED_VALUE"""),"UK")</f>
        <v>UK</v>
      </c>
      <c r="K815" s="8"/>
      <c r="L815" s="12"/>
      <c r="M815" s="13"/>
      <c r="N815" s="13" t="str">
        <f>IFERROR(__xludf.DUMMYFUNCTION("IF(ISBLANK(M815),"""",M815*GOOGLEFINANCE(""USDGBP""))"),"")</f>
        <v/>
      </c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</row>
    <row r="816">
      <c r="A816" s="8" t="str">
        <f>IFERROR(__xludf.DUMMYFUNCTION("""COMPUTED_VALUE"""),"102654020150600750")</f>
        <v>102654020150600750</v>
      </c>
      <c r="B816" s="9" t="str">
        <f>IFERROR(__xludf.DUMMYFUNCTION("""COMPUTED_VALUE"""),"France")</f>
        <v>France</v>
      </c>
      <c r="C816" s="9" t="str">
        <f>IFERROR(__xludf.DUMMYFUNCTION("""COMPUTED_VALUE"""),"burgundy")</f>
        <v>burgundy</v>
      </c>
      <c r="D816" s="9" t="str">
        <f>IFERROR(__xludf.DUMMYFUNCTION("""COMPUTED_VALUE"""),"Comte Armand, Volnay Premier Cru, Fremiets")</f>
        <v>Comte Armand, Volnay Premier Cru, Fremiets</v>
      </c>
      <c r="E816" s="9">
        <f>IFERROR(__xludf.DUMMYFUNCTION("""COMPUTED_VALUE"""),2015.0)</f>
        <v>2015</v>
      </c>
      <c r="F816" s="9">
        <f>IFERROR(__xludf.DUMMYFUNCTION("""COMPUTED_VALUE"""),750.0)</f>
        <v>750</v>
      </c>
      <c r="G816" s="9">
        <f>IFERROR(__xludf.DUMMYFUNCTION("""COMPUTED_VALUE"""),6.0)</f>
        <v>6</v>
      </c>
      <c r="H816" s="10">
        <f>IFERROR(__xludf.DUMMYFUNCTION("""COMPUTED_VALUE"""),2.0)</f>
        <v>2</v>
      </c>
      <c r="I816" s="11">
        <f>IFERROR(__xludf.DUMMYFUNCTION("""COMPUTED_VALUE"""),532.0)</f>
        <v>532</v>
      </c>
      <c r="J816" s="9" t="str">
        <f>IFERROR(__xludf.DUMMYFUNCTION("""COMPUTED_VALUE"""),"UK")</f>
        <v>UK</v>
      </c>
      <c r="K816" s="8"/>
      <c r="L816" s="12"/>
      <c r="M816" s="13"/>
      <c r="N816" s="13" t="str">
        <f>IFERROR(__xludf.DUMMYFUNCTION("IF(ISBLANK(M816),"""",M816*GOOGLEFINANCE(""USDGBP""))"),"")</f>
        <v/>
      </c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</row>
    <row r="817">
      <c r="A817" s="8" t="str">
        <f>IFERROR(__xludf.DUMMYFUNCTION("""COMPUTED_VALUE"""),"102654020160600750")</f>
        <v>102654020160600750</v>
      </c>
      <c r="B817" s="9" t="str">
        <f>IFERROR(__xludf.DUMMYFUNCTION("""COMPUTED_VALUE"""),"France")</f>
        <v>France</v>
      </c>
      <c r="C817" s="9" t="str">
        <f>IFERROR(__xludf.DUMMYFUNCTION("""COMPUTED_VALUE"""),"burgundy")</f>
        <v>burgundy</v>
      </c>
      <c r="D817" s="9" t="str">
        <f>IFERROR(__xludf.DUMMYFUNCTION("""COMPUTED_VALUE"""),"Comte Armand, Volnay Premier Cru, Fremiets")</f>
        <v>Comte Armand, Volnay Premier Cru, Fremiets</v>
      </c>
      <c r="E817" s="9">
        <f>IFERROR(__xludf.DUMMYFUNCTION("""COMPUTED_VALUE"""),2016.0)</f>
        <v>2016</v>
      </c>
      <c r="F817" s="9">
        <f>IFERROR(__xludf.DUMMYFUNCTION("""COMPUTED_VALUE"""),750.0)</f>
        <v>750</v>
      </c>
      <c r="G817" s="9">
        <f>IFERROR(__xludf.DUMMYFUNCTION("""COMPUTED_VALUE"""),6.0)</f>
        <v>6</v>
      </c>
      <c r="H817" s="10">
        <f>IFERROR(__xludf.DUMMYFUNCTION("""COMPUTED_VALUE"""),1.0)</f>
        <v>1</v>
      </c>
      <c r="I817" s="11">
        <f>IFERROR(__xludf.DUMMYFUNCTION("""COMPUTED_VALUE"""),458.0)</f>
        <v>458</v>
      </c>
      <c r="J817" s="9" t="str">
        <f>IFERROR(__xludf.DUMMYFUNCTION("""COMPUTED_VALUE"""),"UK")</f>
        <v>UK</v>
      </c>
      <c r="K817" s="8"/>
      <c r="L817" s="12"/>
      <c r="M817" s="13"/>
      <c r="N817" s="13" t="str">
        <f>IFERROR(__xludf.DUMMYFUNCTION("IF(ISBLANK(M817),"""",M817*GOOGLEFINANCE(""USDGBP""))"),"")</f>
        <v/>
      </c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</row>
    <row r="818">
      <c r="A818" s="8" t="str">
        <f>IFERROR(__xludf.DUMMYFUNCTION("""COMPUTED_VALUE"""),"136211820180301500")</f>
        <v>136211820180301500</v>
      </c>
      <c r="B818" s="9" t="str">
        <f>IFERROR(__xludf.DUMMYFUNCTION("""COMPUTED_VALUE"""),"France")</f>
        <v>France</v>
      </c>
      <c r="C818" s="9" t="str">
        <f>IFERROR(__xludf.DUMMYFUNCTION("""COMPUTED_VALUE"""),"burgundy")</f>
        <v>burgundy</v>
      </c>
      <c r="D818" s="9" t="str">
        <f>IFERROR(__xludf.DUMMYFUNCTION("""COMPUTED_VALUE"""),"Comtesse Cherisey, Blagny Premier Cru, La Genelotte")</f>
        <v>Comtesse Cherisey, Blagny Premier Cru, La Genelotte</v>
      </c>
      <c r="E818" s="9">
        <f>IFERROR(__xludf.DUMMYFUNCTION("""COMPUTED_VALUE"""),2018.0)</f>
        <v>2018</v>
      </c>
      <c r="F818" s="9">
        <f>IFERROR(__xludf.DUMMYFUNCTION("""COMPUTED_VALUE"""),1500.0)</f>
        <v>1500</v>
      </c>
      <c r="G818" s="9">
        <f>IFERROR(__xludf.DUMMYFUNCTION("""COMPUTED_VALUE"""),3.0)</f>
        <v>3</v>
      </c>
      <c r="H818" s="10">
        <f>IFERROR(__xludf.DUMMYFUNCTION("""COMPUTED_VALUE"""),1.0)</f>
        <v>1</v>
      </c>
      <c r="I818" s="11">
        <f>IFERROR(__xludf.DUMMYFUNCTION("""COMPUTED_VALUE"""),509.0)</f>
        <v>509</v>
      </c>
      <c r="J818" s="9" t="str">
        <f>IFERROR(__xludf.DUMMYFUNCTION("""COMPUTED_VALUE"""),"UK")</f>
        <v>UK</v>
      </c>
      <c r="K818" s="8"/>
      <c r="L818" s="12"/>
      <c r="M818" s="13"/>
      <c r="N818" s="13" t="str">
        <f>IFERROR(__xludf.DUMMYFUNCTION("IF(ISBLANK(M818),"""",M818*GOOGLEFINANCE(""USDGBP""))"),"")</f>
        <v/>
      </c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</row>
    <row r="819">
      <c r="A819" s="8" t="str">
        <f>IFERROR(__xludf.DUMMYFUNCTION("""COMPUTED_VALUE"""),"102005620120600750")</f>
        <v>102005620120600750</v>
      </c>
      <c r="B819" s="9" t="str">
        <f>IFERROR(__xludf.DUMMYFUNCTION("""COMPUTED_VALUE"""),"France")</f>
        <v>France</v>
      </c>
      <c r="C819" s="9" t="str">
        <f>IFERROR(__xludf.DUMMYFUNCTION("""COMPUTED_VALUE"""),"burgundy")</f>
        <v>burgundy</v>
      </c>
      <c r="D819" s="9" t="str">
        <f>IFERROR(__xludf.DUMMYFUNCTION("""COMPUTED_VALUE"""),"Domaine Albert Bichot (Clos Frantin), Echezeaux Grand Cru, Clos Frantin")</f>
        <v>Domaine Albert Bichot (Clos Frantin), Echezeaux Grand Cru, Clos Frantin</v>
      </c>
      <c r="E819" s="9">
        <f>IFERROR(__xludf.DUMMYFUNCTION("""COMPUTED_VALUE"""),2012.0)</f>
        <v>2012</v>
      </c>
      <c r="F819" s="9">
        <f>IFERROR(__xludf.DUMMYFUNCTION("""COMPUTED_VALUE"""),750.0)</f>
        <v>750</v>
      </c>
      <c r="G819" s="9">
        <f>IFERROR(__xludf.DUMMYFUNCTION("""COMPUTED_VALUE"""),6.0)</f>
        <v>6</v>
      </c>
      <c r="H819" s="10">
        <f>IFERROR(__xludf.DUMMYFUNCTION("""COMPUTED_VALUE"""),1.0)</f>
        <v>1</v>
      </c>
      <c r="I819" s="11">
        <f>IFERROR(__xludf.DUMMYFUNCTION("""COMPUTED_VALUE"""),1135.0)</f>
        <v>1135</v>
      </c>
      <c r="J819" s="9" t="str">
        <f>IFERROR(__xludf.DUMMYFUNCTION("""COMPUTED_VALUE"""),"UK")</f>
        <v>UK</v>
      </c>
      <c r="K819" s="8"/>
      <c r="L819" s="12"/>
      <c r="M819" s="13"/>
      <c r="N819" s="13" t="str">
        <f>IFERROR(__xludf.DUMMYFUNCTION("IF(ISBLANK(M819),"""",M819*GOOGLEFINANCE(""USDGBP""))"),"")</f>
        <v/>
      </c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</row>
    <row r="820">
      <c r="A820" s="8" t="str">
        <f>IFERROR(__xludf.DUMMYFUNCTION("""COMPUTED_VALUE"""),"102005620190600750")</f>
        <v>102005620190600750</v>
      </c>
      <c r="B820" s="9" t="str">
        <f>IFERROR(__xludf.DUMMYFUNCTION("""COMPUTED_VALUE"""),"France")</f>
        <v>France</v>
      </c>
      <c r="C820" s="9" t="str">
        <f>IFERROR(__xludf.DUMMYFUNCTION("""COMPUTED_VALUE"""),"burgundy")</f>
        <v>burgundy</v>
      </c>
      <c r="D820" s="9" t="str">
        <f>IFERROR(__xludf.DUMMYFUNCTION("""COMPUTED_VALUE"""),"Domaine Albert Bichot (Clos Frantin), Echezeaux Grand Cru, Clos Frantin")</f>
        <v>Domaine Albert Bichot (Clos Frantin), Echezeaux Grand Cru, Clos Frantin</v>
      </c>
      <c r="E820" s="9">
        <f>IFERROR(__xludf.DUMMYFUNCTION("""COMPUTED_VALUE"""),2019.0)</f>
        <v>2019</v>
      </c>
      <c r="F820" s="9">
        <f>IFERROR(__xludf.DUMMYFUNCTION("""COMPUTED_VALUE"""),750.0)</f>
        <v>750</v>
      </c>
      <c r="G820" s="9">
        <f>IFERROR(__xludf.DUMMYFUNCTION("""COMPUTED_VALUE"""),6.0)</f>
        <v>6</v>
      </c>
      <c r="H820" s="10">
        <f>IFERROR(__xludf.DUMMYFUNCTION("""COMPUTED_VALUE"""),1.0)</f>
        <v>1</v>
      </c>
      <c r="I820" s="11">
        <f>IFERROR(__xludf.DUMMYFUNCTION("""COMPUTED_VALUE"""),1091.0)</f>
        <v>1091</v>
      </c>
      <c r="J820" s="9" t="str">
        <f>IFERROR(__xludf.DUMMYFUNCTION("""COMPUTED_VALUE"""),"UK")</f>
        <v>UK</v>
      </c>
      <c r="K820" s="8"/>
      <c r="L820" s="12"/>
      <c r="M820" s="13"/>
      <c r="N820" s="13" t="str">
        <f>IFERROR(__xludf.DUMMYFUNCTION("IF(ISBLANK(M820),"""",M820*GOOGLEFINANCE(""USDGBP""))"),"")</f>
        <v/>
      </c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</row>
    <row r="821">
      <c r="A821" s="8" t="str">
        <f>IFERROR(__xludf.DUMMYFUNCTION("""COMPUTED_VALUE"""),"102008520190600750")</f>
        <v>102008520190600750</v>
      </c>
      <c r="B821" s="9" t="str">
        <f>IFERROR(__xludf.DUMMYFUNCTION("""COMPUTED_VALUE"""),"France")</f>
        <v>France</v>
      </c>
      <c r="C821" s="9" t="str">
        <f>IFERROR(__xludf.DUMMYFUNCTION("""COMPUTED_VALUE"""),"burgundy")</f>
        <v>burgundy</v>
      </c>
      <c r="D821" s="9" t="str">
        <f>IFERROR(__xludf.DUMMYFUNCTION("""COMPUTED_VALUE"""),"Domaine Albert Bichot (Clos Frantin), Richebourg Grand Cru")</f>
        <v>Domaine Albert Bichot (Clos Frantin), Richebourg Grand Cru</v>
      </c>
      <c r="E821" s="9">
        <f>IFERROR(__xludf.DUMMYFUNCTION("""COMPUTED_VALUE"""),2019.0)</f>
        <v>2019</v>
      </c>
      <c r="F821" s="9">
        <f>IFERROR(__xludf.DUMMYFUNCTION("""COMPUTED_VALUE"""),750.0)</f>
        <v>750</v>
      </c>
      <c r="G821" s="9">
        <f>IFERROR(__xludf.DUMMYFUNCTION("""COMPUTED_VALUE"""),6.0)</f>
        <v>6</v>
      </c>
      <c r="H821" s="10">
        <f>IFERROR(__xludf.DUMMYFUNCTION("""COMPUTED_VALUE"""),1.0)</f>
        <v>1</v>
      </c>
      <c r="I821" s="11">
        <f>IFERROR(__xludf.DUMMYFUNCTION("""COMPUTED_VALUE"""),3919.0)</f>
        <v>3919</v>
      </c>
      <c r="J821" s="9" t="str">
        <f>IFERROR(__xludf.DUMMYFUNCTION("""COMPUTED_VALUE"""),"UK")</f>
        <v>UK</v>
      </c>
      <c r="K821" s="8"/>
      <c r="L821" s="12"/>
      <c r="M821" s="13"/>
      <c r="N821" s="13" t="str">
        <f>IFERROR(__xludf.DUMMYFUNCTION("IF(ISBLANK(M821),"""",M821*GOOGLEFINANCE(""USDGBP""))"),"")</f>
        <v/>
      </c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</row>
    <row r="822">
      <c r="A822" s="8" t="str">
        <f>IFERROR(__xludf.DUMMYFUNCTION("""COMPUTED_VALUE"""),"114337920180600750")</f>
        <v>114337920180600750</v>
      </c>
      <c r="B822" s="9" t="str">
        <f>IFERROR(__xludf.DUMMYFUNCTION("""COMPUTED_VALUE"""),"France")</f>
        <v>France</v>
      </c>
      <c r="C822" s="9" t="str">
        <f>IFERROR(__xludf.DUMMYFUNCTION("""COMPUTED_VALUE"""),"burgundy")</f>
        <v>burgundy</v>
      </c>
      <c r="D822" s="9" t="str">
        <f>IFERROR(__xludf.DUMMYFUNCTION("""COMPUTED_VALUE"""),"Domaine Albert Bichot (Clos Frantin), Vosne-Romanee Premier Cru, Aux Malconsorts")</f>
        <v>Domaine Albert Bichot (Clos Frantin), Vosne-Romanee Premier Cru, Aux Malconsorts</v>
      </c>
      <c r="E822" s="9">
        <f>IFERROR(__xludf.DUMMYFUNCTION("""COMPUTED_VALUE"""),2018.0)</f>
        <v>2018</v>
      </c>
      <c r="F822" s="9">
        <f>IFERROR(__xludf.DUMMYFUNCTION("""COMPUTED_VALUE"""),750.0)</f>
        <v>750</v>
      </c>
      <c r="G822" s="9">
        <f>IFERROR(__xludf.DUMMYFUNCTION("""COMPUTED_VALUE"""),6.0)</f>
        <v>6</v>
      </c>
      <c r="H822" s="10">
        <f>IFERROR(__xludf.DUMMYFUNCTION("""COMPUTED_VALUE"""),2.0)</f>
        <v>2</v>
      </c>
      <c r="I822" s="11">
        <f>IFERROR(__xludf.DUMMYFUNCTION("""COMPUTED_VALUE"""),733.0)</f>
        <v>733</v>
      </c>
      <c r="J822" s="9" t="str">
        <f>IFERROR(__xludf.DUMMYFUNCTION("""COMPUTED_VALUE"""),"UK")</f>
        <v>UK</v>
      </c>
      <c r="K822" s="8"/>
      <c r="L822" s="12"/>
      <c r="M822" s="13"/>
      <c r="N822" s="13" t="str">
        <f>IFERROR(__xludf.DUMMYFUNCTION("IF(ISBLANK(M822),"""",M822*GOOGLEFINANCE(""USDGBP""))"),"")</f>
        <v/>
      </c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</row>
    <row r="823">
      <c r="A823" s="8" t="str">
        <f>IFERROR(__xludf.DUMMYFUNCTION("""COMPUTED_VALUE"""),"114337920190600750")</f>
        <v>114337920190600750</v>
      </c>
      <c r="B823" s="9" t="str">
        <f>IFERROR(__xludf.DUMMYFUNCTION("""COMPUTED_VALUE"""),"France")</f>
        <v>France</v>
      </c>
      <c r="C823" s="9" t="str">
        <f>IFERROR(__xludf.DUMMYFUNCTION("""COMPUTED_VALUE"""),"burgundy")</f>
        <v>burgundy</v>
      </c>
      <c r="D823" s="9" t="str">
        <f>IFERROR(__xludf.DUMMYFUNCTION("""COMPUTED_VALUE"""),"Domaine Albert Bichot (Clos Frantin), Vosne-Romanee Premier Cru, Aux Malconsorts")</f>
        <v>Domaine Albert Bichot (Clos Frantin), Vosne-Romanee Premier Cru, Aux Malconsorts</v>
      </c>
      <c r="E823" s="9">
        <f>IFERROR(__xludf.DUMMYFUNCTION("""COMPUTED_VALUE"""),2019.0)</f>
        <v>2019</v>
      </c>
      <c r="F823" s="9">
        <f>IFERROR(__xludf.DUMMYFUNCTION("""COMPUTED_VALUE"""),750.0)</f>
        <v>750</v>
      </c>
      <c r="G823" s="9">
        <f>IFERROR(__xludf.DUMMYFUNCTION("""COMPUTED_VALUE"""),6.0)</f>
        <v>6</v>
      </c>
      <c r="H823" s="10">
        <f>IFERROR(__xludf.DUMMYFUNCTION("""COMPUTED_VALUE"""),1.0)</f>
        <v>1</v>
      </c>
      <c r="I823" s="11">
        <f>IFERROR(__xludf.DUMMYFUNCTION("""COMPUTED_VALUE"""),845.0)</f>
        <v>845</v>
      </c>
      <c r="J823" s="9" t="str">
        <f>IFERROR(__xludf.DUMMYFUNCTION("""COMPUTED_VALUE"""),"UK")</f>
        <v>UK</v>
      </c>
      <c r="K823" s="8"/>
      <c r="L823" s="12"/>
      <c r="M823" s="13"/>
      <c r="N823" s="13" t="str">
        <f>IFERROR(__xludf.DUMMYFUNCTION("IF(ISBLANK(M823),"""",M823*GOOGLEFINANCE(""USDGBP""))"),"")</f>
        <v/>
      </c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</row>
    <row r="824">
      <c r="A824" s="8" t="str">
        <f>IFERROR(__xludf.DUMMYFUNCTION("""COMPUTED_VALUE"""),"103601120180600750")</f>
        <v>103601120180600750</v>
      </c>
      <c r="B824" s="9" t="str">
        <f>IFERROR(__xludf.DUMMYFUNCTION("""COMPUTED_VALUE"""),"France")</f>
        <v>France</v>
      </c>
      <c r="C824" s="9" t="str">
        <f>IFERROR(__xludf.DUMMYFUNCTION("""COMPUTED_VALUE"""),"burgundy")</f>
        <v>burgundy</v>
      </c>
      <c r="D824" s="9" t="str">
        <f>IFERROR(__xludf.DUMMYFUNCTION("""COMPUTED_VALUE"""),"Domaine Anne Gros, Chambolle-Musigny, La Combe d'Orveau")</f>
        <v>Domaine Anne Gros, Chambolle-Musigny, La Combe d'Orveau</v>
      </c>
      <c r="E824" s="9">
        <f>IFERROR(__xludf.DUMMYFUNCTION("""COMPUTED_VALUE"""),2018.0)</f>
        <v>2018</v>
      </c>
      <c r="F824" s="9">
        <f>IFERROR(__xludf.DUMMYFUNCTION("""COMPUTED_VALUE"""),750.0)</f>
        <v>750</v>
      </c>
      <c r="G824" s="9">
        <f>IFERROR(__xludf.DUMMYFUNCTION("""COMPUTED_VALUE"""),6.0)</f>
        <v>6</v>
      </c>
      <c r="H824" s="10">
        <f>IFERROR(__xludf.DUMMYFUNCTION("""COMPUTED_VALUE"""),1.0)</f>
        <v>1</v>
      </c>
      <c r="I824" s="11">
        <f>IFERROR(__xludf.DUMMYFUNCTION("""COMPUTED_VALUE"""),626.0)</f>
        <v>626</v>
      </c>
      <c r="J824" s="9" t="str">
        <f>IFERROR(__xludf.DUMMYFUNCTION("""COMPUTED_VALUE"""),"UK")</f>
        <v>UK</v>
      </c>
      <c r="K824" s="8"/>
      <c r="L824" s="12"/>
      <c r="M824" s="13"/>
      <c r="N824" s="13" t="str">
        <f>IFERROR(__xludf.DUMMYFUNCTION("IF(ISBLANK(M824),"""",M824*GOOGLEFINANCE(""USDGBP""))"),"")</f>
        <v/>
      </c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</row>
    <row r="825">
      <c r="A825" s="8" t="str">
        <f>IFERROR(__xludf.DUMMYFUNCTION("""COMPUTED_VALUE"""),"103601120190600750")</f>
        <v>103601120190600750</v>
      </c>
      <c r="B825" s="9" t="str">
        <f>IFERROR(__xludf.DUMMYFUNCTION("""COMPUTED_VALUE"""),"France")</f>
        <v>France</v>
      </c>
      <c r="C825" s="9" t="str">
        <f>IFERROR(__xludf.DUMMYFUNCTION("""COMPUTED_VALUE"""),"burgundy")</f>
        <v>burgundy</v>
      </c>
      <c r="D825" s="9" t="str">
        <f>IFERROR(__xludf.DUMMYFUNCTION("""COMPUTED_VALUE"""),"Domaine Anne Gros, Chambolle-Musigny, La Combe d'Orveau")</f>
        <v>Domaine Anne Gros, Chambolle-Musigny, La Combe d'Orveau</v>
      </c>
      <c r="E825" s="9">
        <f>IFERROR(__xludf.DUMMYFUNCTION("""COMPUTED_VALUE"""),2019.0)</f>
        <v>2019</v>
      </c>
      <c r="F825" s="9">
        <f>IFERROR(__xludf.DUMMYFUNCTION("""COMPUTED_VALUE"""),750.0)</f>
        <v>750</v>
      </c>
      <c r="G825" s="9">
        <f>IFERROR(__xludf.DUMMYFUNCTION("""COMPUTED_VALUE"""),6.0)</f>
        <v>6</v>
      </c>
      <c r="H825" s="10">
        <f>IFERROR(__xludf.DUMMYFUNCTION("""COMPUTED_VALUE"""),1.0)</f>
        <v>1</v>
      </c>
      <c r="I825" s="11">
        <f>IFERROR(__xludf.DUMMYFUNCTION("""COMPUTED_VALUE"""),771.0)</f>
        <v>771</v>
      </c>
      <c r="J825" s="9" t="str">
        <f>IFERROR(__xludf.DUMMYFUNCTION("""COMPUTED_VALUE"""),"UK")</f>
        <v>UK</v>
      </c>
      <c r="K825" s="8"/>
      <c r="L825" s="12"/>
      <c r="M825" s="13"/>
      <c r="N825" s="13" t="str">
        <f>IFERROR(__xludf.DUMMYFUNCTION("IF(ISBLANK(M825),"""",M825*GOOGLEFINANCE(""USDGBP""))"),"")</f>
        <v/>
      </c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</row>
    <row r="826">
      <c r="A826" s="8" t="str">
        <f>IFERROR(__xludf.DUMMYFUNCTION("""COMPUTED_VALUE"""),"103603720170600750")</f>
        <v>103603720170600750</v>
      </c>
      <c r="B826" s="9" t="str">
        <f>IFERROR(__xludf.DUMMYFUNCTION("""COMPUTED_VALUE"""),"France")</f>
        <v>France</v>
      </c>
      <c r="C826" s="9" t="str">
        <f>IFERROR(__xludf.DUMMYFUNCTION("""COMPUTED_VALUE"""),"burgundy")</f>
        <v>burgundy</v>
      </c>
      <c r="D826" s="9" t="str">
        <f>IFERROR(__xludf.DUMMYFUNCTION("""COMPUTED_VALUE"""),"Domaine Anne Gros, Clos de Vougeot Grand Cru, Le Grand Maupertui")</f>
        <v>Domaine Anne Gros, Clos de Vougeot Grand Cru, Le Grand Maupertui</v>
      </c>
      <c r="E826" s="9">
        <f>IFERROR(__xludf.DUMMYFUNCTION("""COMPUTED_VALUE"""),2017.0)</f>
        <v>2017</v>
      </c>
      <c r="F826" s="9">
        <f>IFERROR(__xludf.DUMMYFUNCTION("""COMPUTED_VALUE"""),750.0)</f>
        <v>750</v>
      </c>
      <c r="G826" s="9">
        <f>IFERROR(__xludf.DUMMYFUNCTION("""COMPUTED_VALUE"""),6.0)</f>
        <v>6</v>
      </c>
      <c r="H826" s="10">
        <f>IFERROR(__xludf.DUMMYFUNCTION("""COMPUTED_VALUE"""),1.0)</f>
        <v>1</v>
      </c>
      <c r="I826" s="11">
        <f>IFERROR(__xludf.DUMMYFUNCTION("""COMPUTED_VALUE"""),1202.0)</f>
        <v>1202</v>
      </c>
      <c r="J826" s="9" t="str">
        <f>IFERROR(__xludf.DUMMYFUNCTION("""COMPUTED_VALUE"""),"UK")</f>
        <v>UK</v>
      </c>
      <c r="K826" s="8"/>
      <c r="L826" s="12"/>
      <c r="M826" s="13"/>
      <c r="N826" s="13" t="str">
        <f>IFERROR(__xludf.DUMMYFUNCTION("IF(ISBLANK(M826),"""",M826*GOOGLEFINANCE(""USDGBP""))"),"")</f>
        <v/>
      </c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</row>
    <row r="827">
      <c r="A827" s="8" t="str">
        <f>IFERROR(__xludf.DUMMYFUNCTION("""COMPUTED_VALUE"""),"103603720180600750")</f>
        <v>103603720180600750</v>
      </c>
      <c r="B827" s="9" t="str">
        <f>IFERROR(__xludf.DUMMYFUNCTION("""COMPUTED_VALUE"""),"France")</f>
        <v>France</v>
      </c>
      <c r="C827" s="9" t="str">
        <f>IFERROR(__xludf.DUMMYFUNCTION("""COMPUTED_VALUE"""),"burgundy")</f>
        <v>burgundy</v>
      </c>
      <c r="D827" s="9" t="str">
        <f>IFERROR(__xludf.DUMMYFUNCTION("""COMPUTED_VALUE"""),"Domaine Anne Gros, Clos de Vougeot Grand Cru, Le Grand Maupertui")</f>
        <v>Domaine Anne Gros, Clos de Vougeot Grand Cru, Le Grand Maupertui</v>
      </c>
      <c r="E827" s="9">
        <f>IFERROR(__xludf.DUMMYFUNCTION("""COMPUTED_VALUE"""),2018.0)</f>
        <v>2018</v>
      </c>
      <c r="F827" s="9">
        <f>IFERROR(__xludf.DUMMYFUNCTION("""COMPUTED_VALUE"""),750.0)</f>
        <v>750</v>
      </c>
      <c r="G827" s="9">
        <f>IFERROR(__xludf.DUMMYFUNCTION("""COMPUTED_VALUE"""),6.0)</f>
        <v>6</v>
      </c>
      <c r="H827" s="10">
        <f>IFERROR(__xludf.DUMMYFUNCTION("""COMPUTED_VALUE"""),2.0)</f>
        <v>2</v>
      </c>
      <c r="I827" s="11">
        <f>IFERROR(__xludf.DUMMYFUNCTION("""COMPUTED_VALUE"""),1377.0)</f>
        <v>1377</v>
      </c>
      <c r="J827" s="9" t="str">
        <f>IFERROR(__xludf.DUMMYFUNCTION("""COMPUTED_VALUE"""),"UK")</f>
        <v>UK</v>
      </c>
      <c r="K827" s="8"/>
      <c r="L827" s="12"/>
      <c r="M827" s="13"/>
      <c r="N827" s="13" t="str">
        <f>IFERROR(__xludf.DUMMYFUNCTION("IF(ISBLANK(M827),"""",M827*GOOGLEFINANCE(""USDGBP""))"),"")</f>
        <v/>
      </c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</row>
    <row r="828">
      <c r="A828" s="8" t="str">
        <f>IFERROR(__xludf.DUMMYFUNCTION("""COMPUTED_VALUE"""),"103605320170600750")</f>
        <v>103605320170600750</v>
      </c>
      <c r="B828" s="9" t="str">
        <f>IFERROR(__xludf.DUMMYFUNCTION("""COMPUTED_VALUE"""),"France")</f>
        <v>France</v>
      </c>
      <c r="C828" s="9" t="str">
        <f>IFERROR(__xludf.DUMMYFUNCTION("""COMPUTED_VALUE"""),"burgundy")</f>
        <v>burgundy</v>
      </c>
      <c r="D828" s="9" t="str">
        <f>IFERROR(__xludf.DUMMYFUNCTION("""COMPUTED_VALUE"""),"Domaine Anne Gros, Echezeaux Grand Cru, Les Loachausses")</f>
        <v>Domaine Anne Gros, Echezeaux Grand Cru, Les Loachausses</v>
      </c>
      <c r="E828" s="9">
        <f>IFERROR(__xludf.DUMMYFUNCTION("""COMPUTED_VALUE"""),2017.0)</f>
        <v>2017</v>
      </c>
      <c r="F828" s="9">
        <f>IFERROR(__xludf.DUMMYFUNCTION("""COMPUTED_VALUE"""),750.0)</f>
        <v>750</v>
      </c>
      <c r="G828" s="9">
        <f>IFERROR(__xludf.DUMMYFUNCTION("""COMPUTED_VALUE"""),6.0)</f>
        <v>6</v>
      </c>
      <c r="H828" s="10">
        <f>IFERROR(__xludf.DUMMYFUNCTION("""COMPUTED_VALUE"""),1.0)</f>
        <v>1</v>
      </c>
      <c r="I828" s="11">
        <f>IFERROR(__xludf.DUMMYFUNCTION("""COMPUTED_VALUE"""),1573.0)</f>
        <v>1573</v>
      </c>
      <c r="J828" s="9" t="str">
        <f>IFERROR(__xludf.DUMMYFUNCTION("""COMPUTED_VALUE"""),"UK")</f>
        <v>UK</v>
      </c>
      <c r="K828" s="8"/>
      <c r="L828" s="12"/>
      <c r="M828" s="13"/>
      <c r="N828" s="13" t="str">
        <f>IFERROR(__xludf.DUMMYFUNCTION("IF(ISBLANK(M828),"""",M828*GOOGLEFINANCE(""USDGBP""))"),"")</f>
        <v/>
      </c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</row>
    <row r="829">
      <c r="A829" s="8" t="str">
        <f>IFERROR(__xludf.DUMMYFUNCTION("""COMPUTED_VALUE"""),"103605320180600750")</f>
        <v>103605320180600750</v>
      </c>
      <c r="B829" s="9" t="str">
        <f>IFERROR(__xludf.DUMMYFUNCTION("""COMPUTED_VALUE"""),"France")</f>
        <v>France</v>
      </c>
      <c r="C829" s="9" t="str">
        <f>IFERROR(__xludf.DUMMYFUNCTION("""COMPUTED_VALUE"""),"burgundy")</f>
        <v>burgundy</v>
      </c>
      <c r="D829" s="9" t="str">
        <f>IFERROR(__xludf.DUMMYFUNCTION("""COMPUTED_VALUE"""),"Domaine Anne Gros, Echezeaux Grand Cru, Les Loachausses")</f>
        <v>Domaine Anne Gros, Echezeaux Grand Cru, Les Loachausses</v>
      </c>
      <c r="E829" s="9">
        <f>IFERROR(__xludf.DUMMYFUNCTION("""COMPUTED_VALUE"""),2018.0)</f>
        <v>2018</v>
      </c>
      <c r="F829" s="9">
        <f>IFERROR(__xludf.DUMMYFUNCTION("""COMPUTED_VALUE"""),750.0)</f>
        <v>750</v>
      </c>
      <c r="G829" s="9">
        <f>IFERROR(__xludf.DUMMYFUNCTION("""COMPUTED_VALUE"""),6.0)</f>
        <v>6</v>
      </c>
      <c r="H829" s="10">
        <f>IFERROR(__xludf.DUMMYFUNCTION("""COMPUTED_VALUE"""),1.0)</f>
        <v>1</v>
      </c>
      <c r="I829" s="11">
        <f>IFERROR(__xludf.DUMMYFUNCTION("""COMPUTED_VALUE"""),1938.0)</f>
        <v>1938</v>
      </c>
      <c r="J829" s="9" t="str">
        <f>IFERROR(__xludf.DUMMYFUNCTION("""COMPUTED_VALUE"""),"UK")</f>
        <v>UK</v>
      </c>
      <c r="K829" s="8"/>
      <c r="L829" s="12"/>
      <c r="M829" s="13"/>
      <c r="N829" s="13" t="str">
        <f>IFERROR(__xludf.DUMMYFUNCTION("IF(ISBLANK(M829),"""",M829*GOOGLEFINANCE(""USDGBP""))"),"")</f>
        <v/>
      </c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</row>
    <row r="830">
      <c r="A830" s="8" t="str">
        <f>IFERROR(__xludf.DUMMYFUNCTION("""COMPUTED_VALUE"""),"103619620120600750")</f>
        <v>103619620120600750</v>
      </c>
      <c r="B830" s="9" t="str">
        <f>IFERROR(__xludf.DUMMYFUNCTION("""COMPUTED_VALUE"""),"France")</f>
        <v>France</v>
      </c>
      <c r="C830" s="9" t="str">
        <f>IFERROR(__xludf.DUMMYFUNCTION("""COMPUTED_VALUE"""),"burgundy")</f>
        <v>burgundy</v>
      </c>
      <c r="D830" s="9" t="str">
        <f>IFERROR(__xludf.DUMMYFUNCTION("""COMPUTED_VALUE"""),"Domaine Anne-Francoise Gros, Echezeaux Grand Cru")</f>
        <v>Domaine Anne-Francoise Gros, Echezeaux Grand Cru</v>
      </c>
      <c r="E830" s="9">
        <f>IFERROR(__xludf.DUMMYFUNCTION("""COMPUTED_VALUE"""),2012.0)</f>
        <v>2012</v>
      </c>
      <c r="F830" s="9">
        <f>IFERROR(__xludf.DUMMYFUNCTION("""COMPUTED_VALUE"""),750.0)</f>
        <v>750</v>
      </c>
      <c r="G830" s="9">
        <f>IFERROR(__xludf.DUMMYFUNCTION("""COMPUTED_VALUE"""),6.0)</f>
        <v>6</v>
      </c>
      <c r="H830" s="10">
        <f>IFERROR(__xludf.DUMMYFUNCTION("""COMPUTED_VALUE"""),1.0)</f>
        <v>1</v>
      </c>
      <c r="I830" s="11">
        <f>IFERROR(__xludf.DUMMYFUNCTION("""COMPUTED_VALUE"""),2188.0)</f>
        <v>2188</v>
      </c>
      <c r="J830" s="9" t="str">
        <f>IFERROR(__xludf.DUMMYFUNCTION("""COMPUTED_VALUE"""),"UK")</f>
        <v>UK</v>
      </c>
      <c r="K830" s="8"/>
      <c r="L830" s="12"/>
      <c r="M830" s="13"/>
      <c r="N830" s="13" t="str">
        <f>IFERROR(__xludf.DUMMYFUNCTION("IF(ISBLANK(M830),"""",M830*GOOGLEFINANCE(""USDGBP""))"),"")</f>
        <v/>
      </c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</row>
    <row r="831">
      <c r="A831" s="8" t="str">
        <f>IFERROR(__xludf.DUMMYFUNCTION("""COMPUTED_VALUE"""),"142485420171200750")</f>
        <v>142485420171200750</v>
      </c>
      <c r="B831" s="9" t="str">
        <f>IFERROR(__xludf.DUMMYFUNCTION("""COMPUTED_VALUE"""),"France")</f>
        <v>France</v>
      </c>
      <c r="C831" s="9" t="str">
        <f>IFERROR(__xludf.DUMMYFUNCTION("""COMPUTED_VALUE"""),"burgundy")</f>
        <v>burgundy</v>
      </c>
      <c r="D831" s="9" t="str">
        <f>IFERROR(__xludf.DUMMYFUNCTION("""COMPUTED_VALUE"""),"Domaine Anne-Francoise Gros, Pommard Premier Cru, Les Chanlins")</f>
        <v>Domaine Anne-Francoise Gros, Pommard Premier Cru, Les Chanlins</v>
      </c>
      <c r="E831" s="9">
        <f>IFERROR(__xludf.DUMMYFUNCTION("""COMPUTED_VALUE"""),2017.0)</f>
        <v>2017</v>
      </c>
      <c r="F831" s="9">
        <f>IFERROR(__xludf.DUMMYFUNCTION("""COMPUTED_VALUE"""),750.0)</f>
        <v>750</v>
      </c>
      <c r="G831" s="9">
        <f>IFERROR(__xludf.DUMMYFUNCTION("""COMPUTED_VALUE"""),12.0)</f>
        <v>12</v>
      </c>
      <c r="H831" s="10">
        <f>IFERROR(__xludf.DUMMYFUNCTION("""COMPUTED_VALUE"""),3.0)</f>
        <v>3</v>
      </c>
      <c r="I831" s="11">
        <f>IFERROR(__xludf.DUMMYFUNCTION("""COMPUTED_VALUE"""),916.0)</f>
        <v>916</v>
      </c>
      <c r="J831" s="9" t="str">
        <f>IFERROR(__xludf.DUMMYFUNCTION("""COMPUTED_VALUE"""),"UK")</f>
        <v>UK</v>
      </c>
      <c r="K831" s="8"/>
      <c r="L831" s="12"/>
      <c r="M831" s="13"/>
      <c r="N831" s="13" t="str">
        <f>IFERROR(__xludf.DUMMYFUNCTION("IF(ISBLANK(M831),"""",M831*GOOGLEFINANCE(""USDGBP""))"),"")</f>
        <v/>
      </c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</row>
    <row r="832">
      <c r="A832" s="8" t="str">
        <f>IFERROR(__xludf.DUMMYFUNCTION("""COMPUTED_VALUE"""),"103624220170300750")</f>
        <v>103624220170300750</v>
      </c>
      <c r="B832" s="9" t="str">
        <f>IFERROR(__xludf.DUMMYFUNCTION("""COMPUTED_VALUE"""),"France")</f>
        <v>France</v>
      </c>
      <c r="C832" s="9" t="str">
        <f>IFERROR(__xludf.DUMMYFUNCTION("""COMPUTED_VALUE"""),"burgundy")</f>
        <v>burgundy</v>
      </c>
      <c r="D832" s="9" t="str">
        <f>IFERROR(__xludf.DUMMYFUNCTION("""COMPUTED_VALUE"""),"Domaine Anne-Francoise Gros, Richebourg Grand Cru")</f>
        <v>Domaine Anne-Francoise Gros, Richebourg Grand Cru</v>
      </c>
      <c r="E832" s="9">
        <f>IFERROR(__xludf.DUMMYFUNCTION("""COMPUTED_VALUE"""),2017.0)</f>
        <v>2017</v>
      </c>
      <c r="F832" s="9">
        <f>IFERROR(__xludf.DUMMYFUNCTION("""COMPUTED_VALUE"""),750.0)</f>
        <v>750</v>
      </c>
      <c r="G832" s="9">
        <f>IFERROR(__xludf.DUMMYFUNCTION("""COMPUTED_VALUE"""),3.0)</f>
        <v>3</v>
      </c>
      <c r="H832" s="10">
        <f>IFERROR(__xludf.DUMMYFUNCTION("""COMPUTED_VALUE"""),2.0)</f>
        <v>2</v>
      </c>
      <c r="I832" s="11">
        <f>IFERROR(__xludf.DUMMYFUNCTION("""COMPUTED_VALUE"""),1774.0)</f>
        <v>1774</v>
      </c>
      <c r="J832" s="9" t="str">
        <f>IFERROR(__xludf.DUMMYFUNCTION("""COMPUTED_VALUE"""),"UK")</f>
        <v>UK</v>
      </c>
      <c r="K832" s="8"/>
      <c r="L832" s="12"/>
      <c r="M832" s="13"/>
      <c r="N832" s="13" t="str">
        <f>IFERROR(__xludf.DUMMYFUNCTION("IF(ISBLANK(M832),"""",M832*GOOGLEFINANCE(""USDGBP""))"),"")</f>
        <v/>
      </c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</row>
    <row r="833">
      <c r="A833" s="8" t="str">
        <f>IFERROR(__xludf.DUMMYFUNCTION("""COMPUTED_VALUE"""),"170663920171200750")</f>
        <v>170663920171200750</v>
      </c>
      <c r="B833" s="9" t="str">
        <f>IFERROR(__xludf.DUMMYFUNCTION("""COMPUTED_VALUE"""),"France")</f>
        <v>France</v>
      </c>
      <c r="C833" s="9" t="str">
        <f>IFERROR(__xludf.DUMMYFUNCTION("""COMPUTED_VALUE"""),"burgundy")</f>
        <v>burgundy</v>
      </c>
      <c r="D833" s="9" t="str">
        <f>IFERROR(__xludf.DUMMYFUNCTION("""COMPUTED_VALUE"""),"Domaine Anne-Francoise Gros, Vosne-Romanee, Les Chalandins")</f>
        <v>Domaine Anne-Francoise Gros, Vosne-Romanee, Les Chalandins</v>
      </c>
      <c r="E833" s="9">
        <f>IFERROR(__xludf.DUMMYFUNCTION("""COMPUTED_VALUE"""),2017.0)</f>
        <v>2017</v>
      </c>
      <c r="F833" s="9">
        <f>IFERROR(__xludf.DUMMYFUNCTION("""COMPUTED_VALUE"""),750.0)</f>
        <v>750</v>
      </c>
      <c r="G833" s="9">
        <f>IFERROR(__xludf.DUMMYFUNCTION("""COMPUTED_VALUE"""),12.0)</f>
        <v>12</v>
      </c>
      <c r="H833" s="10">
        <f>IFERROR(__xludf.DUMMYFUNCTION("""COMPUTED_VALUE"""),1.0)</f>
        <v>1</v>
      </c>
      <c r="I833" s="11">
        <f>IFERROR(__xludf.DUMMYFUNCTION("""COMPUTED_VALUE"""),1142.0)</f>
        <v>1142</v>
      </c>
      <c r="J833" s="9" t="str">
        <f>IFERROR(__xludf.DUMMYFUNCTION("""COMPUTED_VALUE"""),"UK")</f>
        <v>UK</v>
      </c>
      <c r="K833" s="8"/>
      <c r="L833" s="12"/>
      <c r="M833" s="13"/>
      <c r="N833" s="13" t="str">
        <f>IFERROR(__xludf.DUMMYFUNCTION("IF(ISBLANK(M833),"""",M833*GOOGLEFINANCE(""USDGBP""))"),"")</f>
        <v/>
      </c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</row>
    <row r="834">
      <c r="A834" s="8" t="str">
        <f>IFERROR(__xludf.DUMMYFUNCTION("""COMPUTED_VALUE"""),"105706320170600750")</f>
        <v>105706320170600750</v>
      </c>
      <c r="B834" s="9" t="str">
        <f>IFERROR(__xludf.DUMMYFUNCTION("""COMPUTED_VALUE"""),"France")</f>
        <v>France</v>
      </c>
      <c r="C834" s="9" t="str">
        <f>IFERROR(__xludf.DUMMYFUNCTION("""COMPUTED_VALUE"""),"burgundy")</f>
        <v>burgundy</v>
      </c>
      <c r="D834" s="9" t="str">
        <f>IFERROR(__xludf.DUMMYFUNCTION("""COMPUTED_VALUE"""),"Domaine Armand Rousseau, Gevrey-Chambertin")</f>
        <v>Domaine Armand Rousseau, Gevrey-Chambertin</v>
      </c>
      <c r="E834" s="9">
        <f>IFERROR(__xludf.DUMMYFUNCTION("""COMPUTED_VALUE"""),2017.0)</f>
        <v>2017</v>
      </c>
      <c r="F834" s="9">
        <f>IFERROR(__xludf.DUMMYFUNCTION("""COMPUTED_VALUE"""),750.0)</f>
        <v>750</v>
      </c>
      <c r="G834" s="9">
        <f>IFERROR(__xludf.DUMMYFUNCTION("""COMPUTED_VALUE"""),6.0)</f>
        <v>6</v>
      </c>
      <c r="H834" s="10">
        <f>IFERROR(__xludf.DUMMYFUNCTION("""COMPUTED_VALUE"""),1.0)</f>
        <v>1</v>
      </c>
      <c r="I834" s="11">
        <f>IFERROR(__xludf.DUMMYFUNCTION("""COMPUTED_VALUE"""),2325.0)</f>
        <v>2325</v>
      </c>
      <c r="J834" s="9" t="str">
        <f>IFERROR(__xludf.DUMMYFUNCTION("""COMPUTED_VALUE"""),"UK")</f>
        <v>UK</v>
      </c>
      <c r="K834" s="8"/>
      <c r="L834" s="12"/>
      <c r="M834" s="13"/>
      <c r="N834" s="13" t="str">
        <f>IFERROR(__xludf.DUMMYFUNCTION("IF(ISBLANK(M834),"""",M834*GOOGLEFINANCE(""USDGBP""))"),"")</f>
        <v/>
      </c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</row>
    <row r="835">
      <c r="A835" s="8" t="str">
        <f>IFERROR(__xludf.DUMMYFUNCTION("""COMPUTED_VALUE"""),"101869520141200750")</f>
        <v>101869520141200750</v>
      </c>
      <c r="B835" s="9" t="str">
        <f>IFERROR(__xludf.DUMMYFUNCTION("""COMPUTED_VALUE"""),"France")</f>
        <v>France</v>
      </c>
      <c r="C835" s="9" t="str">
        <f>IFERROR(__xludf.DUMMYFUNCTION("""COMPUTED_VALUE"""),"burgundy")</f>
        <v>burgundy</v>
      </c>
      <c r="D835" s="9" t="str">
        <f>IFERROR(__xludf.DUMMYFUNCTION("""COMPUTED_VALUE"""),"Domaine Arnoux-Lachaux, Chambolle-Musigny")</f>
        <v>Domaine Arnoux-Lachaux, Chambolle-Musigny</v>
      </c>
      <c r="E835" s="9">
        <f>IFERROR(__xludf.DUMMYFUNCTION("""COMPUTED_VALUE"""),2014.0)</f>
        <v>2014</v>
      </c>
      <c r="F835" s="9">
        <f>IFERROR(__xludf.DUMMYFUNCTION("""COMPUTED_VALUE"""),750.0)</f>
        <v>750</v>
      </c>
      <c r="G835" s="9">
        <f>IFERROR(__xludf.DUMMYFUNCTION("""COMPUTED_VALUE"""),12.0)</f>
        <v>12</v>
      </c>
      <c r="H835" s="10">
        <f>IFERROR(__xludf.DUMMYFUNCTION("""COMPUTED_VALUE"""),1.0)</f>
        <v>1</v>
      </c>
      <c r="I835" s="11">
        <f>IFERROR(__xludf.DUMMYFUNCTION("""COMPUTED_VALUE"""),3741.0)</f>
        <v>3741</v>
      </c>
      <c r="J835" s="9" t="str">
        <f>IFERROR(__xludf.DUMMYFUNCTION("""COMPUTED_VALUE"""),"UK")</f>
        <v>UK</v>
      </c>
      <c r="K835" s="8"/>
      <c r="L835" s="12"/>
      <c r="M835" s="13"/>
      <c r="N835" s="13" t="str">
        <f>IFERROR(__xludf.DUMMYFUNCTION("IF(ISBLANK(M835),"""",M835*GOOGLEFINANCE(""USDGBP""))"),"")</f>
        <v/>
      </c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</row>
    <row r="836">
      <c r="A836" s="8" t="str">
        <f>IFERROR(__xludf.DUMMYFUNCTION("""COMPUTED_VALUE"""),"101875420100600750")</f>
        <v>101875420100600750</v>
      </c>
      <c r="B836" s="9" t="str">
        <f>IFERROR(__xludf.DUMMYFUNCTION("""COMPUTED_VALUE"""),"France")</f>
        <v>France</v>
      </c>
      <c r="C836" s="9" t="str">
        <f>IFERROR(__xludf.DUMMYFUNCTION("""COMPUTED_VALUE"""),"burgundy")</f>
        <v>burgundy</v>
      </c>
      <c r="D836" s="9" t="str">
        <f>IFERROR(__xludf.DUMMYFUNCTION("""COMPUTED_VALUE"""),"Domaine Arnoux-Lachaux, Nuits-Saint-Georges Premier Cru, Clos des Corvees Pagets")</f>
        <v>Domaine Arnoux-Lachaux, Nuits-Saint-Georges Premier Cru, Clos des Corvees Pagets</v>
      </c>
      <c r="E836" s="9">
        <f>IFERROR(__xludf.DUMMYFUNCTION("""COMPUTED_VALUE"""),2010.0)</f>
        <v>2010</v>
      </c>
      <c r="F836" s="9">
        <f>IFERROR(__xludf.DUMMYFUNCTION("""COMPUTED_VALUE"""),750.0)</f>
        <v>750</v>
      </c>
      <c r="G836" s="9">
        <f>IFERROR(__xludf.DUMMYFUNCTION("""COMPUTED_VALUE"""),6.0)</f>
        <v>6</v>
      </c>
      <c r="H836" s="10">
        <f>IFERROR(__xludf.DUMMYFUNCTION("""COMPUTED_VALUE"""),1.0)</f>
        <v>1</v>
      </c>
      <c r="I836" s="11">
        <f>IFERROR(__xludf.DUMMYFUNCTION("""COMPUTED_VALUE"""),1517.0)</f>
        <v>1517</v>
      </c>
      <c r="J836" s="9" t="str">
        <f>IFERROR(__xludf.DUMMYFUNCTION("""COMPUTED_VALUE"""),"UK")</f>
        <v>UK</v>
      </c>
      <c r="K836" s="8"/>
      <c r="L836" s="12"/>
      <c r="M836" s="13"/>
      <c r="N836" s="13" t="str">
        <f>IFERROR(__xludf.DUMMYFUNCTION("IF(ISBLANK(M836),"""",M836*GOOGLEFINANCE(""USDGBP""))"),"")</f>
        <v/>
      </c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</row>
    <row r="837">
      <c r="A837" s="8" t="str">
        <f>IFERROR(__xludf.DUMMYFUNCTION("""COMPUTED_VALUE"""),"135971820180600750")</f>
        <v>135971820180600750</v>
      </c>
      <c r="B837" s="9" t="str">
        <f>IFERROR(__xludf.DUMMYFUNCTION("""COMPUTED_VALUE"""),"France")</f>
        <v>France</v>
      </c>
      <c r="C837" s="9" t="str">
        <f>IFERROR(__xludf.DUMMYFUNCTION("""COMPUTED_VALUE"""),"burgundy")</f>
        <v>burgundy</v>
      </c>
      <c r="D837" s="9" t="str">
        <f>IFERROR(__xludf.DUMMYFUNCTION("""COMPUTED_VALUE"""),"Domaine Berthaut-Gerbet, Vosne-Romanee Premier Cru, Les Petits Monts")</f>
        <v>Domaine Berthaut-Gerbet, Vosne-Romanee Premier Cru, Les Petits Monts</v>
      </c>
      <c r="E837" s="9">
        <f>IFERROR(__xludf.DUMMYFUNCTION("""COMPUTED_VALUE"""),2018.0)</f>
        <v>2018</v>
      </c>
      <c r="F837" s="9">
        <f>IFERROR(__xludf.DUMMYFUNCTION("""COMPUTED_VALUE"""),750.0)</f>
        <v>750</v>
      </c>
      <c r="G837" s="9">
        <f>IFERROR(__xludf.DUMMYFUNCTION("""COMPUTED_VALUE"""),6.0)</f>
        <v>6</v>
      </c>
      <c r="H837" s="10">
        <f>IFERROR(__xludf.DUMMYFUNCTION("""COMPUTED_VALUE"""),3.0)</f>
        <v>3</v>
      </c>
      <c r="I837" s="11">
        <f>IFERROR(__xludf.DUMMYFUNCTION("""COMPUTED_VALUE"""),1267.0)</f>
        <v>1267</v>
      </c>
      <c r="J837" s="9" t="str">
        <f>IFERROR(__xludf.DUMMYFUNCTION("""COMPUTED_VALUE"""),"UK")</f>
        <v>UK</v>
      </c>
      <c r="K837" s="8"/>
      <c r="L837" s="12"/>
      <c r="M837" s="13"/>
      <c r="N837" s="13" t="str">
        <f>IFERROR(__xludf.DUMMYFUNCTION("IF(ISBLANK(M837),"""",M837*GOOGLEFINANCE(""USDGBP""))"),"")</f>
        <v/>
      </c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</row>
    <row r="838">
      <c r="A838" s="8" t="str">
        <f>IFERROR(__xludf.DUMMYFUNCTION("""COMPUTED_VALUE"""),"135971820190600750")</f>
        <v>135971820190600750</v>
      </c>
      <c r="B838" s="9" t="str">
        <f>IFERROR(__xludf.DUMMYFUNCTION("""COMPUTED_VALUE"""),"France")</f>
        <v>France</v>
      </c>
      <c r="C838" s="9" t="str">
        <f>IFERROR(__xludf.DUMMYFUNCTION("""COMPUTED_VALUE"""),"burgundy")</f>
        <v>burgundy</v>
      </c>
      <c r="D838" s="9" t="str">
        <f>IFERROR(__xludf.DUMMYFUNCTION("""COMPUTED_VALUE"""),"Domaine Berthaut-Gerbet, Vosne-Romanee Premier Cru, Les Petits Monts")</f>
        <v>Domaine Berthaut-Gerbet, Vosne-Romanee Premier Cru, Les Petits Monts</v>
      </c>
      <c r="E838" s="9">
        <f>IFERROR(__xludf.DUMMYFUNCTION("""COMPUTED_VALUE"""),2019.0)</f>
        <v>2019</v>
      </c>
      <c r="F838" s="9">
        <f>IFERROR(__xludf.DUMMYFUNCTION("""COMPUTED_VALUE"""),750.0)</f>
        <v>750</v>
      </c>
      <c r="G838" s="9">
        <f>IFERROR(__xludf.DUMMYFUNCTION("""COMPUTED_VALUE"""),6.0)</f>
        <v>6</v>
      </c>
      <c r="H838" s="10">
        <f>IFERROR(__xludf.DUMMYFUNCTION("""COMPUTED_VALUE"""),1.0)</f>
        <v>1</v>
      </c>
      <c r="I838" s="11">
        <f>IFERROR(__xludf.DUMMYFUNCTION("""COMPUTED_VALUE"""),1622.0)</f>
        <v>1622</v>
      </c>
      <c r="J838" s="9" t="str">
        <f>IFERROR(__xludf.DUMMYFUNCTION("""COMPUTED_VALUE"""),"UK")</f>
        <v>UK</v>
      </c>
      <c r="K838" s="8"/>
      <c r="L838" s="12"/>
      <c r="M838" s="13"/>
      <c r="N838" s="13" t="str">
        <f>IFERROR(__xludf.DUMMYFUNCTION("IF(ISBLANK(M838),"""",M838*GOOGLEFINANCE(""USDGBP""))"),"")</f>
        <v/>
      </c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</row>
    <row r="839">
      <c r="A839" s="8" t="str">
        <f>IFERROR(__xludf.DUMMYFUNCTION("""COMPUTED_VALUE"""),"102168820110600750")</f>
        <v>102168820110600750</v>
      </c>
      <c r="B839" s="9" t="str">
        <f>IFERROR(__xludf.DUMMYFUNCTION("""COMPUTED_VALUE"""),"France")</f>
        <v>France</v>
      </c>
      <c r="C839" s="9" t="str">
        <f>IFERROR(__xludf.DUMMYFUNCTION("""COMPUTED_VALUE"""),"burgundy")</f>
        <v>burgundy</v>
      </c>
      <c r="D839" s="9" t="str">
        <f>IFERROR(__xludf.DUMMYFUNCTION("""COMPUTED_VALUE"""),"Domaine Bouchard Pere et Fils, Clos de Vougeot Grand Cru")</f>
        <v>Domaine Bouchard Pere et Fils, Clos de Vougeot Grand Cru</v>
      </c>
      <c r="E839" s="9">
        <f>IFERROR(__xludf.DUMMYFUNCTION("""COMPUTED_VALUE"""),2011.0)</f>
        <v>2011</v>
      </c>
      <c r="F839" s="9">
        <f>IFERROR(__xludf.DUMMYFUNCTION("""COMPUTED_VALUE"""),750.0)</f>
        <v>750</v>
      </c>
      <c r="G839" s="9">
        <f>IFERROR(__xludf.DUMMYFUNCTION("""COMPUTED_VALUE"""),6.0)</f>
        <v>6</v>
      </c>
      <c r="H839" s="10">
        <f>IFERROR(__xludf.DUMMYFUNCTION("""COMPUTED_VALUE"""),4.0)</f>
        <v>4</v>
      </c>
      <c r="I839" s="11">
        <f>IFERROR(__xludf.DUMMYFUNCTION("""COMPUTED_VALUE"""),2199.0)</f>
        <v>2199</v>
      </c>
      <c r="J839" s="9" t="str">
        <f>IFERROR(__xludf.DUMMYFUNCTION("""COMPUTED_VALUE"""),"UK")</f>
        <v>UK</v>
      </c>
      <c r="K839" s="8"/>
      <c r="L839" s="12"/>
      <c r="M839" s="13"/>
      <c r="N839" s="13" t="str">
        <f>IFERROR(__xludf.DUMMYFUNCTION("IF(ISBLANK(M839),"""",M839*GOOGLEFINANCE(""USDGBP""))"),"")</f>
        <v/>
      </c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</row>
    <row r="840">
      <c r="A840" s="8" t="str">
        <f>IFERROR(__xludf.DUMMYFUNCTION("""COMPUTED_VALUE"""),"102168820180300750")</f>
        <v>102168820180300750</v>
      </c>
      <c r="B840" s="9" t="str">
        <f>IFERROR(__xludf.DUMMYFUNCTION("""COMPUTED_VALUE"""),"France")</f>
        <v>France</v>
      </c>
      <c r="C840" s="9" t="str">
        <f>IFERROR(__xludf.DUMMYFUNCTION("""COMPUTED_VALUE"""),"burgundy")</f>
        <v>burgundy</v>
      </c>
      <c r="D840" s="9" t="str">
        <f>IFERROR(__xludf.DUMMYFUNCTION("""COMPUTED_VALUE"""),"Domaine Bouchard Pere et Fils, Clos de Vougeot Grand Cru")</f>
        <v>Domaine Bouchard Pere et Fils, Clos de Vougeot Grand Cru</v>
      </c>
      <c r="E840" s="9">
        <f>IFERROR(__xludf.DUMMYFUNCTION("""COMPUTED_VALUE"""),2018.0)</f>
        <v>2018</v>
      </c>
      <c r="F840" s="9">
        <f>IFERROR(__xludf.DUMMYFUNCTION("""COMPUTED_VALUE"""),750.0)</f>
        <v>750</v>
      </c>
      <c r="G840" s="9">
        <f>IFERROR(__xludf.DUMMYFUNCTION("""COMPUTED_VALUE"""),3.0)</f>
        <v>3</v>
      </c>
      <c r="H840" s="10">
        <f>IFERROR(__xludf.DUMMYFUNCTION("""COMPUTED_VALUE"""),1.0)</f>
        <v>1</v>
      </c>
      <c r="I840" s="11">
        <f>IFERROR(__xludf.DUMMYFUNCTION("""COMPUTED_VALUE"""),521.0)</f>
        <v>521</v>
      </c>
      <c r="J840" s="9" t="str">
        <f>IFERROR(__xludf.DUMMYFUNCTION("""COMPUTED_VALUE"""),"UK")</f>
        <v>UK</v>
      </c>
      <c r="K840" s="8"/>
      <c r="L840" s="12"/>
      <c r="M840" s="13"/>
      <c r="N840" s="13" t="str">
        <f>IFERROR(__xludf.DUMMYFUNCTION("IF(ISBLANK(M840),"""",M840*GOOGLEFINANCE(""USDGBP""))"),"")</f>
        <v/>
      </c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</row>
    <row r="841">
      <c r="A841" s="8" t="str">
        <f>IFERROR(__xludf.DUMMYFUNCTION("""COMPUTED_VALUE"""),"102168820180600750")</f>
        <v>102168820180600750</v>
      </c>
      <c r="B841" s="9" t="str">
        <f>IFERROR(__xludf.DUMMYFUNCTION("""COMPUTED_VALUE"""),"France")</f>
        <v>France</v>
      </c>
      <c r="C841" s="9" t="str">
        <f>IFERROR(__xludf.DUMMYFUNCTION("""COMPUTED_VALUE"""),"burgundy")</f>
        <v>burgundy</v>
      </c>
      <c r="D841" s="9" t="str">
        <f>IFERROR(__xludf.DUMMYFUNCTION("""COMPUTED_VALUE"""),"Domaine Bouchard Pere et Fils, Clos de Vougeot Grand Cru")</f>
        <v>Domaine Bouchard Pere et Fils, Clos de Vougeot Grand Cru</v>
      </c>
      <c r="E841" s="9">
        <f>IFERROR(__xludf.DUMMYFUNCTION("""COMPUTED_VALUE"""),2018.0)</f>
        <v>2018</v>
      </c>
      <c r="F841" s="9">
        <f>IFERROR(__xludf.DUMMYFUNCTION("""COMPUTED_VALUE"""),750.0)</f>
        <v>750</v>
      </c>
      <c r="G841" s="9">
        <f>IFERROR(__xludf.DUMMYFUNCTION("""COMPUTED_VALUE"""),6.0)</f>
        <v>6</v>
      </c>
      <c r="H841" s="10">
        <f>IFERROR(__xludf.DUMMYFUNCTION("""COMPUTED_VALUE"""),6.0)</f>
        <v>6</v>
      </c>
      <c r="I841" s="11">
        <f>IFERROR(__xludf.DUMMYFUNCTION("""COMPUTED_VALUE"""),1041.0)</f>
        <v>1041</v>
      </c>
      <c r="J841" s="9" t="str">
        <f>IFERROR(__xludf.DUMMYFUNCTION("""COMPUTED_VALUE"""),"UK")</f>
        <v>UK</v>
      </c>
      <c r="K841" s="8"/>
      <c r="L841" s="12"/>
      <c r="M841" s="13"/>
      <c r="N841" s="13" t="str">
        <f>IFERROR(__xludf.DUMMYFUNCTION("IF(ISBLANK(M841),"""",M841*GOOGLEFINANCE(""USDGBP""))"),"")</f>
        <v/>
      </c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</row>
    <row r="842">
      <c r="A842" s="8" t="str">
        <f>IFERROR(__xludf.DUMMYFUNCTION("""COMPUTED_VALUE"""),"102168820190600750")</f>
        <v>102168820190600750</v>
      </c>
      <c r="B842" s="9" t="str">
        <f>IFERROR(__xludf.DUMMYFUNCTION("""COMPUTED_VALUE"""),"France")</f>
        <v>France</v>
      </c>
      <c r="C842" s="9" t="str">
        <f>IFERROR(__xludf.DUMMYFUNCTION("""COMPUTED_VALUE"""),"burgundy")</f>
        <v>burgundy</v>
      </c>
      <c r="D842" s="9" t="str">
        <f>IFERROR(__xludf.DUMMYFUNCTION("""COMPUTED_VALUE"""),"Domaine Bouchard Pere et Fils, Clos de Vougeot Grand Cru")</f>
        <v>Domaine Bouchard Pere et Fils, Clos de Vougeot Grand Cru</v>
      </c>
      <c r="E842" s="9">
        <f>IFERROR(__xludf.DUMMYFUNCTION("""COMPUTED_VALUE"""),2019.0)</f>
        <v>2019</v>
      </c>
      <c r="F842" s="9">
        <f>IFERROR(__xludf.DUMMYFUNCTION("""COMPUTED_VALUE"""),750.0)</f>
        <v>750</v>
      </c>
      <c r="G842" s="9">
        <f>IFERROR(__xludf.DUMMYFUNCTION("""COMPUTED_VALUE"""),6.0)</f>
        <v>6</v>
      </c>
      <c r="H842" s="10">
        <f>IFERROR(__xludf.DUMMYFUNCTION("""COMPUTED_VALUE"""),1.0)</f>
        <v>1</v>
      </c>
      <c r="I842" s="11">
        <f>IFERROR(__xludf.DUMMYFUNCTION("""COMPUTED_VALUE"""),1041.0)</f>
        <v>1041</v>
      </c>
      <c r="J842" s="9" t="str">
        <f>IFERROR(__xludf.DUMMYFUNCTION("""COMPUTED_VALUE"""),"UK")</f>
        <v>UK</v>
      </c>
      <c r="K842" s="8"/>
      <c r="L842" s="12"/>
      <c r="M842" s="13"/>
      <c r="N842" s="13" t="str">
        <f>IFERROR(__xludf.DUMMYFUNCTION("IF(ISBLANK(M842),"""",M842*GOOGLEFINANCE(""USDGBP""))"),"")</f>
        <v/>
      </c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</row>
    <row r="843">
      <c r="A843" s="8" t="str">
        <f>IFERROR(__xludf.DUMMYFUNCTION("""COMPUTED_VALUE"""),"102170520170600750")</f>
        <v>102170520170600750</v>
      </c>
      <c r="B843" s="9" t="str">
        <f>IFERROR(__xludf.DUMMYFUNCTION("""COMPUTED_VALUE"""),"France")</f>
        <v>France</v>
      </c>
      <c r="C843" s="9" t="str">
        <f>IFERROR(__xludf.DUMMYFUNCTION("""COMPUTED_VALUE"""),"burgundy")</f>
        <v>burgundy</v>
      </c>
      <c r="D843" s="9" t="str">
        <f>IFERROR(__xludf.DUMMYFUNCTION("""COMPUTED_VALUE"""),"Domaine Bouchard Pere et Fils, Echezeaux Grand Cru")</f>
        <v>Domaine Bouchard Pere et Fils, Echezeaux Grand Cru</v>
      </c>
      <c r="E843" s="9">
        <f>IFERROR(__xludf.DUMMYFUNCTION("""COMPUTED_VALUE"""),2017.0)</f>
        <v>2017</v>
      </c>
      <c r="F843" s="9">
        <f>IFERROR(__xludf.DUMMYFUNCTION("""COMPUTED_VALUE"""),750.0)</f>
        <v>750</v>
      </c>
      <c r="G843" s="9">
        <f>IFERROR(__xludf.DUMMYFUNCTION("""COMPUTED_VALUE"""),6.0)</f>
        <v>6</v>
      </c>
      <c r="H843" s="10">
        <f>IFERROR(__xludf.DUMMYFUNCTION("""COMPUTED_VALUE"""),1.0)</f>
        <v>1</v>
      </c>
      <c r="I843" s="11">
        <f>IFERROR(__xludf.DUMMYFUNCTION("""COMPUTED_VALUE"""),1214.0)</f>
        <v>1214</v>
      </c>
      <c r="J843" s="9" t="str">
        <f>IFERROR(__xludf.DUMMYFUNCTION("""COMPUTED_VALUE"""),"UK")</f>
        <v>UK</v>
      </c>
      <c r="K843" s="8"/>
      <c r="L843" s="12"/>
      <c r="M843" s="13"/>
      <c r="N843" s="13" t="str">
        <f>IFERROR(__xludf.DUMMYFUNCTION("IF(ISBLANK(M843),"""",M843*GOOGLEFINANCE(""USDGBP""))"),"")</f>
        <v/>
      </c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</row>
    <row r="844">
      <c r="A844" s="8" t="str">
        <f>IFERROR(__xludf.DUMMYFUNCTION("""COMPUTED_VALUE"""),"102170520180600750")</f>
        <v>102170520180600750</v>
      </c>
      <c r="B844" s="9" t="str">
        <f>IFERROR(__xludf.DUMMYFUNCTION("""COMPUTED_VALUE"""),"France")</f>
        <v>France</v>
      </c>
      <c r="C844" s="9" t="str">
        <f>IFERROR(__xludf.DUMMYFUNCTION("""COMPUTED_VALUE"""),"burgundy")</f>
        <v>burgundy</v>
      </c>
      <c r="D844" s="9" t="str">
        <f>IFERROR(__xludf.DUMMYFUNCTION("""COMPUTED_VALUE"""),"Domaine Bouchard Pere et Fils, Echezeaux Grand Cru")</f>
        <v>Domaine Bouchard Pere et Fils, Echezeaux Grand Cru</v>
      </c>
      <c r="E844" s="9">
        <f>IFERROR(__xludf.DUMMYFUNCTION("""COMPUTED_VALUE"""),2018.0)</f>
        <v>2018</v>
      </c>
      <c r="F844" s="9">
        <f>IFERROR(__xludf.DUMMYFUNCTION("""COMPUTED_VALUE"""),750.0)</f>
        <v>750</v>
      </c>
      <c r="G844" s="9">
        <f>IFERROR(__xludf.DUMMYFUNCTION("""COMPUTED_VALUE"""),6.0)</f>
        <v>6</v>
      </c>
      <c r="H844" s="10">
        <f>IFERROR(__xludf.DUMMYFUNCTION("""COMPUTED_VALUE"""),4.0)</f>
        <v>4</v>
      </c>
      <c r="I844" s="11">
        <f>IFERROR(__xludf.DUMMYFUNCTION("""COMPUTED_VALUE"""),1047.0)</f>
        <v>1047</v>
      </c>
      <c r="J844" s="9" t="str">
        <f>IFERROR(__xludf.DUMMYFUNCTION("""COMPUTED_VALUE"""),"UK")</f>
        <v>UK</v>
      </c>
      <c r="K844" s="8"/>
      <c r="L844" s="12"/>
      <c r="M844" s="13"/>
      <c r="N844" s="13" t="str">
        <f>IFERROR(__xludf.DUMMYFUNCTION("IF(ISBLANK(M844),"""",M844*GOOGLEFINANCE(""USDGBP""))"),"")</f>
        <v/>
      </c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</row>
    <row r="845">
      <c r="A845" s="8" t="str">
        <f>IFERROR(__xludf.DUMMYFUNCTION("""COMPUTED_VALUE"""),"102548420180600750")</f>
        <v>102548420180600750</v>
      </c>
      <c r="B845" s="9" t="str">
        <f>IFERROR(__xludf.DUMMYFUNCTION("""COMPUTED_VALUE"""),"France")</f>
        <v>France</v>
      </c>
      <c r="C845" s="9" t="str">
        <f>IFERROR(__xludf.DUMMYFUNCTION("""COMPUTED_VALUE"""),"burgundy")</f>
        <v>burgundy</v>
      </c>
      <c r="D845" s="9" t="str">
        <f>IFERROR(__xludf.DUMMYFUNCTION("""COMPUTED_VALUE"""),"Domaine Bruno Clair, Gevrey-Chambertin Premier Cru, Petite Chapelle")</f>
        <v>Domaine Bruno Clair, Gevrey-Chambertin Premier Cru, Petite Chapelle</v>
      </c>
      <c r="E845" s="9">
        <f>IFERROR(__xludf.DUMMYFUNCTION("""COMPUTED_VALUE"""),2018.0)</f>
        <v>2018</v>
      </c>
      <c r="F845" s="9">
        <f>IFERROR(__xludf.DUMMYFUNCTION("""COMPUTED_VALUE"""),750.0)</f>
        <v>750</v>
      </c>
      <c r="G845" s="9">
        <f>IFERROR(__xludf.DUMMYFUNCTION("""COMPUTED_VALUE"""),6.0)</f>
        <v>6</v>
      </c>
      <c r="H845" s="10">
        <f>IFERROR(__xludf.DUMMYFUNCTION("""COMPUTED_VALUE"""),1.0)</f>
        <v>1</v>
      </c>
      <c r="I845" s="11">
        <f>IFERROR(__xludf.DUMMYFUNCTION("""COMPUTED_VALUE"""),705.0)</f>
        <v>705</v>
      </c>
      <c r="J845" s="9" t="str">
        <f>IFERROR(__xludf.DUMMYFUNCTION("""COMPUTED_VALUE"""),"UK")</f>
        <v>UK</v>
      </c>
      <c r="K845" s="8"/>
      <c r="L845" s="12"/>
      <c r="M845" s="13"/>
      <c r="N845" s="13" t="str">
        <f>IFERROR(__xludf.DUMMYFUNCTION("IF(ISBLANK(M845),"""",M845*GOOGLEFINANCE(""USDGBP""))"),"")</f>
        <v/>
      </c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</row>
    <row r="846">
      <c r="A846" s="8" t="str">
        <f>IFERROR(__xludf.DUMMYFUNCTION("""COMPUTED_VALUE"""),"102548420190600750")</f>
        <v>102548420190600750</v>
      </c>
      <c r="B846" s="9" t="str">
        <f>IFERROR(__xludf.DUMMYFUNCTION("""COMPUTED_VALUE"""),"France")</f>
        <v>France</v>
      </c>
      <c r="C846" s="9" t="str">
        <f>IFERROR(__xludf.DUMMYFUNCTION("""COMPUTED_VALUE"""),"burgundy")</f>
        <v>burgundy</v>
      </c>
      <c r="D846" s="9" t="str">
        <f>IFERROR(__xludf.DUMMYFUNCTION("""COMPUTED_VALUE"""),"Domaine Bruno Clair, Gevrey-Chambertin Premier Cru, Petite Chapelle")</f>
        <v>Domaine Bruno Clair, Gevrey-Chambertin Premier Cru, Petite Chapelle</v>
      </c>
      <c r="E846" s="9">
        <f>IFERROR(__xludf.DUMMYFUNCTION("""COMPUTED_VALUE"""),2019.0)</f>
        <v>2019</v>
      </c>
      <c r="F846" s="9">
        <f>IFERROR(__xludf.DUMMYFUNCTION("""COMPUTED_VALUE"""),750.0)</f>
        <v>750</v>
      </c>
      <c r="G846" s="9">
        <f>IFERROR(__xludf.DUMMYFUNCTION("""COMPUTED_VALUE"""),6.0)</f>
        <v>6</v>
      </c>
      <c r="H846" s="10">
        <f>IFERROR(__xludf.DUMMYFUNCTION("""COMPUTED_VALUE"""),1.0)</f>
        <v>1</v>
      </c>
      <c r="I846" s="11">
        <f>IFERROR(__xludf.DUMMYFUNCTION("""COMPUTED_VALUE"""),700.0)</f>
        <v>700</v>
      </c>
      <c r="J846" s="9" t="str">
        <f>IFERROR(__xludf.DUMMYFUNCTION("""COMPUTED_VALUE"""),"UK")</f>
        <v>UK</v>
      </c>
      <c r="K846" s="8"/>
      <c r="L846" s="12"/>
      <c r="M846" s="13"/>
      <c r="N846" s="13" t="str">
        <f>IFERROR(__xludf.DUMMYFUNCTION("IF(ISBLANK(M846),"""",M846*GOOGLEFINANCE(""USDGBP""))"),"")</f>
        <v/>
      </c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</row>
    <row r="847">
      <c r="A847" s="8" t="str">
        <f>IFERROR(__xludf.DUMMYFUNCTION("""COMPUTED_VALUE"""),"117052020160600750")</f>
        <v>117052020160600750</v>
      </c>
      <c r="B847" s="9" t="str">
        <f>IFERROR(__xludf.DUMMYFUNCTION("""COMPUTED_VALUE"""),"France")</f>
        <v>France</v>
      </c>
      <c r="C847" s="9" t="str">
        <f>IFERROR(__xludf.DUMMYFUNCTION("""COMPUTED_VALUE"""),"burgundy")</f>
        <v>burgundy</v>
      </c>
      <c r="D847" s="9" t="str">
        <f>IFERROR(__xludf.DUMMYFUNCTION("""COMPUTED_VALUE"""),"Domaine Cecile Tremblay, Chambolle-Musigny, Les Cabottes")</f>
        <v>Domaine Cecile Tremblay, Chambolle-Musigny, Les Cabottes</v>
      </c>
      <c r="E847" s="9">
        <f>IFERROR(__xludf.DUMMYFUNCTION("""COMPUTED_VALUE"""),2016.0)</f>
        <v>2016</v>
      </c>
      <c r="F847" s="9">
        <f>IFERROR(__xludf.DUMMYFUNCTION("""COMPUTED_VALUE"""),750.0)</f>
        <v>750</v>
      </c>
      <c r="G847" s="9">
        <f>IFERROR(__xludf.DUMMYFUNCTION("""COMPUTED_VALUE"""),6.0)</f>
        <v>6</v>
      </c>
      <c r="H847" s="10">
        <f>IFERROR(__xludf.DUMMYFUNCTION("""COMPUTED_VALUE"""),1.0)</f>
        <v>1</v>
      </c>
      <c r="I847" s="11">
        <f>IFERROR(__xludf.DUMMYFUNCTION("""COMPUTED_VALUE"""),3287.0)</f>
        <v>3287</v>
      </c>
      <c r="J847" s="9" t="str">
        <f>IFERROR(__xludf.DUMMYFUNCTION("""COMPUTED_VALUE"""),"UK")</f>
        <v>UK</v>
      </c>
      <c r="K847" s="8"/>
      <c r="L847" s="12"/>
      <c r="M847" s="13"/>
      <c r="N847" s="13" t="str">
        <f>IFERROR(__xludf.DUMMYFUNCTION("IF(ISBLANK(M847),"""",M847*GOOGLEFINANCE(""USDGBP""))"),"")</f>
        <v/>
      </c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</row>
    <row r="848">
      <c r="A848" s="8" t="str">
        <f>IFERROR(__xludf.DUMMYFUNCTION("""COMPUTED_VALUE"""),"102679720170600750")</f>
        <v>102679720170600750</v>
      </c>
      <c r="B848" s="9" t="str">
        <f>IFERROR(__xludf.DUMMYFUNCTION("""COMPUTED_VALUE"""),"France")</f>
        <v>France</v>
      </c>
      <c r="C848" s="9" t="str">
        <f>IFERROR(__xludf.DUMMYFUNCTION("""COMPUTED_VALUE"""),"burgundy")</f>
        <v>burgundy</v>
      </c>
      <c r="D848" s="9" t="str">
        <f>IFERROR(__xludf.DUMMYFUNCTION("""COMPUTED_VALUE"""),"Domaine Comte Georges de Vogue, Chambolle-Musigny")</f>
        <v>Domaine Comte Georges de Vogue, Chambolle-Musigny</v>
      </c>
      <c r="E848" s="9">
        <f>IFERROR(__xludf.DUMMYFUNCTION("""COMPUTED_VALUE"""),2017.0)</f>
        <v>2017</v>
      </c>
      <c r="F848" s="9">
        <f>IFERROR(__xludf.DUMMYFUNCTION("""COMPUTED_VALUE"""),750.0)</f>
        <v>750</v>
      </c>
      <c r="G848" s="9">
        <f>IFERROR(__xludf.DUMMYFUNCTION("""COMPUTED_VALUE"""),6.0)</f>
        <v>6</v>
      </c>
      <c r="H848" s="10">
        <f>IFERROR(__xludf.DUMMYFUNCTION("""COMPUTED_VALUE"""),1.0)</f>
        <v>1</v>
      </c>
      <c r="I848" s="11">
        <f>IFERROR(__xludf.DUMMYFUNCTION("""COMPUTED_VALUE"""),1129.0)</f>
        <v>1129</v>
      </c>
      <c r="J848" s="9" t="str">
        <f>IFERROR(__xludf.DUMMYFUNCTION("""COMPUTED_VALUE"""),"UK")</f>
        <v>UK</v>
      </c>
      <c r="K848" s="8"/>
      <c r="L848" s="12"/>
      <c r="M848" s="13"/>
      <c r="N848" s="13" t="str">
        <f>IFERROR(__xludf.DUMMYFUNCTION("IF(ISBLANK(M848),"""",M848*GOOGLEFINANCE(""USDGBP""))"),"")</f>
        <v/>
      </c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</row>
    <row r="849">
      <c r="A849" s="8" t="str">
        <f>IFERROR(__xludf.DUMMYFUNCTION("""COMPUTED_VALUE"""),"102679720180600750")</f>
        <v>102679720180600750</v>
      </c>
      <c r="B849" s="9" t="str">
        <f>IFERROR(__xludf.DUMMYFUNCTION("""COMPUTED_VALUE"""),"France")</f>
        <v>France</v>
      </c>
      <c r="C849" s="9" t="str">
        <f>IFERROR(__xludf.DUMMYFUNCTION("""COMPUTED_VALUE"""),"burgundy")</f>
        <v>burgundy</v>
      </c>
      <c r="D849" s="9" t="str">
        <f>IFERROR(__xludf.DUMMYFUNCTION("""COMPUTED_VALUE"""),"Domaine Comte Georges de Vogue, Chambolle-Musigny")</f>
        <v>Domaine Comte Georges de Vogue, Chambolle-Musigny</v>
      </c>
      <c r="E849" s="9">
        <f>IFERROR(__xludf.DUMMYFUNCTION("""COMPUTED_VALUE"""),2018.0)</f>
        <v>2018</v>
      </c>
      <c r="F849" s="9">
        <f>IFERROR(__xludf.DUMMYFUNCTION("""COMPUTED_VALUE"""),750.0)</f>
        <v>750</v>
      </c>
      <c r="G849" s="9">
        <f>IFERROR(__xludf.DUMMYFUNCTION("""COMPUTED_VALUE"""),6.0)</f>
        <v>6</v>
      </c>
      <c r="H849" s="10">
        <f>IFERROR(__xludf.DUMMYFUNCTION("""COMPUTED_VALUE"""),1.0)</f>
        <v>1</v>
      </c>
      <c r="I849" s="11">
        <f>IFERROR(__xludf.DUMMYFUNCTION("""COMPUTED_VALUE"""),1163.0)</f>
        <v>1163</v>
      </c>
      <c r="J849" s="9" t="str">
        <f>IFERROR(__xludf.DUMMYFUNCTION("""COMPUTED_VALUE"""),"UK")</f>
        <v>UK</v>
      </c>
      <c r="K849" s="8"/>
      <c r="L849" s="12"/>
      <c r="M849" s="13"/>
      <c r="N849" s="13" t="str">
        <f>IFERROR(__xludf.DUMMYFUNCTION("IF(ISBLANK(M849),"""",M849*GOOGLEFINANCE(""USDGBP""))"),"")</f>
        <v/>
      </c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</row>
    <row r="850">
      <c r="A850" s="8" t="str">
        <f>IFERROR(__xludf.DUMMYFUNCTION("""COMPUTED_VALUE"""),"102681420210100750")</f>
        <v>102681420210100750</v>
      </c>
      <c r="B850" s="9" t="str">
        <f>IFERROR(__xludf.DUMMYFUNCTION("""COMPUTED_VALUE"""),"France")</f>
        <v>France</v>
      </c>
      <c r="C850" s="9" t="str">
        <f>IFERROR(__xludf.DUMMYFUNCTION("""COMPUTED_VALUE"""),"burgundy")</f>
        <v>burgundy</v>
      </c>
      <c r="D850" s="9" t="str">
        <f>IFERROR(__xludf.DUMMYFUNCTION("""COMPUTED_VALUE"""),"Domaine Comte Georges de Vogue, Chambolle-Musigny Premier Cru, Les Amoureuses")</f>
        <v>Domaine Comte Georges de Vogue, Chambolle-Musigny Premier Cru, Les Amoureuses</v>
      </c>
      <c r="E850" s="9">
        <f>IFERROR(__xludf.DUMMYFUNCTION("""COMPUTED_VALUE"""),2021.0)</f>
        <v>2021</v>
      </c>
      <c r="F850" s="9">
        <f>IFERROR(__xludf.DUMMYFUNCTION("""COMPUTED_VALUE"""),750.0)</f>
        <v>750</v>
      </c>
      <c r="G850" s="9">
        <f>IFERROR(__xludf.DUMMYFUNCTION("""COMPUTED_VALUE"""),1.0)</f>
        <v>1</v>
      </c>
      <c r="H850" s="10">
        <f>IFERROR(__xludf.DUMMYFUNCTION("""COMPUTED_VALUE"""),1.0)</f>
        <v>1</v>
      </c>
      <c r="I850" s="11">
        <f>IFERROR(__xludf.DUMMYFUNCTION("""COMPUTED_VALUE"""),951.0)</f>
        <v>951</v>
      </c>
      <c r="J850" s="9" t="str">
        <f>IFERROR(__xludf.DUMMYFUNCTION("""COMPUTED_VALUE"""),"UK")</f>
        <v>UK</v>
      </c>
      <c r="K850" s="8"/>
      <c r="L850" s="12"/>
      <c r="M850" s="13"/>
      <c r="N850" s="13" t="str">
        <f>IFERROR(__xludf.DUMMYFUNCTION("IF(ISBLANK(M850),"""",M850*GOOGLEFINANCE(""USDGBP""))"),"")</f>
        <v/>
      </c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</row>
    <row r="851">
      <c r="A851" s="8" t="str">
        <f>IFERROR(__xludf.DUMMYFUNCTION("""COMPUTED_VALUE"""),"102687220170300750")</f>
        <v>102687220170300750</v>
      </c>
      <c r="B851" s="9" t="str">
        <f>IFERROR(__xludf.DUMMYFUNCTION("""COMPUTED_VALUE"""),"France")</f>
        <v>France</v>
      </c>
      <c r="C851" s="9" t="str">
        <f>IFERROR(__xludf.DUMMYFUNCTION("""COMPUTED_VALUE"""),"burgundy")</f>
        <v>burgundy</v>
      </c>
      <c r="D851" s="9" t="str">
        <f>IFERROR(__xludf.DUMMYFUNCTION("""COMPUTED_VALUE"""),"Domaine Comte Georges de Vogue, Musigny Grand Cru, Cuvee Vieilles Vignes")</f>
        <v>Domaine Comte Georges de Vogue, Musigny Grand Cru, Cuvee Vieilles Vignes</v>
      </c>
      <c r="E851" s="9">
        <f>IFERROR(__xludf.DUMMYFUNCTION("""COMPUTED_VALUE"""),2017.0)</f>
        <v>2017</v>
      </c>
      <c r="F851" s="9">
        <f>IFERROR(__xludf.DUMMYFUNCTION("""COMPUTED_VALUE"""),750.0)</f>
        <v>750</v>
      </c>
      <c r="G851" s="9">
        <f>IFERROR(__xludf.DUMMYFUNCTION("""COMPUTED_VALUE"""),3.0)</f>
        <v>3</v>
      </c>
      <c r="H851" s="10">
        <f>IFERROR(__xludf.DUMMYFUNCTION("""COMPUTED_VALUE"""),1.0)</f>
        <v>1</v>
      </c>
      <c r="I851" s="11">
        <f>IFERROR(__xludf.DUMMYFUNCTION("""COMPUTED_VALUE"""),1684.0)</f>
        <v>1684</v>
      </c>
      <c r="J851" s="9" t="str">
        <f>IFERROR(__xludf.DUMMYFUNCTION("""COMPUTED_VALUE"""),"UK")</f>
        <v>UK</v>
      </c>
      <c r="K851" s="8"/>
      <c r="L851" s="12"/>
      <c r="M851" s="13"/>
      <c r="N851" s="13" t="str">
        <f>IFERROR(__xludf.DUMMYFUNCTION("IF(ISBLANK(M851),"""",M851*GOOGLEFINANCE(""USDGBP""))"),"")</f>
        <v/>
      </c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</row>
    <row r="852">
      <c r="A852" s="8" t="str">
        <f>IFERROR(__xludf.DUMMYFUNCTION("""COMPUTED_VALUE"""),"102687220180101500")</f>
        <v>102687220180101500</v>
      </c>
      <c r="B852" s="9" t="str">
        <f>IFERROR(__xludf.DUMMYFUNCTION("""COMPUTED_VALUE"""),"France")</f>
        <v>France</v>
      </c>
      <c r="C852" s="9" t="str">
        <f>IFERROR(__xludf.DUMMYFUNCTION("""COMPUTED_VALUE"""),"burgundy")</f>
        <v>burgundy</v>
      </c>
      <c r="D852" s="9" t="str">
        <f>IFERROR(__xludf.DUMMYFUNCTION("""COMPUTED_VALUE"""),"Domaine Comte Georges de Vogue, Musigny Grand Cru, Cuvee Vieilles Vignes")</f>
        <v>Domaine Comte Georges de Vogue, Musigny Grand Cru, Cuvee Vieilles Vignes</v>
      </c>
      <c r="E852" s="9">
        <f>IFERROR(__xludf.DUMMYFUNCTION("""COMPUTED_VALUE"""),2018.0)</f>
        <v>2018</v>
      </c>
      <c r="F852" s="9">
        <f>IFERROR(__xludf.DUMMYFUNCTION("""COMPUTED_VALUE"""),1500.0)</f>
        <v>1500</v>
      </c>
      <c r="G852" s="9">
        <f>IFERROR(__xludf.DUMMYFUNCTION("""COMPUTED_VALUE"""),1.0)</f>
        <v>1</v>
      </c>
      <c r="H852" s="10">
        <f>IFERROR(__xludf.DUMMYFUNCTION("""COMPUTED_VALUE"""),1.0)</f>
        <v>1</v>
      </c>
      <c r="I852" s="11">
        <f>IFERROR(__xludf.DUMMYFUNCTION("""COMPUTED_VALUE"""),1516.0)</f>
        <v>1516</v>
      </c>
      <c r="J852" s="9" t="str">
        <f>IFERROR(__xludf.DUMMYFUNCTION("""COMPUTED_VALUE"""),"UK")</f>
        <v>UK</v>
      </c>
      <c r="K852" s="8"/>
      <c r="L852" s="12"/>
      <c r="M852" s="13"/>
      <c r="N852" s="13" t="str">
        <f>IFERROR(__xludf.DUMMYFUNCTION("IF(ISBLANK(M852),"""",M852*GOOGLEFINANCE(""USDGBP""))"),"")</f>
        <v/>
      </c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</row>
    <row r="853">
      <c r="A853" s="8" t="str">
        <f>IFERROR(__xludf.DUMMYFUNCTION("""COMPUTED_VALUE"""),"133993620180600750")</f>
        <v>133993620180600750</v>
      </c>
      <c r="B853" s="9" t="str">
        <f>IFERROR(__xludf.DUMMYFUNCTION("""COMPUTED_VALUE"""),"France")</f>
        <v>France</v>
      </c>
      <c r="C853" s="9" t="str">
        <f>IFERROR(__xludf.DUMMYFUNCTION("""COMPUTED_VALUE"""),"burgundy")</f>
        <v>burgundy</v>
      </c>
      <c r="D853" s="9" t="str">
        <f>IFERROR(__xludf.DUMMYFUNCTION("""COMPUTED_VALUE"""),"Domaine Coquard Loison Fleurot, Chambolle-Musigny")</f>
        <v>Domaine Coquard Loison Fleurot, Chambolle-Musigny</v>
      </c>
      <c r="E853" s="9">
        <f>IFERROR(__xludf.DUMMYFUNCTION("""COMPUTED_VALUE"""),2018.0)</f>
        <v>2018</v>
      </c>
      <c r="F853" s="9">
        <f>IFERROR(__xludf.DUMMYFUNCTION("""COMPUTED_VALUE"""),750.0)</f>
        <v>750</v>
      </c>
      <c r="G853" s="9">
        <f>IFERROR(__xludf.DUMMYFUNCTION("""COMPUTED_VALUE"""),6.0)</f>
        <v>6</v>
      </c>
      <c r="H853" s="10">
        <f>IFERROR(__xludf.DUMMYFUNCTION("""COMPUTED_VALUE"""),1.0)</f>
        <v>1</v>
      </c>
      <c r="I853" s="11">
        <f>IFERROR(__xludf.DUMMYFUNCTION("""COMPUTED_VALUE"""),318.0)</f>
        <v>318</v>
      </c>
      <c r="J853" s="9" t="str">
        <f>IFERROR(__xludf.DUMMYFUNCTION("""COMPUTED_VALUE"""),"UK")</f>
        <v>UK</v>
      </c>
      <c r="K853" s="8"/>
      <c r="L853" s="12"/>
      <c r="M853" s="13"/>
      <c r="N853" s="13" t="str">
        <f>IFERROR(__xludf.DUMMYFUNCTION("IF(ISBLANK(M853),"""",M853*GOOGLEFINANCE(""USDGBP""))"),"")</f>
        <v/>
      </c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</row>
    <row r="854">
      <c r="A854" s="8" t="str">
        <f>IFERROR(__xludf.DUMMYFUNCTION("""COMPUTED_VALUE"""),"133992320120600750")</f>
        <v>133992320120600750</v>
      </c>
      <c r="B854" s="9" t="str">
        <f>IFERROR(__xludf.DUMMYFUNCTION("""COMPUTED_VALUE"""),"France")</f>
        <v>France</v>
      </c>
      <c r="C854" s="9" t="str">
        <f>IFERROR(__xludf.DUMMYFUNCTION("""COMPUTED_VALUE"""),"burgundy")</f>
        <v>burgundy</v>
      </c>
      <c r="D854" s="9" t="str">
        <f>IFERROR(__xludf.DUMMYFUNCTION("""COMPUTED_VALUE"""),"Domaine Coquard Loison Fleurot, Charmes-Chambertin Grand Cru")</f>
        <v>Domaine Coquard Loison Fleurot, Charmes-Chambertin Grand Cru</v>
      </c>
      <c r="E854" s="9">
        <f>IFERROR(__xludf.DUMMYFUNCTION("""COMPUTED_VALUE"""),2012.0)</f>
        <v>2012</v>
      </c>
      <c r="F854" s="9">
        <f>IFERROR(__xludf.DUMMYFUNCTION("""COMPUTED_VALUE"""),750.0)</f>
        <v>750</v>
      </c>
      <c r="G854" s="9">
        <f>IFERROR(__xludf.DUMMYFUNCTION("""COMPUTED_VALUE"""),6.0)</f>
        <v>6</v>
      </c>
      <c r="H854" s="10">
        <f>IFERROR(__xludf.DUMMYFUNCTION("""COMPUTED_VALUE"""),1.0)</f>
        <v>1</v>
      </c>
      <c r="I854" s="11">
        <f>IFERROR(__xludf.DUMMYFUNCTION("""COMPUTED_VALUE"""),1550.0)</f>
        <v>1550</v>
      </c>
      <c r="J854" s="9" t="str">
        <f>IFERROR(__xludf.DUMMYFUNCTION("""COMPUTED_VALUE"""),"UK")</f>
        <v>UK</v>
      </c>
      <c r="K854" s="8"/>
      <c r="L854" s="12"/>
      <c r="M854" s="13"/>
      <c r="N854" s="13" t="str">
        <f>IFERROR(__xludf.DUMMYFUNCTION("IF(ISBLANK(M854),"""",M854*GOOGLEFINANCE(""USDGBP""))"),"")</f>
        <v/>
      </c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</row>
    <row r="855">
      <c r="A855" s="8" t="str">
        <f>IFERROR(__xludf.DUMMYFUNCTION("""COMPUTED_VALUE"""),"143857020170600750")</f>
        <v>143857020170600750</v>
      </c>
      <c r="B855" s="9" t="str">
        <f>IFERROR(__xludf.DUMMYFUNCTION("""COMPUTED_VALUE"""),"France")</f>
        <v>France</v>
      </c>
      <c r="C855" s="9" t="str">
        <f>IFERROR(__xludf.DUMMYFUNCTION("""COMPUTED_VALUE"""),"burgundy")</f>
        <v>burgundy</v>
      </c>
      <c r="D855" s="9" t="str">
        <f>IFERROR(__xludf.DUMMYFUNCTION("""COMPUTED_VALUE"""),"Domaine Coquard Loison Fleurot, Clos de Vougeot Grand Cru")</f>
        <v>Domaine Coquard Loison Fleurot, Clos de Vougeot Grand Cru</v>
      </c>
      <c r="E855" s="9">
        <f>IFERROR(__xludf.DUMMYFUNCTION("""COMPUTED_VALUE"""),2017.0)</f>
        <v>2017</v>
      </c>
      <c r="F855" s="9">
        <f>IFERROR(__xludf.DUMMYFUNCTION("""COMPUTED_VALUE"""),750.0)</f>
        <v>750</v>
      </c>
      <c r="G855" s="9">
        <f>IFERROR(__xludf.DUMMYFUNCTION("""COMPUTED_VALUE"""),6.0)</f>
        <v>6</v>
      </c>
      <c r="H855" s="10">
        <f>IFERROR(__xludf.DUMMYFUNCTION("""COMPUTED_VALUE"""),1.0)</f>
        <v>1</v>
      </c>
      <c r="I855" s="11">
        <f>IFERROR(__xludf.DUMMYFUNCTION("""COMPUTED_VALUE"""),866.0)</f>
        <v>866</v>
      </c>
      <c r="J855" s="9" t="str">
        <f>IFERROR(__xludf.DUMMYFUNCTION("""COMPUTED_VALUE"""),"UK")</f>
        <v>UK</v>
      </c>
      <c r="K855" s="8"/>
      <c r="L855" s="12"/>
      <c r="M855" s="13"/>
      <c r="N855" s="13" t="str">
        <f>IFERROR(__xludf.DUMMYFUNCTION("IF(ISBLANK(M855),"""",M855*GOOGLEFINANCE(""USDGBP""))"),"")</f>
        <v/>
      </c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</row>
    <row r="856">
      <c r="A856" s="8" t="str">
        <f>IFERROR(__xludf.DUMMYFUNCTION("""COMPUTED_VALUE"""),"143857020180600750")</f>
        <v>143857020180600750</v>
      </c>
      <c r="B856" s="9" t="str">
        <f>IFERROR(__xludf.DUMMYFUNCTION("""COMPUTED_VALUE"""),"France")</f>
        <v>France</v>
      </c>
      <c r="C856" s="9" t="str">
        <f>IFERROR(__xludf.DUMMYFUNCTION("""COMPUTED_VALUE"""),"burgundy")</f>
        <v>burgundy</v>
      </c>
      <c r="D856" s="9" t="str">
        <f>IFERROR(__xludf.DUMMYFUNCTION("""COMPUTED_VALUE"""),"Domaine Coquard Loison Fleurot, Clos de Vougeot Grand Cru")</f>
        <v>Domaine Coquard Loison Fleurot, Clos de Vougeot Grand Cru</v>
      </c>
      <c r="E856" s="9">
        <f>IFERROR(__xludf.DUMMYFUNCTION("""COMPUTED_VALUE"""),2018.0)</f>
        <v>2018</v>
      </c>
      <c r="F856" s="9">
        <f>IFERROR(__xludf.DUMMYFUNCTION("""COMPUTED_VALUE"""),750.0)</f>
        <v>750</v>
      </c>
      <c r="G856" s="9">
        <f>IFERROR(__xludf.DUMMYFUNCTION("""COMPUTED_VALUE"""),6.0)</f>
        <v>6</v>
      </c>
      <c r="H856" s="10">
        <f>IFERROR(__xludf.DUMMYFUNCTION("""COMPUTED_VALUE"""),2.0)</f>
        <v>2</v>
      </c>
      <c r="I856" s="11">
        <f>IFERROR(__xludf.DUMMYFUNCTION("""COMPUTED_VALUE"""),851.0)</f>
        <v>851</v>
      </c>
      <c r="J856" s="9" t="str">
        <f>IFERROR(__xludf.DUMMYFUNCTION("""COMPUTED_VALUE"""),"UK")</f>
        <v>UK</v>
      </c>
      <c r="K856" s="8"/>
      <c r="L856" s="12"/>
      <c r="M856" s="13"/>
      <c r="N856" s="13" t="str">
        <f>IFERROR(__xludf.DUMMYFUNCTION("IF(ISBLANK(M856),"""",M856*GOOGLEFINANCE(""USDGBP""))"),"")</f>
        <v/>
      </c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</row>
    <row r="857">
      <c r="A857" s="8" t="str">
        <f>IFERROR(__xludf.DUMMYFUNCTION("""COMPUTED_VALUE"""),"143857020190600750")</f>
        <v>143857020190600750</v>
      </c>
      <c r="B857" s="9" t="str">
        <f>IFERROR(__xludf.DUMMYFUNCTION("""COMPUTED_VALUE"""),"France")</f>
        <v>France</v>
      </c>
      <c r="C857" s="9" t="str">
        <f>IFERROR(__xludf.DUMMYFUNCTION("""COMPUTED_VALUE"""),"burgundy")</f>
        <v>burgundy</v>
      </c>
      <c r="D857" s="9" t="str">
        <f>IFERROR(__xludf.DUMMYFUNCTION("""COMPUTED_VALUE"""),"Domaine Coquard Loison Fleurot, Clos de Vougeot Grand Cru")</f>
        <v>Domaine Coquard Loison Fleurot, Clos de Vougeot Grand Cru</v>
      </c>
      <c r="E857" s="9">
        <f>IFERROR(__xludf.DUMMYFUNCTION("""COMPUTED_VALUE"""),2019.0)</f>
        <v>2019</v>
      </c>
      <c r="F857" s="9">
        <f>IFERROR(__xludf.DUMMYFUNCTION("""COMPUTED_VALUE"""),750.0)</f>
        <v>750</v>
      </c>
      <c r="G857" s="9">
        <f>IFERROR(__xludf.DUMMYFUNCTION("""COMPUTED_VALUE"""),6.0)</f>
        <v>6</v>
      </c>
      <c r="H857" s="10">
        <f>IFERROR(__xludf.DUMMYFUNCTION("""COMPUTED_VALUE"""),1.0)</f>
        <v>1</v>
      </c>
      <c r="I857" s="11">
        <f>IFERROR(__xludf.DUMMYFUNCTION("""COMPUTED_VALUE"""),1209.0)</f>
        <v>1209</v>
      </c>
      <c r="J857" s="9" t="str">
        <f>IFERROR(__xludf.DUMMYFUNCTION("""COMPUTED_VALUE"""),"UK")</f>
        <v>UK</v>
      </c>
      <c r="K857" s="8"/>
      <c r="L857" s="12"/>
      <c r="M857" s="13"/>
      <c r="N857" s="13" t="str">
        <f>IFERROR(__xludf.DUMMYFUNCTION("IF(ISBLANK(M857),"""",M857*GOOGLEFINANCE(""USDGBP""))"),"")</f>
        <v/>
      </c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</row>
    <row r="858">
      <c r="A858" s="8" t="str">
        <f>IFERROR(__xludf.DUMMYFUNCTION("""COMPUTED_VALUE"""),"133991020180600750")</f>
        <v>133991020180600750</v>
      </c>
      <c r="B858" s="9" t="str">
        <f>IFERROR(__xludf.DUMMYFUNCTION("""COMPUTED_VALUE"""),"France")</f>
        <v>France</v>
      </c>
      <c r="C858" s="9" t="str">
        <f>IFERROR(__xludf.DUMMYFUNCTION("""COMPUTED_VALUE"""),"burgundy")</f>
        <v>burgundy</v>
      </c>
      <c r="D858" s="9" t="str">
        <f>IFERROR(__xludf.DUMMYFUNCTION("""COMPUTED_VALUE"""),"Domaine Coquard Loison Fleurot, Clos de la Roche Grand Cru")</f>
        <v>Domaine Coquard Loison Fleurot, Clos de la Roche Grand Cru</v>
      </c>
      <c r="E858" s="9">
        <f>IFERROR(__xludf.DUMMYFUNCTION("""COMPUTED_VALUE"""),2018.0)</f>
        <v>2018</v>
      </c>
      <c r="F858" s="9">
        <f>IFERROR(__xludf.DUMMYFUNCTION("""COMPUTED_VALUE"""),750.0)</f>
        <v>750</v>
      </c>
      <c r="G858" s="9">
        <f>IFERROR(__xludf.DUMMYFUNCTION("""COMPUTED_VALUE"""),6.0)</f>
        <v>6</v>
      </c>
      <c r="H858" s="10">
        <f>IFERROR(__xludf.DUMMYFUNCTION("""COMPUTED_VALUE"""),1.0)</f>
        <v>1</v>
      </c>
      <c r="I858" s="11">
        <f>IFERROR(__xludf.DUMMYFUNCTION("""COMPUTED_VALUE"""),986.0)</f>
        <v>986</v>
      </c>
      <c r="J858" s="9" t="str">
        <f>IFERROR(__xludf.DUMMYFUNCTION("""COMPUTED_VALUE"""),"UK")</f>
        <v>UK</v>
      </c>
      <c r="K858" s="8"/>
      <c r="L858" s="12"/>
      <c r="M858" s="13"/>
      <c r="N858" s="13" t="str">
        <f>IFERROR(__xludf.DUMMYFUNCTION("IF(ISBLANK(M858),"""",M858*GOOGLEFINANCE(""USDGBP""))"),"")</f>
        <v/>
      </c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</row>
    <row r="859">
      <c r="A859" s="8" t="str">
        <f>IFERROR(__xludf.DUMMYFUNCTION("""COMPUTED_VALUE"""),"133991020190600750")</f>
        <v>133991020190600750</v>
      </c>
      <c r="B859" s="9" t="str">
        <f>IFERROR(__xludf.DUMMYFUNCTION("""COMPUTED_VALUE"""),"France")</f>
        <v>France</v>
      </c>
      <c r="C859" s="9" t="str">
        <f>IFERROR(__xludf.DUMMYFUNCTION("""COMPUTED_VALUE"""),"burgundy")</f>
        <v>burgundy</v>
      </c>
      <c r="D859" s="9" t="str">
        <f>IFERROR(__xludf.DUMMYFUNCTION("""COMPUTED_VALUE"""),"Domaine Coquard Loison Fleurot, Clos de la Roche Grand Cru")</f>
        <v>Domaine Coquard Loison Fleurot, Clos de la Roche Grand Cru</v>
      </c>
      <c r="E859" s="9">
        <f>IFERROR(__xludf.DUMMYFUNCTION("""COMPUTED_VALUE"""),2019.0)</f>
        <v>2019</v>
      </c>
      <c r="F859" s="9">
        <f>IFERROR(__xludf.DUMMYFUNCTION("""COMPUTED_VALUE"""),750.0)</f>
        <v>750</v>
      </c>
      <c r="G859" s="9">
        <f>IFERROR(__xludf.DUMMYFUNCTION("""COMPUTED_VALUE"""),6.0)</f>
        <v>6</v>
      </c>
      <c r="H859" s="10">
        <f>IFERROR(__xludf.DUMMYFUNCTION("""COMPUTED_VALUE"""),6.0)</f>
        <v>6</v>
      </c>
      <c r="I859" s="11">
        <f>IFERROR(__xludf.DUMMYFUNCTION("""COMPUTED_VALUE"""),1351.0)</f>
        <v>1351</v>
      </c>
      <c r="J859" s="9" t="str">
        <f>IFERROR(__xludf.DUMMYFUNCTION("""COMPUTED_VALUE"""),"UK")</f>
        <v>UK</v>
      </c>
      <c r="K859" s="8"/>
      <c r="L859" s="12"/>
      <c r="M859" s="13"/>
      <c r="N859" s="13" t="str">
        <f>IFERROR(__xludf.DUMMYFUNCTION("IF(ISBLANK(M859),"""",M859*GOOGLEFINANCE(""USDGBP""))"),"")</f>
        <v/>
      </c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</row>
    <row r="860">
      <c r="A860" s="8" t="str">
        <f>IFERROR(__xludf.DUMMYFUNCTION("""COMPUTED_VALUE"""),"131189720140600750")</f>
        <v>131189720140600750</v>
      </c>
      <c r="B860" s="9" t="str">
        <f>IFERROR(__xludf.DUMMYFUNCTION("""COMPUTED_VALUE"""),"France")</f>
        <v>France</v>
      </c>
      <c r="C860" s="9" t="str">
        <f>IFERROR(__xludf.DUMMYFUNCTION("""COMPUTED_VALUE"""),"burgundy")</f>
        <v>burgundy</v>
      </c>
      <c r="D860" s="9" t="str">
        <f>IFERROR(__xludf.DUMMYFUNCTION("""COMPUTED_VALUE"""),"Domaine Coquard Loison Fleurot, Vosne-Romanee")</f>
        <v>Domaine Coquard Loison Fleurot, Vosne-Romanee</v>
      </c>
      <c r="E860" s="9">
        <f>IFERROR(__xludf.DUMMYFUNCTION("""COMPUTED_VALUE"""),2014.0)</f>
        <v>2014</v>
      </c>
      <c r="F860" s="9">
        <f>IFERROR(__xludf.DUMMYFUNCTION("""COMPUTED_VALUE"""),750.0)</f>
        <v>750</v>
      </c>
      <c r="G860" s="9">
        <f>IFERROR(__xludf.DUMMYFUNCTION("""COMPUTED_VALUE"""),6.0)</f>
        <v>6</v>
      </c>
      <c r="H860" s="10">
        <f>IFERROR(__xludf.DUMMYFUNCTION("""COMPUTED_VALUE"""),1.0)</f>
        <v>1</v>
      </c>
      <c r="I860" s="11">
        <f>IFERROR(__xludf.DUMMYFUNCTION("""COMPUTED_VALUE"""),450.0)</f>
        <v>450</v>
      </c>
      <c r="J860" s="9" t="str">
        <f>IFERROR(__xludf.DUMMYFUNCTION("""COMPUTED_VALUE"""),"UK")</f>
        <v>UK</v>
      </c>
      <c r="K860" s="8"/>
      <c r="L860" s="12"/>
      <c r="M860" s="13"/>
      <c r="N860" s="13" t="str">
        <f>IFERROR(__xludf.DUMMYFUNCTION("IF(ISBLANK(M860),"""",M860*GOOGLEFINANCE(""USDGBP""))"),"")</f>
        <v/>
      </c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</row>
    <row r="861">
      <c r="A861" s="8" t="str">
        <f>IFERROR(__xludf.DUMMYFUNCTION("""COMPUTED_VALUE"""),"131189720180600750")</f>
        <v>131189720180600750</v>
      </c>
      <c r="B861" s="9" t="str">
        <f>IFERROR(__xludf.DUMMYFUNCTION("""COMPUTED_VALUE"""),"France")</f>
        <v>France</v>
      </c>
      <c r="C861" s="9" t="str">
        <f>IFERROR(__xludf.DUMMYFUNCTION("""COMPUTED_VALUE"""),"burgundy")</f>
        <v>burgundy</v>
      </c>
      <c r="D861" s="9" t="str">
        <f>IFERROR(__xludf.DUMMYFUNCTION("""COMPUTED_VALUE"""),"Domaine Coquard Loison Fleurot, Vosne-Romanee")</f>
        <v>Domaine Coquard Loison Fleurot, Vosne-Romanee</v>
      </c>
      <c r="E861" s="9">
        <f>IFERROR(__xludf.DUMMYFUNCTION("""COMPUTED_VALUE"""),2018.0)</f>
        <v>2018</v>
      </c>
      <c r="F861" s="9">
        <f>IFERROR(__xludf.DUMMYFUNCTION("""COMPUTED_VALUE"""),750.0)</f>
        <v>750</v>
      </c>
      <c r="G861" s="9">
        <f>IFERROR(__xludf.DUMMYFUNCTION("""COMPUTED_VALUE"""),6.0)</f>
        <v>6</v>
      </c>
      <c r="H861" s="10">
        <f>IFERROR(__xludf.DUMMYFUNCTION("""COMPUTED_VALUE"""),1.0)</f>
        <v>1</v>
      </c>
      <c r="I861" s="11">
        <f>IFERROR(__xludf.DUMMYFUNCTION("""COMPUTED_VALUE"""),366.0)</f>
        <v>366</v>
      </c>
      <c r="J861" s="9" t="str">
        <f>IFERROR(__xludf.DUMMYFUNCTION("""COMPUTED_VALUE"""),"UK")</f>
        <v>UK</v>
      </c>
      <c r="K861" s="8"/>
      <c r="L861" s="12"/>
      <c r="M861" s="13"/>
      <c r="N861" s="13" t="str">
        <f>IFERROR(__xludf.DUMMYFUNCTION("IF(ISBLANK(M861),"""",M861*GOOGLEFINANCE(""USDGBP""))"),"")</f>
        <v/>
      </c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</row>
    <row r="862">
      <c r="A862" s="8" t="str">
        <f>IFERROR(__xludf.DUMMYFUNCTION("""COMPUTED_VALUE"""),"101928520170600750")</f>
        <v>101928520170600750</v>
      </c>
      <c r="B862" s="9" t="str">
        <f>IFERROR(__xludf.DUMMYFUNCTION("""COMPUTED_VALUE"""),"France")</f>
        <v>France</v>
      </c>
      <c r="C862" s="9" t="str">
        <f>IFERROR(__xludf.DUMMYFUNCTION("""COMPUTED_VALUE"""),"burgundy")</f>
        <v>burgundy</v>
      </c>
      <c r="D862" s="9" t="str">
        <f>IFERROR(__xludf.DUMMYFUNCTION("""COMPUTED_VALUE"""),"Domaine Denis Bachelet, Gevrey-Chambertin Premier Cru, Les Corbeaux Vieilles Vignes")</f>
        <v>Domaine Denis Bachelet, Gevrey-Chambertin Premier Cru, Les Corbeaux Vieilles Vignes</v>
      </c>
      <c r="E862" s="9">
        <f>IFERROR(__xludf.DUMMYFUNCTION("""COMPUTED_VALUE"""),2017.0)</f>
        <v>2017</v>
      </c>
      <c r="F862" s="9">
        <f>IFERROR(__xludf.DUMMYFUNCTION("""COMPUTED_VALUE"""),750.0)</f>
        <v>750</v>
      </c>
      <c r="G862" s="9">
        <f>IFERROR(__xludf.DUMMYFUNCTION("""COMPUTED_VALUE"""),6.0)</f>
        <v>6</v>
      </c>
      <c r="H862" s="10">
        <f>IFERROR(__xludf.DUMMYFUNCTION("""COMPUTED_VALUE"""),1.0)</f>
        <v>1</v>
      </c>
      <c r="I862" s="11">
        <f>IFERROR(__xludf.DUMMYFUNCTION("""COMPUTED_VALUE"""),1284.0)</f>
        <v>1284</v>
      </c>
      <c r="J862" s="9" t="str">
        <f>IFERROR(__xludf.DUMMYFUNCTION("""COMPUTED_VALUE"""),"UK")</f>
        <v>UK</v>
      </c>
      <c r="K862" s="8"/>
      <c r="L862" s="12"/>
      <c r="M862" s="13"/>
      <c r="N862" s="13" t="str">
        <f>IFERROR(__xludf.DUMMYFUNCTION("IF(ISBLANK(M862),"""",M862*GOOGLEFINANCE(""USDGBP""))"),"")</f>
        <v/>
      </c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</row>
    <row r="863">
      <c r="A863" s="8" t="str">
        <f>IFERROR(__xludf.DUMMYFUNCTION("""COMPUTED_VALUE"""),"124776120160300750")</f>
        <v>124776120160300750</v>
      </c>
      <c r="B863" s="9" t="str">
        <f>IFERROR(__xludf.DUMMYFUNCTION("""COMPUTED_VALUE"""),"France")</f>
        <v>France</v>
      </c>
      <c r="C863" s="9" t="str">
        <f>IFERROR(__xludf.DUMMYFUNCTION("""COMPUTED_VALUE"""),"burgundy")</f>
        <v>burgundy</v>
      </c>
      <c r="D863" s="9" t="str">
        <f>IFERROR(__xludf.DUMMYFUNCTION("""COMPUTED_VALUE"""),"Domaine Denis Bachelet, Gevrey-Chambertin Premier Cru, Les Corbeaux Vv")</f>
        <v>Domaine Denis Bachelet, Gevrey-Chambertin Premier Cru, Les Corbeaux Vv</v>
      </c>
      <c r="E863" s="9">
        <f>IFERROR(__xludf.DUMMYFUNCTION("""COMPUTED_VALUE"""),2016.0)</f>
        <v>2016</v>
      </c>
      <c r="F863" s="9">
        <f>IFERROR(__xludf.DUMMYFUNCTION("""COMPUTED_VALUE"""),750.0)</f>
        <v>750</v>
      </c>
      <c r="G863" s="9">
        <f>IFERROR(__xludf.DUMMYFUNCTION("""COMPUTED_VALUE"""),3.0)</f>
        <v>3</v>
      </c>
      <c r="H863" s="10">
        <f>IFERROR(__xludf.DUMMYFUNCTION("""COMPUTED_VALUE"""),1.0)</f>
        <v>1</v>
      </c>
      <c r="I863" s="11">
        <f>IFERROR(__xludf.DUMMYFUNCTION("""COMPUTED_VALUE"""),699.0)</f>
        <v>699</v>
      </c>
      <c r="J863" s="9" t="str">
        <f>IFERROR(__xludf.DUMMYFUNCTION("""COMPUTED_VALUE"""),"UK")</f>
        <v>UK</v>
      </c>
      <c r="K863" s="8"/>
      <c r="L863" s="12"/>
      <c r="M863" s="13"/>
      <c r="N863" s="13" t="str">
        <f>IFERROR(__xludf.DUMMYFUNCTION("IF(ISBLANK(M863),"""",M863*GOOGLEFINANCE(""USDGBP""))"),"")</f>
        <v/>
      </c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</row>
    <row r="864">
      <c r="A864" s="8" t="str">
        <f>IFERROR(__xludf.DUMMYFUNCTION("""COMPUTED_VALUE"""),"124776120180300750")</f>
        <v>124776120180300750</v>
      </c>
      <c r="B864" s="9" t="str">
        <f>IFERROR(__xludf.DUMMYFUNCTION("""COMPUTED_VALUE"""),"France")</f>
        <v>France</v>
      </c>
      <c r="C864" s="9" t="str">
        <f>IFERROR(__xludf.DUMMYFUNCTION("""COMPUTED_VALUE"""),"burgundy")</f>
        <v>burgundy</v>
      </c>
      <c r="D864" s="9" t="str">
        <f>IFERROR(__xludf.DUMMYFUNCTION("""COMPUTED_VALUE"""),"Domaine Denis Bachelet, Gevrey-Chambertin Premier Cru, Les Corbeaux Vv")</f>
        <v>Domaine Denis Bachelet, Gevrey-Chambertin Premier Cru, Les Corbeaux Vv</v>
      </c>
      <c r="E864" s="9">
        <f>IFERROR(__xludf.DUMMYFUNCTION("""COMPUTED_VALUE"""),2018.0)</f>
        <v>2018</v>
      </c>
      <c r="F864" s="9">
        <f>IFERROR(__xludf.DUMMYFUNCTION("""COMPUTED_VALUE"""),750.0)</f>
        <v>750</v>
      </c>
      <c r="G864" s="9">
        <f>IFERROR(__xludf.DUMMYFUNCTION("""COMPUTED_VALUE"""),3.0)</f>
        <v>3</v>
      </c>
      <c r="H864" s="10">
        <f>IFERROR(__xludf.DUMMYFUNCTION("""COMPUTED_VALUE"""),1.0)</f>
        <v>1</v>
      </c>
      <c r="I864" s="11">
        <f>IFERROR(__xludf.DUMMYFUNCTION("""COMPUTED_VALUE"""),641.0)</f>
        <v>641</v>
      </c>
      <c r="J864" s="9" t="str">
        <f>IFERROR(__xludf.DUMMYFUNCTION("""COMPUTED_VALUE"""),"UK")</f>
        <v>UK</v>
      </c>
      <c r="K864" s="8"/>
      <c r="L864" s="12"/>
      <c r="M864" s="13"/>
      <c r="N864" s="13" t="str">
        <f>IFERROR(__xludf.DUMMYFUNCTION("IF(ISBLANK(M864),"""",M864*GOOGLEFINANCE(""USDGBP""))"),"")</f>
        <v/>
      </c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</row>
    <row r="865">
      <c r="A865" s="8" t="str">
        <f>IFERROR(__xludf.DUMMYFUNCTION("""COMPUTED_VALUE"""),"104909120180600750")</f>
        <v>104909120180600750</v>
      </c>
      <c r="B865" s="9" t="str">
        <f>IFERROR(__xludf.DUMMYFUNCTION("""COMPUTED_VALUE"""),"France")</f>
        <v>France</v>
      </c>
      <c r="C865" s="9" t="str">
        <f>IFERROR(__xludf.DUMMYFUNCTION("""COMPUTED_VALUE"""),"burgundy")</f>
        <v>burgundy</v>
      </c>
      <c r="D865" s="9" t="str">
        <f>IFERROR(__xludf.DUMMYFUNCTION("""COMPUTED_VALUE"""),"Domaine Denis Mortet, Gevrey-Chambertin Premier Cru, Champeaux")</f>
        <v>Domaine Denis Mortet, Gevrey-Chambertin Premier Cru, Champeaux</v>
      </c>
      <c r="E865" s="9">
        <f>IFERROR(__xludf.DUMMYFUNCTION("""COMPUTED_VALUE"""),2018.0)</f>
        <v>2018</v>
      </c>
      <c r="F865" s="9">
        <f>IFERROR(__xludf.DUMMYFUNCTION("""COMPUTED_VALUE"""),750.0)</f>
        <v>750</v>
      </c>
      <c r="G865" s="9">
        <f>IFERROR(__xludf.DUMMYFUNCTION("""COMPUTED_VALUE"""),6.0)</f>
        <v>6</v>
      </c>
      <c r="H865" s="10">
        <f>IFERROR(__xludf.DUMMYFUNCTION("""COMPUTED_VALUE"""),1.0)</f>
        <v>1</v>
      </c>
      <c r="I865" s="11">
        <f>IFERROR(__xludf.DUMMYFUNCTION("""COMPUTED_VALUE"""),1366.0)</f>
        <v>1366</v>
      </c>
      <c r="J865" s="9" t="str">
        <f>IFERROR(__xludf.DUMMYFUNCTION("""COMPUTED_VALUE"""),"UK")</f>
        <v>UK</v>
      </c>
      <c r="K865" s="8"/>
      <c r="L865" s="12"/>
      <c r="M865" s="13"/>
      <c r="N865" s="13" t="str">
        <f>IFERROR(__xludf.DUMMYFUNCTION("IF(ISBLANK(M865),"""",M865*GOOGLEFINANCE(""USDGBP""))"),"")</f>
        <v/>
      </c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</row>
    <row r="866">
      <c r="A866" s="8" t="str">
        <f>IFERROR(__xludf.DUMMYFUNCTION("""COMPUTED_VALUE"""),"122457120150600750")</f>
        <v>122457120150600750</v>
      </c>
      <c r="B866" s="9" t="str">
        <f>IFERROR(__xludf.DUMMYFUNCTION("""COMPUTED_VALUE"""),"France")</f>
        <v>France</v>
      </c>
      <c r="C866" s="9" t="str">
        <f>IFERROR(__xludf.DUMMYFUNCTION("""COMPUTED_VALUE"""),"burgundy")</f>
        <v>burgundy</v>
      </c>
      <c r="D866" s="9" t="str">
        <f>IFERROR(__xludf.DUMMYFUNCTION("""COMPUTED_VALUE"""),"Domaine Denis Mortet, Gevrey-Chambertin, Mes Cinq Terroirs")</f>
        <v>Domaine Denis Mortet, Gevrey-Chambertin, Mes Cinq Terroirs</v>
      </c>
      <c r="E866" s="9">
        <f>IFERROR(__xludf.DUMMYFUNCTION("""COMPUTED_VALUE"""),2015.0)</f>
        <v>2015</v>
      </c>
      <c r="F866" s="9">
        <f>IFERROR(__xludf.DUMMYFUNCTION("""COMPUTED_VALUE"""),750.0)</f>
        <v>750</v>
      </c>
      <c r="G866" s="9">
        <f>IFERROR(__xludf.DUMMYFUNCTION("""COMPUTED_VALUE"""),6.0)</f>
        <v>6</v>
      </c>
      <c r="H866" s="10">
        <f>IFERROR(__xludf.DUMMYFUNCTION("""COMPUTED_VALUE"""),1.0)</f>
        <v>1</v>
      </c>
      <c r="I866" s="11">
        <f>IFERROR(__xludf.DUMMYFUNCTION("""COMPUTED_VALUE"""),663.0)</f>
        <v>663</v>
      </c>
      <c r="J866" s="9" t="str">
        <f>IFERROR(__xludf.DUMMYFUNCTION("""COMPUTED_VALUE"""),"UK")</f>
        <v>UK</v>
      </c>
      <c r="K866" s="8"/>
      <c r="L866" s="12"/>
      <c r="M866" s="13"/>
      <c r="N866" s="13" t="str">
        <f>IFERROR(__xludf.DUMMYFUNCTION("IF(ISBLANK(M866),"""",M866*GOOGLEFINANCE(""USDGBP""))"),"")</f>
        <v/>
      </c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</row>
    <row r="867">
      <c r="A867" s="8" t="str">
        <f>IFERROR(__xludf.DUMMYFUNCTION("""COMPUTED_VALUE"""),"102949520170600750")</f>
        <v>102949520170600750</v>
      </c>
      <c r="B867" s="9" t="str">
        <f>IFERROR(__xludf.DUMMYFUNCTION("""COMPUTED_VALUE"""),"France")</f>
        <v>France</v>
      </c>
      <c r="C867" s="9" t="str">
        <f>IFERROR(__xludf.DUMMYFUNCTION("""COMPUTED_VALUE"""),"burgundy")</f>
        <v>burgundy</v>
      </c>
      <c r="D867" s="9" t="str">
        <f>IFERROR(__xludf.DUMMYFUNCTION("""COMPUTED_VALUE"""),"Domaine Drouhin Laroze, Bonnes Mares Grand Cru")</f>
        <v>Domaine Drouhin Laroze, Bonnes Mares Grand Cru</v>
      </c>
      <c r="E867" s="9">
        <f>IFERROR(__xludf.DUMMYFUNCTION("""COMPUTED_VALUE"""),2017.0)</f>
        <v>2017</v>
      </c>
      <c r="F867" s="9">
        <f>IFERROR(__xludf.DUMMYFUNCTION("""COMPUTED_VALUE"""),750.0)</f>
        <v>750</v>
      </c>
      <c r="G867" s="9">
        <f>IFERROR(__xludf.DUMMYFUNCTION("""COMPUTED_VALUE"""),6.0)</f>
        <v>6</v>
      </c>
      <c r="H867" s="10">
        <f>IFERROR(__xludf.DUMMYFUNCTION("""COMPUTED_VALUE"""),1.0)</f>
        <v>1</v>
      </c>
      <c r="I867" s="11">
        <f>IFERROR(__xludf.DUMMYFUNCTION("""COMPUTED_VALUE"""),774.0)</f>
        <v>774</v>
      </c>
      <c r="J867" s="9" t="str">
        <f>IFERROR(__xludf.DUMMYFUNCTION("""COMPUTED_VALUE"""),"UK")</f>
        <v>UK</v>
      </c>
      <c r="K867" s="8"/>
      <c r="L867" s="12"/>
      <c r="M867" s="13"/>
      <c r="N867" s="13" t="str">
        <f>IFERROR(__xludf.DUMMYFUNCTION("IF(ISBLANK(M867),"""",M867*GOOGLEFINANCE(""USDGBP""))"),"")</f>
        <v/>
      </c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</row>
    <row r="868">
      <c r="A868" s="8" t="str">
        <f>IFERROR(__xludf.DUMMYFUNCTION("""COMPUTED_VALUE"""),"103052720190600750")</f>
        <v>103052720190600750</v>
      </c>
      <c r="B868" s="9" t="str">
        <f>IFERROR(__xludf.DUMMYFUNCTION("""COMPUTED_VALUE"""),"France")</f>
        <v>France</v>
      </c>
      <c r="C868" s="9" t="str">
        <f>IFERROR(__xludf.DUMMYFUNCTION("""COMPUTED_VALUE"""),"burgundy")</f>
        <v>burgundy</v>
      </c>
      <c r="D868" s="9" t="str">
        <f>IFERROR(__xludf.DUMMYFUNCTION("""COMPUTED_VALUE"""),"Domaine Dujac, Chambolle-Musigny Premier Cru, Les Gruenchers")</f>
        <v>Domaine Dujac, Chambolle-Musigny Premier Cru, Les Gruenchers</v>
      </c>
      <c r="E868" s="9">
        <f>IFERROR(__xludf.DUMMYFUNCTION("""COMPUTED_VALUE"""),2019.0)</f>
        <v>2019</v>
      </c>
      <c r="F868" s="9">
        <f>IFERROR(__xludf.DUMMYFUNCTION("""COMPUTED_VALUE"""),750.0)</f>
        <v>750</v>
      </c>
      <c r="G868" s="9">
        <f>IFERROR(__xludf.DUMMYFUNCTION("""COMPUTED_VALUE"""),6.0)</f>
        <v>6</v>
      </c>
      <c r="H868" s="10">
        <f>IFERROR(__xludf.DUMMYFUNCTION("""COMPUTED_VALUE"""),1.0)</f>
        <v>1</v>
      </c>
      <c r="I868" s="11">
        <f>IFERROR(__xludf.DUMMYFUNCTION("""COMPUTED_VALUE"""),2992.0)</f>
        <v>2992</v>
      </c>
      <c r="J868" s="9" t="str">
        <f>IFERROR(__xludf.DUMMYFUNCTION("""COMPUTED_VALUE"""),"UK")</f>
        <v>UK</v>
      </c>
      <c r="K868" s="8"/>
      <c r="L868" s="12"/>
      <c r="M868" s="13"/>
      <c r="N868" s="13" t="str">
        <f>IFERROR(__xludf.DUMMYFUNCTION("IF(ISBLANK(M868),"""",M868*GOOGLEFINANCE(""USDGBP""))"),"")</f>
        <v/>
      </c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</row>
    <row r="869">
      <c r="A869" s="8" t="str">
        <f>IFERROR(__xludf.DUMMYFUNCTION("""COMPUTED_VALUE"""),"103053020170600750")</f>
        <v>103053020170600750</v>
      </c>
      <c r="B869" s="9" t="str">
        <f>IFERROR(__xludf.DUMMYFUNCTION("""COMPUTED_VALUE"""),"France")</f>
        <v>France</v>
      </c>
      <c r="C869" s="9" t="str">
        <f>IFERROR(__xludf.DUMMYFUNCTION("""COMPUTED_VALUE"""),"burgundy")</f>
        <v>burgundy</v>
      </c>
      <c r="D869" s="9" t="str">
        <f>IFERROR(__xludf.DUMMYFUNCTION("""COMPUTED_VALUE"""),"Domaine Dujac, Charmes-Chambertin Grand Cru")</f>
        <v>Domaine Dujac, Charmes-Chambertin Grand Cru</v>
      </c>
      <c r="E869" s="9">
        <f>IFERROR(__xludf.DUMMYFUNCTION("""COMPUTED_VALUE"""),2017.0)</f>
        <v>2017</v>
      </c>
      <c r="F869" s="9">
        <f>IFERROR(__xludf.DUMMYFUNCTION("""COMPUTED_VALUE"""),750.0)</f>
        <v>750</v>
      </c>
      <c r="G869" s="9">
        <f>IFERROR(__xludf.DUMMYFUNCTION("""COMPUTED_VALUE"""),6.0)</f>
        <v>6</v>
      </c>
      <c r="H869" s="10">
        <f>IFERROR(__xludf.DUMMYFUNCTION("""COMPUTED_VALUE"""),1.0)</f>
        <v>1</v>
      </c>
      <c r="I869" s="11">
        <f>IFERROR(__xludf.DUMMYFUNCTION("""COMPUTED_VALUE"""),3212.0)</f>
        <v>3212</v>
      </c>
      <c r="J869" s="9" t="str">
        <f>IFERROR(__xludf.DUMMYFUNCTION("""COMPUTED_VALUE"""),"UK")</f>
        <v>UK</v>
      </c>
      <c r="K869" s="8"/>
      <c r="L869" s="12"/>
      <c r="M869" s="13"/>
      <c r="N869" s="13" t="str">
        <f>IFERROR(__xludf.DUMMYFUNCTION("IF(ISBLANK(M869),"""",M869*GOOGLEFINANCE(""USDGBP""))"),"")</f>
        <v/>
      </c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</row>
    <row r="870">
      <c r="A870" s="8" t="str">
        <f>IFERROR(__xludf.DUMMYFUNCTION("""COMPUTED_VALUE"""),"103053020180600750")</f>
        <v>103053020180600750</v>
      </c>
      <c r="B870" s="9" t="str">
        <f>IFERROR(__xludf.DUMMYFUNCTION("""COMPUTED_VALUE"""),"France")</f>
        <v>France</v>
      </c>
      <c r="C870" s="9" t="str">
        <f>IFERROR(__xludf.DUMMYFUNCTION("""COMPUTED_VALUE"""),"burgundy")</f>
        <v>burgundy</v>
      </c>
      <c r="D870" s="9" t="str">
        <f>IFERROR(__xludf.DUMMYFUNCTION("""COMPUTED_VALUE"""),"Domaine Dujac, Charmes-Chambertin Grand Cru")</f>
        <v>Domaine Dujac, Charmes-Chambertin Grand Cru</v>
      </c>
      <c r="E870" s="9">
        <f>IFERROR(__xludf.DUMMYFUNCTION("""COMPUTED_VALUE"""),2018.0)</f>
        <v>2018</v>
      </c>
      <c r="F870" s="9">
        <f>IFERROR(__xludf.DUMMYFUNCTION("""COMPUTED_VALUE"""),750.0)</f>
        <v>750</v>
      </c>
      <c r="G870" s="9">
        <f>IFERROR(__xludf.DUMMYFUNCTION("""COMPUTED_VALUE"""),6.0)</f>
        <v>6</v>
      </c>
      <c r="H870" s="10">
        <f>IFERROR(__xludf.DUMMYFUNCTION("""COMPUTED_VALUE"""),1.0)</f>
        <v>1</v>
      </c>
      <c r="I870" s="11">
        <f>IFERROR(__xludf.DUMMYFUNCTION("""COMPUTED_VALUE"""),2699.0)</f>
        <v>2699</v>
      </c>
      <c r="J870" s="9" t="str">
        <f>IFERROR(__xludf.DUMMYFUNCTION("""COMPUTED_VALUE"""),"UK")</f>
        <v>UK</v>
      </c>
      <c r="K870" s="8"/>
      <c r="L870" s="12"/>
      <c r="M870" s="13"/>
      <c r="N870" s="13" t="str">
        <f>IFERROR(__xludf.DUMMYFUNCTION("IF(ISBLANK(M870),"""",M870*GOOGLEFINANCE(""USDGBP""))"),"")</f>
        <v/>
      </c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</row>
    <row r="871">
      <c r="A871" s="8" t="str">
        <f>IFERROR(__xludf.DUMMYFUNCTION("""COMPUTED_VALUE"""),"103056920170600750")</f>
        <v>103056920170600750</v>
      </c>
      <c r="B871" s="9" t="str">
        <f>IFERROR(__xludf.DUMMYFUNCTION("""COMPUTED_VALUE"""),"France")</f>
        <v>France</v>
      </c>
      <c r="C871" s="9" t="str">
        <f>IFERROR(__xludf.DUMMYFUNCTION("""COMPUTED_VALUE"""),"burgundy")</f>
        <v>burgundy</v>
      </c>
      <c r="D871" s="9" t="str">
        <f>IFERROR(__xludf.DUMMYFUNCTION("""COMPUTED_VALUE"""),"Domaine Dujac, Clos Saint-Denis Grand Cru")</f>
        <v>Domaine Dujac, Clos Saint-Denis Grand Cru</v>
      </c>
      <c r="E871" s="9">
        <f>IFERROR(__xludf.DUMMYFUNCTION("""COMPUTED_VALUE"""),2017.0)</f>
        <v>2017</v>
      </c>
      <c r="F871" s="9">
        <f>IFERROR(__xludf.DUMMYFUNCTION("""COMPUTED_VALUE"""),750.0)</f>
        <v>750</v>
      </c>
      <c r="G871" s="9">
        <f>IFERROR(__xludf.DUMMYFUNCTION("""COMPUTED_VALUE"""),6.0)</f>
        <v>6</v>
      </c>
      <c r="H871" s="10">
        <f>IFERROR(__xludf.DUMMYFUNCTION("""COMPUTED_VALUE"""),1.0)</f>
        <v>1</v>
      </c>
      <c r="I871" s="11">
        <f>IFERROR(__xludf.DUMMYFUNCTION("""COMPUTED_VALUE"""),5256.0)</f>
        <v>5256</v>
      </c>
      <c r="J871" s="9" t="str">
        <f>IFERROR(__xludf.DUMMYFUNCTION("""COMPUTED_VALUE"""),"UK")</f>
        <v>UK</v>
      </c>
      <c r="K871" s="8"/>
      <c r="L871" s="12"/>
      <c r="M871" s="13"/>
      <c r="N871" s="13" t="str">
        <f>IFERROR(__xludf.DUMMYFUNCTION("IF(ISBLANK(M871),"""",M871*GOOGLEFINANCE(""USDGBP""))"),"")</f>
        <v/>
      </c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</row>
    <row r="872">
      <c r="A872" s="8" t="str">
        <f>IFERROR(__xludf.DUMMYFUNCTION("""COMPUTED_VALUE"""),"103054320170600750")</f>
        <v>103054320170600750</v>
      </c>
      <c r="B872" s="9" t="str">
        <f>IFERROR(__xludf.DUMMYFUNCTION("""COMPUTED_VALUE"""),"France")</f>
        <v>France</v>
      </c>
      <c r="C872" s="9" t="str">
        <f>IFERROR(__xludf.DUMMYFUNCTION("""COMPUTED_VALUE"""),"burgundy")</f>
        <v>burgundy</v>
      </c>
      <c r="D872" s="9" t="str">
        <f>IFERROR(__xludf.DUMMYFUNCTION("""COMPUTED_VALUE"""),"Domaine Dujac, Clos de la Roche Grand Cru")</f>
        <v>Domaine Dujac, Clos de la Roche Grand Cru</v>
      </c>
      <c r="E872" s="9">
        <f>IFERROR(__xludf.DUMMYFUNCTION("""COMPUTED_VALUE"""),2017.0)</f>
        <v>2017</v>
      </c>
      <c r="F872" s="9">
        <f>IFERROR(__xludf.DUMMYFUNCTION("""COMPUTED_VALUE"""),750.0)</f>
        <v>750</v>
      </c>
      <c r="G872" s="9">
        <f>IFERROR(__xludf.DUMMYFUNCTION("""COMPUTED_VALUE"""),6.0)</f>
        <v>6</v>
      </c>
      <c r="H872" s="10">
        <f>IFERROR(__xludf.DUMMYFUNCTION("""COMPUTED_VALUE"""),1.0)</f>
        <v>1</v>
      </c>
      <c r="I872" s="11">
        <f>IFERROR(__xludf.DUMMYFUNCTION("""COMPUTED_VALUE"""),3806.0)</f>
        <v>3806</v>
      </c>
      <c r="J872" s="9" t="str">
        <f>IFERROR(__xludf.DUMMYFUNCTION("""COMPUTED_VALUE"""),"UK")</f>
        <v>UK</v>
      </c>
      <c r="K872" s="8"/>
      <c r="L872" s="12"/>
      <c r="M872" s="13"/>
      <c r="N872" s="13" t="str">
        <f>IFERROR(__xludf.DUMMYFUNCTION("IF(ISBLANK(M872),"""",M872*GOOGLEFINANCE(""USDGBP""))"),"")</f>
        <v/>
      </c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</row>
    <row r="873">
      <c r="A873" s="8" t="str">
        <f>IFERROR(__xludf.DUMMYFUNCTION("""COMPUTED_VALUE"""),"114206620170600750")</f>
        <v>114206620170600750</v>
      </c>
      <c r="B873" s="9" t="str">
        <f>IFERROR(__xludf.DUMMYFUNCTION("""COMPUTED_VALUE"""),"France")</f>
        <v>France</v>
      </c>
      <c r="C873" s="9" t="str">
        <f>IFERROR(__xludf.DUMMYFUNCTION("""COMPUTED_VALUE"""),"burgundy")</f>
        <v>burgundy</v>
      </c>
      <c r="D873" s="9" t="str">
        <f>IFERROR(__xludf.DUMMYFUNCTION("""COMPUTED_VALUE"""),"Domaine Duroche, Charmes-Chambertin Grand Cru")</f>
        <v>Domaine Duroche, Charmes-Chambertin Grand Cru</v>
      </c>
      <c r="E873" s="9">
        <f>IFERROR(__xludf.DUMMYFUNCTION("""COMPUTED_VALUE"""),2017.0)</f>
        <v>2017</v>
      </c>
      <c r="F873" s="9">
        <f>IFERROR(__xludf.DUMMYFUNCTION("""COMPUTED_VALUE"""),750.0)</f>
        <v>750</v>
      </c>
      <c r="G873" s="9">
        <f>IFERROR(__xludf.DUMMYFUNCTION("""COMPUTED_VALUE"""),6.0)</f>
        <v>6</v>
      </c>
      <c r="H873" s="10">
        <f>IFERROR(__xludf.DUMMYFUNCTION("""COMPUTED_VALUE"""),1.0)</f>
        <v>1</v>
      </c>
      <c r="I873" s="11">
        <f>IFERROR(__xludf.DUMMYFUNCTION("""COMPUTED_VALUE"""),2093.0)</f>
        <v>2093</v>
      </c>
      <c r="J873" s="9" t="str">
        <f>IFERROR(__xludf.DUMMYFUNCTION("""COMPUTED_VALUE"""),"UK")</f>
        <v>UK</v>
      </c>
      <c r="K873" s="8"/>
      <c r="L873" s="12"/>
      <c r="M873" s="13"/>
      <c r="N873" s="13" t="str">
        <f>IFERROR(__xludf.DUMMYFUNCTION("IF(ISBLANK(M873),"""",M873*GOOGLEFINANCE(""USDGBP""))"),"")</f>
        <v/>
      </c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</row>
    <row r="874">
      <c r="A874" s="8" t="str">
        <f>IFERROR(__xludf.DUMMYFUNCTION("""COMPUTED_VALUE"""),"114206620180300750")</f>
        <v>114206620180300750</v>
      </c>
      <c r="B874" s="9" t="str">
        <f>IFERROR(__xludf.DUMMYFUNCTION("""COMPUTED_VALUE"""),"France")</f>
        <v>France</v>
      </c>
      <c r="C874" s="9" t="str">
        <f>IFERROR(__xludf.DUMMYFUNCTION("""COMPUTED_VALUE"""),"burgundy")</f>
        <v>burgundy</v>
      </c>
      <c r="D874" s="9" t="str">
        <f>IFERROR(__xludf.DUMMYFUNCTION("""COMPUTED_VALUE"""),"Domaine Duroche, Charmes-Chambertin Grand Cru")</f>
        <v>Domaine Duroche, Charmes-Chambertin Grand Cru</v>
      </c>
      <c r="E874" s="9">
        <f>IFERROR(__xludf.DUMMYFUNCTION("""COMPUTED_VALUE"""),2018.0)</f>
        <v>2018</v>
      </c>
      <c r="F874" s="9">
        <f>IFERROR(__xludf.DUMMYFUNCTION("""COMPUTED_VALUE"""),750.0)</f>
        <v>750</v>
      </c>
      <c r="G874" s="9">
        <f>IFERROR(__xludf.DUMMYFUNCTION("""COMPUTED_VALUE"""),3.0)</f>
        <v>3</v>
      </c>
      <c r="H874" s="10">
        <f>IFERROR(__xludf.DUMMYFUNCTION("""COMPUTED_VALUE"""),1.0)</f>
        <v>1</v>
      </c>
      <c r="I874" s="11">
        <f>IFERROR(__xludf.DUMMYFUNCTION("""COMPUTED_VALUE"""),1123.0)</f>
        <v>1123</v>
      </c>
      <c r="J874" s="9" t="str">
        <f>IFERROR(__xludf.DUMMYFUNCTION("""COMPUTED_VALUE"""),"UK")</f>
        <v>UK</v>
      </c>
      <c r="K874" s="8"/>
      <c r="L874" s="12"/>
      <c r="M874" s="13"/>
      <c r="N874" s="13" t="str">
        <f>IFERROR(__xludf.DUMMYFUNCTION("IF(ISBLANK(M874),"""",M874*GOOGLEFINANCE(""USDGBP""))"),"")</f>
        <v/>
      </c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</row>
    <row r="875">
      <c r="A875" s="8" t="str">
        <f>IFERROR(__xludf.DUMMYFUNCTION("""COMPUTED_VALUE"""),"114206620200600750")</f>
        <v>114206620200600750</v>
      </c>
      <c r="B875" s="9" t="str">
        <f>IFERROR(__xludf.DUMMYFUNCTION("""COMPUTED_VALUE"""),"France")</f>
        <v>France</v>
      </c>
      <c r="C875" s="9" t="str">
        <f>IFERROR(__xludf.DUMMYFUNCTION("""COMPUTED_VALUE"""),"burgundy")</f>
        <v>burgundy</v>
      </c>
      <c r="D875" s="9" t="str">
        <f>IFERROR(__xludf.DUMMYFUNCTION("""COMPUTED_VALUE"""),"Domaine Duroche, Charmes-Chambertin Grand Cru")</f>
        <v>Domaine Duroche, Charmes-Chambertin Grand Cru</v>
      </c>
      <c r="E875" s="9">
        <f>IFERROR(__xludf.DUMMYFUNCTION("""COMPUTED_VALUE"""),2020.0)</f>
        <v>2020</v>
      </c>
      <c r="F875" s="9">
        <f>IFERROR(__xludf.DUMMYFUNCTION("""COMPUTED_VALUE"""),750.0)</f>
        <v>750</v>
      </c>
      <c r="G875" s="9">
        <f>IFERROR(__xludf.DUMMYFUNCTION("""COMPUTED_VALUE"""),6.0)</f>
        <v>6</v>
      </c>
      <c r="H875" s="10">
        <f>IFERROR(__xludf.DUMMYFUNCTION("""COMPUTED_VALUE"""),2.0)</f>
        <v>2</v>
      </c>
      <c r="I875" s="11">
        <f>IFERROR(__xludf.DUMMYFUNCTION("""COMPUTED_VALUE"""),2899.0)</f>
        <v>2899</v>
      </c>
      <c r="J875" s="9" t="str">
        <f>IFERROR(__xludf.DUMMYFUNCTION("""COMPUTED_VALUE"""),"UK")</f>
        <v>UK</v>
      </c>
      <c r="K875" s="8"/>
      <c r="L875" s="12"/>
      <c r="M875" s="13"/>
      <c r="N875" s="13" t="str">
        <f>IFERROR(__xludf.DUMMYFUNCTION("IF(ISBLANK(M875),"""",M875*GOOGLEFINANCE(""USDGBP""))"),"")</f>
        <v/>
      </c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</row>
    <row r="876">
      <c r="A876" s="8" t="str">
        <f>IFERROR(__xludf.DUMMYFUNCTION("""COMPUTED_VALUE"""),"125861720161200750")</f>
        <v>125861720161200750</v>
      </c>
      <c r="B876" s="9" t="str">
        <f>IFERROR(__xludf.DUMMYFUNCTION("""COMPUTED_VALUE"""),"France")</f>
        <v>France</v>
      </c>
      <c r="C876" s="9" t="str">
        <f>IFERROR(__xludf.DUMMYFUNCTION("""COMPUTED_VALUE"""),"burgundy")</f>
        <v>burgundy</v>
      </c>
      <c r="D876" s="9" t="str">
        <f>IFERROR(__xludf.DUMMYFUNCTION("""COMPUTED_VALUE"""),"Domaine Duroche, Gevrey-Chambertin")</f>
        <v>Domaine Duroche, Gevrey-Chambertin</v>
      </c>
      <c r="E876" s="9">
        <f>IFERROR(__xludf.DUMMYFUNCTION("""COMPUTED_VALUE"""),2016.0)</f>
        <v>2016</v>
      </c>
      <c r="F876" s="9">
        <f>IFERROR(__xludf.DUMMYFUNCTION("""COMPUTED_VALUE"""),750.0)</f>
        <v>750</v>
      </c>
      <c r="G876" s="9">
        <f>IFERROR(__xludf.DUMMYFUNCTION("""COMPUTED_VALUE"""),12.0)</f>
        <v>12</v>
      </c>
      <c r="H876" s="10">
        <f>IFERROR(__xludf.DUMMYFUNCTION("""COMPUTED_VALUE"""),9.0)</f>
        <v>9</v>
      </c>
      <c r="I876" s="11">
        <f>IFERROR(__xludf.DUMMYFUNCTION("""COMPUTED_VALUE"""),1048.0)</f>
        <v>1048</v>
      </c>
      <c r="J876" s="9" t="str">
        <f>IFERROR(__xludf.DUMMYFUNCTION("""COMPUTED_VALUE"""),"UK")</f>
        <v>UK</v>
      </c>
      <c r="K876" s="8"/>
      <c r="L876" s="12"/>
      <c r="M876" s="13"/>
      <c r="N876" s="13" t="str">
        <f>IFERROR(__xludf.DUMMYFUNCTION("IF(ISBLANK(M876),"""",M876*GOOGLEFINANCE(""USDGBP""))"),"")</f>
        <v/>
      </c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</row>
    <row r="877">
      <c r="A877" s="8" t="str">
        <f>IFERROR(__xludf.DUMMYFUNCTION("""COMPUTED_VALUE"""),"138809320180600750")</f>
        <v>138809320180600750</v>
      </c>
      <c r="B877" s="9" t="str">
        <f>IFERROR(__xludf.DUMMYFUNCTION("""COMPUTED_VALUE"""),"France")</f>
        <v>France</v>
      </c>
      <c r="C877" s="9" t="str">
        <f>IFERROR(__xludf.DUMMYFUNCTION("""COMPUTED_VALUE"""),"burgundy")</f>
        <v>burgundy</v>
      </c>
      <c r="D877" s="9" t="str">
        <f>IFERROR(__xludf.DUMMYFUNCTION("""COMPUTED_VALUE"""),"Domaine Duroche, Gevrey-Chambertin, Champ")</f>
        <v>Domaine Duroche, Gevrey-Chambertin, Champ</v>
      </c>
      <c r="E877" s="9">
        <f>IFERROR(__xludf.DUMMYFUNCTION("""COMPUTED_VALUE"""),2018.0)</f>
        <v>2018</v>
      </c>
      <c r="F877" s="9">
        <f>IFERROR(__xludf.DUMMYFUNCTION("""COMPUTED_VALUE"""),750.0)</f>
        <v>750</v>
      </c>
      <c r="G877" s="9">
        <f>IFERROR(__xludf.DUMMYFUNCTION("""COMPUTED_VALUE"""),6.0)</f>
        <v>6</v>
      </c>
      <c r="H877" s="10">
        <f>IFERROR(__xludf.DUMMYFUNCTION("""COMPUTED_VALUE"""),1.0)</f>
        <v>1</v>
      </c>
      <c r="I877" s="11">
        <f>IFERROR(__xludf.DUMMYFUNCTION("""COMPUTED_VALUE"""),676.0)</f>
        <v>676</v>
      </c>
      <c r="J877" s="9" t="str">
        <f>IFERROR(__xludf.DUMMYFUNCTION("""COMPUTED_VALUE"""),"UK")</f>
        <v>UK</v>
      </c>
      <c r="K877" s="8"/>
      <c r="L877" s="12"/>
      <c r="M877" s="13"/>
      <c r="N877" s="13" t="str">
        <f>IFERROR(__xludf.DUMMYFUNCTION("IF(ISBLANK(M877),"""",M877*GOOGLEFINANCE(""USDGBP""))"),"")</f>
        <v/>
      </c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</row>
    <row r="878">
      <c r="A878" s="8" t="str">
        <f>IFERROR(__xludf.DUMMYFUNCTION("""COMPUTED_VALUE"""),"103125020130600750")</f>
        <v>103125020130600750</v>
      </c>
      <c r="B878" s="9" t="str">
        <f>IFERROR(__xludf.DUMMYFUNCTION("""COMPUTED_VALUE"""),"France")</f>
        <v>France</v>
      </c>
      <c r="C878" s="9" t="str">
        <f>IFERROR(__xludf.DUMMYFUNCTION("""COMPUTED_VALUE"""),"burgundy")</f>
        <v>burgundy</v>
      </c>
      <c r="D878" s="9" t="str">
        <f>IFERROR(__xludf.DUMMYFUNCTION("""COMPUTED_VALUE"""),"Domaine Faiveley, Chambertin-Clos de Beze Grand Cru")</f>
        <v>Domaine Faiveley, Chambertin-Clos de Beze Grand Cru</v>
      </c>
      <c r="E878" s="9">
        <f>IFERROR(__xludf.DUMMYFUNCTION("""COMPUTED_VALUE"""),2013.0)</f>
        <v>2013</v>
      </c>
      <c r="F878" s="9">
        <f>IFERROR(__xludf.DUMMYFUNCTION("""COMPUTED_VALUE"""),750.0)</f>
        <v>750</v>
      </c>
      <c r="G878" s="9">
        <f>IFERROR(__xludf.DUMMYFUNCTION("""COMPUTED_VALUE"""),6.0)</f>
        <v>6</v>
      </c>
      <c r="H878" s="10">
        <f>IFERROR(__xludf.DUMMYFUNCTION("""COMPUTED_VALUE"""),1.0)</f>
        <v>1</v>
      </c>
      <c r="I878" s="11">
        <f>IFERROR(__xludf.DUMMYFUNCTION("""COMPUTED_VALUE"""),1287.0)</f>
        <v>1287</v>
      </c>
      <c r="J878" s="9" t="str">
        <f>IFERROR(__xludf.DUMMYFUNCTION("""COMPUTED_VALUE"""),"UK")</f>
        <v>UK</v>
      </c>
      <c r="K878" s="8"/>
      <c r="L878" s="12"/>
      <c r="M878" s="13"/>
      <c r="N878" s="13" t="str">
        <f>IFERROR(__xludf.DUMMYFUNCTION("IF(ISBLANK(M878),"""",M878*GOOGLEFINANCE(""USDGBP""))"),"")</f>
        <v/>
      </c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</row>
    <row r="879">
      <c r="A879" s="8" t="str">
        <f>IFERROR(__xludf.DUMMYFUNCTION("""COMPUTED_VALUE"""),"103125020170601500")</f>
        <v>103125020170601500</v>
      </c>
      <c r="B879" s="9" t="str">
        <f>IFERROR(__xludf.DUMMYFUNCTION("""COMPUTED_VALUE"""),"France")</f>
        <v>France</v>
      </c>
      <c r="C879" s="9" t="str">
        <f>IFERROR(__xludf.DUMMYFUNCTION("""COMPUTED_VALUE"""),"burgundy")</f>
        <v>burgundy</v>
      </c>
      <c r="D879" s="9" t="str">
        <f>IFERROR(__xludf.DUMMYFUNCTION("""COMPUTED_VALUE"""),"Domaine Faiveley, Chambertin-Clos de Beze Grand Cru")</f>
        <v>Domaine Faiveley, Chambertin-Clos de Beze Grand Cru</v>
      </c>
      <c r="E879" s="9">
        <f>IFERROR(__xludf.DUMMYFUNCTION("""COMPUTED_VALUE"""),2017.0)</f>
        <v>2017</v>
      </c>
      <c r="F879" s="9">
        <f>IFERROR(__xludf.DUMMYFUNCTION("""COMPUTED_VALUE"""),1500.0)</f>
        <v>1500</v>
      </c>
      <c r="G879" s="9">
        <f>IFERROR(__xludf.DUMMYFUNCTION("""COMPUTED_VALUE"""),6.0)</f>
        <v>6</v>
      </c>
      <c r="H879" s="10">
        <f>IFERROR(__xludf.DUMMYFUNCTION("""COMPUTED_VALUE"""),1.0)</f>
        <v>1</v>
      </c>
      <c r="I879" s="11">
        <f>IFERROR(__xludf.DUMMYFUNCTION("""COMPUTED_VALUE"""),3067.0)</f>
        <v>3067</v>
      </c>
      <c r="J879" s="9" t="str">
        <f>IFERROR(__xludf.DUMMYFUNCTION("""COMPUTED_VALUE"""),"UK")</f>
        <v>UK</v>
      </c>
      <c r="K879" s="8"/>
      <c r="L879" s="12"/>
      <c r="M879" s="13"/>
      <c r="N879" s="13" t="str">
        <f>IFERROR(__xludf.DUMMYFUNCTION("IF(ISBLANK(M879),"""",M879*GOOGLEFINANCE(""USDGBP""))"),"")</f>
        <v/>
      </c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</row>
    <row r="880">
      <c r="A880" s="8" t="str">
        <f>IFERROR(__xludf.DUMMYFUNCTION("""COMPUTED_VALUE"""),"103125020180600750")</f>
        <v>103125020180600750</v>
      </c>
      <c r="B880" s="9" t="str">
        <f>IFERROR(__xludf.DUMMYFUNCTION("""COMPUTED_VALUE"""),"France")</f>
        <v>France</v>
      </c>
      <c r="C880" s="9" t="str">
        <f>IFERROR(__xludf.DUMMYFUNCTION("""COMPUTED_VALUE"""),"burgundy")</f>
        <v>burgundy</v>
      </c>
      <c r="D880" s="9" t="str">
        <f>IFERROR(__xludf.DUMMYFUNCTION("""COMPUTED_VALUE"""),"Domaine Faiveley, Chambertin-Clos de Beze Grand Cru")</f>
        <v>Domaine Faiveley, Chambertin-Clos de Beze Grand Cru</v>
      </c>
      <c r="E880" s="9">
        <f>IFERROR(__xludf.DUMMYFUNCTION("""COMPUTED_VALUE"""),2018.0)</f>
        <v>2018</v>
      </c>
      <c r="F880" s="9">
        <f>IFERROR(__xludf.DUMMYFUNCTION("""COMPUTED_VALUE"""),750.0)</f>
        <v>750</v>
      </c>
      <c r="G880" s="9">
        <f>IFERROR(__xludf.DUMMYFUNCTION("""COMPUTED_VALUE"""),6.0)</f>
        <v>6</v>
      </c>
      <c r="H880" s="10">
        <f>IFERROR(__xludf.DUMMYFUNCTION("""COMPUTED_VALUE"""),1.0)</f>
        <v>1</v>
      </c>
      <c r="I880" s="11">
        <f>IFERROR(__xludf.DUMMYFUNCTION("""COMPUTED_VALUE"""),1557.0)</f>
        <v>1557</v>
      </c>
      <c r="J880" s="9" t="str">
        <f>IFERROR(__xludf.DUMMYFUNCTION("""COMPUTED_VALUE"""),"UK")</f>
        <v>UK</v>
      </c>
      <c r="K880" s="8"/>
      <c r="L880" s="12"/>
      <c r="M880" s="13"/>
      <c r="N880" s="13" t="str">
        <f>IFERROR(__xludf.DUMMYFUNCTION("IF(ISBLANK(M880),"""",M880*GOOGLEFINANCE(""USDGBP""))"),"")</f>
        <v/>
      </c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</row>
    <row r="881">
      <c r="A881" s="8" t="str">
        <f>IFERROR(__xludf.DUMMYFUNCTION("""COMPUTED_VALUE"""),"121854520160300750")</f>
        <v>121854520160300750</v>
      </c>
      <c r="B881" s="9" t="str">
        <f>IFERROR(__xludf.DUMMYFUNCTION("""COMPUTED_VALUE"""),"France")</f>
        <v>France</v>
      </c>
      <c r="C881" s="9" t="str">
        <f>IFERROR(__xludf.DUMMYFUNCTION("""COMPUTED_VALUE"""),"burgundy")</f>
        <v>burgundy</v>
      </c>
      <c r="D881" s="9" t="str">
        <f>IFERROR(__xludf.DUMMYFUNCTION("""COMPUTED_VALUE"""),"Domaine Faiveley, Chambertin-Clos de Beze Grand Cru, Les Ouvrees Rodin")</f>
        <v>Domaine Faiveley, Chambertin-Clos de Beze Grand Cru, Les Ouvrees Rodin</v>
      </c>
      <c r="E881" s="9">
        <f>IFERROR(__xludf.DUMMYFUNCTION("""COMPUTED_VALUE"""),2016.0)</f>
        <v>2016</v>
      </c>
      <c r="F881" s="9">
        <f>IFERROR(__xludf.DUMMYFUNCTION("""COMPUTED_VALUE"""),750.0)</f>
        <v>750</v>
      </c>
      <c r="G881" s="9">
        <f>IFERROR(__xludf.DUMMYFUNCTION("""COMPUTED_VALUE"""),3.0)</f>
        <v>3</v>
      </c>
      <c r="H881" s="10">
        <f>IFERROR(__xludf.DUMMYFUNCTION("""COMPUTED_VALUE"""),1.0)</f>
        <v>1</v>
      </c>
      <c r="I881" s="11">
        <f>IFERROR(__xludf.DUMMYFUNCTION("""COMPUTED_VALUE"""),2555.0)</f>
        <v>2555</v>
      </c>
      <c r="J881" s="9" t="str">
        <f>IFERROR(__xludf.DUMMYFUNCTION("""COMPUTED_VALUE"""),"UK")</f>
        <v>UK</v>
      </c>
      <c r="K881" s="8"/>
      <c r="L881" s="12"/>
      <c r="M881" s="13"/>
      <c r="N881" s="13" t="str">
        <f>IFERROR(__xludf.DUMMYFUNCTION("IF(ISBLANK(M881),"""",M881*GOOGLEFINANCE(""USDGBP""))"),"")</f>
        <v/>
      </c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</row>
    <row r="882">
      <c r="A882" s="8" t="str">
        <f>IFERROR(__xludf.DUMMYFUNCTION("""COMPUTED_VALUE"""),"121854520180600750")</f>
        <v>121854520180600750</v>
      </c>
      <c r="B882" s="9" t="str">
        <f>IFERROR(__xludf.DUMMYFUNCTION("""COMPUTED_VALUE"""),"France")</f>
        <v>France</v>
      </c>
      <c r="C882" s="9" t="str">
        <f>IFERROR(__xludf.DUMMYFUNCTION("""COMPUTED_VALUE"""),"burgundy")</f>
        <v>burgundy</v>
      </c>
      <c r="D882" s="9" t="str">
        <f>IFERROR(__xludf.DUMMYFUNCTION("""COMPUTED_VALUE"""),"Domaine Faiveley, Chambertin-Clos de Beze Grand Cru, Les Ouvrees Rodin")</f>
        <v>Domaine Faiveley, Chambertin-Clos de Beze Grand Cru, Les Ouvrees Rodin</v>
      </c>
      <c r="E882" s="9">
        <f>IFERROR(__xludf.DUMMYFUNCTION("""COMPUTED_VALUE"""),2018.0)</f>
        <v>2018</v>
      </c>
      <c r="F882" s="9">
        <f>IFERROR(__xludf.DUMMYFUNCTION("""COMPUTED_VALUE"""),750.0)</f>
        <v>750</v>
      </c>
      <c r="G882" s="9">
        <f>IFERROR(__xludf.DUMMYFUNCTION("""COMPUTED_VALUE"""),6.0)</f>
        <v>6</v>
      </c>
      <c r="H882" s="10">
        <f>IFERROR(__xludf.DUMMYFUNCTION("""COMPUTED_VALUE"""),1.0)</f>
        <v>1</v>
      </c>
      <c r="I882" s="11">
        <f>IFERROR(__xludf.DUMMYFUNCTION("""COMPUTED_VALUE"""),4383.0)</f>
        <v>4383</v>
      </c>
      <c r="J882" s="9" t="str">
        <f>IFERROR(__xludf.DUMMYFUNCTION("""COMPUTED_VALUE"""),"UK")</f>
        <v>UK</v>
      </c>
      <c r="K882" s="8"/>
      <c r="L882" s="12"/>
      <c r="M882" s="13"/>
      <c r="N882" s="13" t="str">
        <f>IFERROR(__xludf.DUMMYFUNCTION("IF(ISBLANK(M882),"""",M882*GOOGLEFINANCE(""USDGBP""))"),"")</f>
        <v/>
      </c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</row>
    <row r="883">
      <c r="A883" s="8" t="str">
        <f>IFERROR(__xludf.DUMMYFUNCTION("""COMPUTED_VALUE"""),"121854520190600750")</f>
        <v>121854520190600750</v>
      </c>
      <c r="B883" s="9" t="str">
        <f>IFERROR(__xludf.DUMMYFUNCTION("""COMPUTED_VALUE"""),"France")</f>
        <v>France</v>
      </c>
      <c r="C883" s="9" t="str">
        <f>IFERROR(__xludf.DUMMYFUNCTION("""COMPUTED_VALUE"""),"burgundy")</f>
        <v>burgundy</v>
      </c>
      <c r="D883" s="9" t="str">
        <f>IFERROR(__xludf.DUMMYFUNCTION("""COMPUTED_VALUE"""),"Domaine Faiveley, Chambertin-Clos de Beze Grand Cru, Les Ouvrees Rodin")</f>
        <v>Domaine Faiveley, Chambertin-Clos de Beze Grand Cru, Les Ouvrees Rodin</v>
      </c>
      <c r="E883" s="9">
        <f>IFERROR(__xludf.DUMMYFUNCTION("""COMPUTED_VALUE"""),2019.0)</f>
        <v>2019</v>
      </c>
      <c r="F883" s="9">
        <f>IFERROR(__xludf.DUMMYFUNCTION("""COMPUTED_VALUE"""),750.0)</f>
        <v>750</v>
      </c>
      <c r="G883" s="9">
        <f>IFERROR(__xludf.DUMMYFUNCTION("""COMPUTED_VALUE"""),6.0)</f>
        <v>6</v>
      </c>
      <c r="H883" s="10">
        <f>IFERROR(__xludf.DUMMYFUNCTION("""COMPUTED_VALUE"""),1.0)</f>
        <v>1</v>
      </c>
      <c r="I883" s="11">
        <f>IFERROR(__xludf.DUMMYFUNCTION("""COMPUTED_VALUE"""),4343.0)</f>
        <v>4343</v>
      </c>
      <c r="J883" s="9" t="str">
        <f>IFERROR(__xludf.DUMMYFUNCTION("""COMPUTED_VALUE"""),"UK")</f>
        <v>UK</v>
      </c>
      <c r="K883" s="8"/>
      <c r="L883" s="12"/>
      <c r="M883" s="13"/>
      <c r="N883" s="13" t="str">
        <f>IFERROR(__xludf.DUMMYFUNCTION("IF(ISBLANK(M883),"""",M883*GOOGLEFINANCE(""USDGBP""))"),"")</f>
        <v/>
      </c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</row>
    <row r="884">
      <c r="A884" s="8" t="str">
        <f>IFERROR(__xludf.DUMMYFUNCTION("""COMPUTED_VALUE"""),"103128920190600750")</f>
        <v>103128920190600750</v>
      </c>
      <c r="B884" s="9" t="str">
        <f>IFERROR(__xludf.DUMMYFUNCTION("""COMPUTED_VALUE"""),"France")</f>
        <v>France</v>
      </c>
      <c r="C884" s="9" t="str">
        <f>IFERROR(__xludf.DUMMYFUNCTION("""COMPUTED_VALUE"""),"burgundy")</f>
        <v>burgundy</v>
      </c>
      <c r="D884" s="9" t="str">
        <f>IFERROR(__xludf.DUMMYFUNCTION("""COMPUTED_VALUE"""),"Domaine Faiveley, Chambolle-Musigny Premier Cru, La Combe d'Orveau")</f>
        <v>Domaine Faiveley, Chambolle-Musigny Premier Cru, La Combe d'Orveau</v>
      </c>
      <c r="E884" s="9">
        <f>IFERROR(__xludf.DUMMYFUNCTION("""COMPUTED_VALUE"""),2019.0)</f>
        <v>2019</v>
      </c>
      <c r="F884" s="9">
        <f>IFERROR(__xludf.DUMMYFUNCTION("""COMPUTED_VALUE"""),750.0)</f>
        <v>750</v>
      </c>
      <c r="G884" s="9">
        <f>IFERROR(__xludf.DUMMYFUNCTION("""COMPUTED_VALUE"""),6.0)</f>
        <v>6</v>
      </c>
      <c r="H884" s="10">
        <f>IFERROR(__xludf.DUMMYFUNCTION("""COMPUTED_VALUE"""),1.0)</f>
        <v>1</v>
      </c>
      <c r="I884" s="11">
        <f>IFERROR(__xludf.DUMMYFUNCTION("""COMPUTED_VALUE"""),749.0)</f>
        <v>749</v>
      </c>
      <c r="J884" s="9" t="str">
        <f>IFERROR(__xludf.DUMMYFUNCTION("""COMPUTED_VALUE"""),"UK")</f>
        <v>UK</v>
      </c>
      <c r="K884" s="8"/>
      <c r="L884" s="12"/>
      <c r="M884" s="13"/>
      <c r="N884" s="13" t="str">
        <f>IFERROR(__xludf.DUMMYFUNCTION("IF(ISBLANK(M884),"""",M884*GOOGLEFINANCE(""USDGBP""))"),"")</f>
        <v/>
      </c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</row>
    <row r="885">
      <c r="A885" s="8" t="str">
        <f>IFERROR(__xludf.DUMMYFUNCTION("""COMPUTED_VALUE"""),"103129220180600750")</f>
        <v>103129220180600750</v>
      </c>
      <c r="B885" s="9" t="str">
        <f>IFERROR(__xludf.DUMMYFUNCTION("""COMPUTED_VALUE"""),"France")</f>
        <v>France</v>
      </c>
      <c r="C885" s="9" t="str">
        <f>IFERROR(__xludf.DUMMYFUNCTION("""COMPUTED_VALUE"""),"burgundy")</f>
        <v>burgundy</v>
      </c>
      <c r="D885" s="9" t="str">
        <f>IFERROR(__xludf.DUMMYFUNCTION("""COMPUTED_VALUE"""),"Domaine Faiveley, Chambolle-Musigny Premier Cru, Les Fuees")</f>
        <v>Domaine Faiveley, Chambolle-Musigny Premier Cru, Les Fuees</v>
      </c>
      <c r="E885" s="9">
        <f>IFERROR(__xludf.DUMMYFUNCTION("""COMPUTED_VALUE"""),2018.0)</f>
        <v>2018</v>
      </c>
      <c r="F885" s="9">
        <f>IFERROR(__xludf.DUMMYFUNCTION("""COMPUTED_VALUE"""),750.0)</f>
        <v>750</v>
      </c>
      <c r="G885" s="9">
        <f>IFERROR(__xludf.DUMMYFUNCTION("""COMPUTED_VALUE"""),6.0)</f>
        <v>6</v>
      </c>
      <c r="H885" s="10">
        <f>IFERROR(__xludf.DUMMYFUNCTION("""COMPUTED_VALUE"""),2.0)</f>
        <v>2</v>
      </c>
      <c r="I885" s="11">
        <f>IFERROR(__xludf.DUMMYFUNCTION("""COMPUTED_VALUE"""),725.0)</f>
        <v>725</v>
      </c>
      <c r="J885" s="9" t="str">
        <f>IFERROR(__xludf.DUMMYFUNCTION("""COMPUTED_VALUE"""),"UK")</f>
        <v>UK</v>
      </c>
      <c r="K885" s="8"/>
      <c r="L885" s="12"/>
      <c r="M885" s="13"/>
      <c r="N885" s="13" t="str">
        <f>IFERROR(__xludf.DUMMYFUNCTION("IF(ISBLANK(M885),"""",M885*GOOGLEFINANCE(""USDGBP""))"),"")</f>
        <v/>
      </c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</row>
    <row r="886">
      <c r="A886" s="8" t="str">
        <f>IFERROR(__xludf.DUMMYFUNCTION("""COMPUTED_VALUE"""),"154320920130600750")</f>
        <v>154320920130600750</v>
      </c>
      <c r="B886" s="9" t="str">
        <f>IFERROR(__xludf.DUMMYFUNCTION("""COMPUTED_VALUE"""),"France")</f>
        <v>France</v>
      </c>
      <c r="C886" s="9" t="str">
        <f>IFERROR(__xludf.DUMMYFUNCTION("""COMPUTED_VALUE"""),"burgundy")</f>
        <v>burgundy</v>
      </c>
      <c r="D886" s="9" t="str">
        <f>IFERROR(__xludf.DUMMYFUNCTION("""COMPUTED_VALUE"""),"Domaine Faiveley, Charmes-Chambertin Grand Cru")</f>
        <v>Domaine Faiveley, Charmes-Chambertin Grand Cru</v>
      </c>
      <c r="E886" s="9">
        <f>IFERROR(__xludf.DUMMYFUNCTION("""COMPUTED_VALUE"""),2013.0)</f>
        <v>2013</v>
      </c>
      <c r="F886" s="9">
        <f>IFERROR(__xludf.DUMMYFUNCTION("""COMPUTED_VALUE"""),750.0)</f>
        <v>750</v>
      </c>
      <c r="G886" s="9">
        <f>IFERROR(__xludf.DUMMYFUNCTION("""COMPUTED_VALUE"""),6.0)</f>
        <v>6</v>
      </c>
      <c r="H886" s="10">
        <f>IFERROR(__xludf.DUMMYFUNCTION("""COMPUTED_VALUE"""),1.0)</f>
        <v>1</v>
      </c>
      <c r="I886" s="11">
        <f>IFERROR(__xludf.DUMMYFUNCTION("""COMPUTED_VALUE"""),873.0)</f>
        <v>873</v>
      </c>
      <c r="J886" s="9" t="str">
        <f>IFERROR(__xludf.DUMMYFUNCTION("""COMPUTED_VALUE"""),"UK")</f>
        <v>UK</v>
      </c>
      <c r="K886" s="8"/>
      <c r="L886" s="12"/>
      <c r="M886" s="13"/>
      <c r="N886" s="13" t="str">
        <f>IFERROR(__xludf.DUMMYFUNCTION("IF(ISBLANK(M886),"""",M886*GOOGLEFINANCE(""USDGBP""))"),"")</f>
        <v/>
      </c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</row>
    <row r="887">
      <c r="A887" s="8" t="str">
        <f>IFERROR(__xludf.DUMMYFUNCTION("""COMPUTED_VALUE"""),"154320920140600750")</f>
        <v>154320920140600750</v>
      </c>
      <c r="B887" s="9" t="str">
        <f>IFERROR(__xludf.DUMMYFUNCTION("""COMPUTED_VALUE"""),"France")</f>
        <v>France</v>
      </c>
      <c r="C887" s="9" t="str">
        <f>IFERROR(__xludf.DUMMYFUNCTION("""COMPUTED_VALUE"""),"burgundy")</f>
        <v>burgundy</v>
      </c>
      <c r="D887" s="9" t="str">
        <f>IFERROR(__xludf.DUMMYFUNCTION("""COMPUTED_VALUE"""),"Domaine Faiveley, Charmes-Chambertin Grand Cru")</f>
        <v>Domaine Faiveley, Charmes-Chambertin Grand Cru</v>
      </c>
      <c r="E887" s="9">
        <f>IFERROR(__xludf.DUMMYFUNCTION("""COMPUTED_VALUE"""),2014.0)</f>
        <v>2014</v>
      </c>
      <c r="F887" s="9">
        <f>IFERROR(__xludf.DUMMYFUNCTION("""COMPUTED_VALUE"""),750.0)</f>
        <v>750</v>
      </c>
      <c r="G887" s="9">
        <f>IFERROR(__xludf.DUMMYFUNCTION("""COMPUTED_VALUE"""),6.0)</f>
        <v>6</v>
      </c>
      <c r="H887" s="10">
        <f>IFERROR(__xludf.DUMMYFUNCTION("""COMPUTED_VALUE"""),3.0)</f>
        <v>3</v>
      </c>
      <c r="I887" s="11">
        <f>IFERROR(__xludf.DUMMYFUNCTION("""COMPUTED_VALUE"""),840.0)</f>
        <v>840</v>
      </c>
      <c r="J887" s="9" t="str">
        <f>IFERROR(__xludf.DUMMYFUNCTION("""COMPUTED_VALUE"""),"UK")</f>
        <v>UK</v>
      </c>
      <c r="K887" s="8"/>
      <c r="L887" s="12"/>
      <c r="M887" s="13"/>
      <c r="N887" s="13" t="str">
        <f>IFERROR(__xludf.DUMMYFUNCTION("IF(ISBLANK(M887),"""",M887*GOOGLEFINANCE(""USDGBP""))"),"")</f>
        <v/>
      </c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</row>
    <row r="888">
      <c r="A888" s="8" t="str">
        <f>IFERROR(__xludf.DUMMYFUNCTION("""COMPUTED_VALUE"""),"154320920180600750")</f>
        <v>154320920180600750</v>
      </c>
      <c r="B888" s="9" t="str">
        <f>IFERROR(__xludf.DUMMYFUNCTION("""COMPUTED_VALUE"""),"France")</f>
        <v>France</v>
      </c>
      <c r="C888" s="9" t="str">
        <f>IFERROR(__xludf.DUMMYFUNCTION("""COMPUTED_VALUE"""),"burgundy")</f>
        <v>burgundy</v>
      </c>
      <c r="D888" s="9" t="str">
        <f>IFERROR(__xludf.DUMMYFUNCTION("""COMPUTED_VALUE"""),"Domaine Faiveley, Charmes-Chambertin Grand Cru")</f>
        <v>Domaine Faiveley, Charmes-Chambertin Grand Cru</v>
      </c>
      <c r="E888" s="9">
        <f>IFERROR(__xludf.DUMMYFUNCTION("""COMPUTED_VALUE"""),2018.0)</f>
        <v>2018</v>
      </c>
      <c r="F888" s="9">
        <f>IFERROR(__xludf.DUMMYFUNCTION("""COMPUTED_VALUE"""),750.0)</f>
        <v>750</v>
      </c>
      <c r="G888" s="9">
        <f>IFERROR(__xludf.DUMMYFUNCTION("""COMPUTED_VALUE"""),6.0)</f>
        <v>6</v>
      </c>
      <c r="H888" s="10">
        <f>IFERROR(__xludf.DUMMYFUNCTION("""COMPUTED_VALUE"""),1.0)</f>
        <v>1</v>
      </c>
      <c r="I888" s="11">
        <f>IFERROR(__xludf.DUMMYFUNCTION("""COMPUTED_VALUE"""),923.0)</f>
        <v>923</v>
      </c>
      <c r="J888" s="9" t="str">
        <f>IFERROR(__xludf.DUMMYFUNCTION("""COMPUTED_VALUE"""),"UK")</f>
        <v>UK</v>
      </c>
      <c r="K888" s="8"/>
      <c r="L888" s="12"/>
      <c r="M888" s="13"/>
      <c r="N888" s="13" t="str">
        <f>IFERROR(__xludf.DUMMYFUNCTION("IF(ISBLANK(M888),"""",M888*GOOGLEFINANCE(""USDGBP""))"),"")</f>
        <v/>
      </c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</row>
    <row r="889">
      <c r="A889" s="8" t="str">
        <f>IFERROR(__xludf.DUMMYFUNCTION("""COMPUTED_VALUE"""),"103134820120600750")</f>
        <v>103134820120600750</v>
      </c>
      <c r="B889" s="9" t="str">
        <f>IFERROR(__xludf.DUMMYFUNCTION("""COMPUTED_VALUE"""),"France")</f>
        <v>France</v>
      </c>
      <c r="C889" s="9" t="str">
        <f>IFERROR(__xludf.DUMMYFUNCTION("""COMPUTED_VALUE"""),"burgundy")</f>
        <v>burgundy</v>
      </c>
      <c r="D889" s="9" t="str">
        <f>IFERROR(__xludf.DUMMYFUNCTION("""COMPUTED_VALUE"""),"Domaine Faiveley, Clos de Vougeot Grand Cru")</f>
        <v>Domaine Faiveley, Clos de Vougeot Grand Cru</v>
      </c>
      <c r="E889" s="9">
        <f>IFERROR(__xludf.DUMMYFUNCTION("""COMPUTED_VALUE"""),2012.0)</f>
        <v>2012</v>
      </c>
      <c r="F889" s="9">
        <f>IFERROR(__xludf.DUMMYFUNCTION("""COMPUTED_VALUE"""),750.0)</f>
        <v>750</v>
      </c>
      <c r="G889" s="9">
        <f>IFERROR(__xludf.DUMMYFUNCTION("""COMPUTED_VALUE"""),6.0)</f>
        <v>6</v>
      </c>
      <c r="H889" s="10">
        <f>IFERROR(__xludf.DUMMYFUNCTION("""COMPUTED_VALUE"""),2.0)</f>
        <v>2</v>
      </c>
      <c r="I889" s="11">
        <f>IFERROR(__xludf.DUMMYFUNCTION("""COMPUTED_VALUE"""),1280.0)</f>
        <v>1280</v>
      </c>
      <c r="J889" s="9" t="str">
        <f>IFERROR(__xludf.DUMMYFUNCTION("""COMPUTED_VALUE"""),"UK")</f>
        <v>UK</v>
      </c>
      <c r="K889" s="8"/>
      <c r="L889" s="12"/>
      <c r="M889" s="13"/>
      <c r="N889" s="13" t="str">
        <f>IFERROR(__xludf.DUMMYFUNCTION("IF(ISBLANK(M889),"""",M889*GOOGLEFINANCE(""USDGBP""))"),"")</f>
        <v/>
      </c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</row>
    <row r="890">
      <c r="A890" s="8" t="str">
        <f>IFERROR(__xludf.DUMMYFUNCTION("""COMPUTED_VALUE"""),"103134820130600750")</f>
        <v>103134820130600750</v>
      </c>
      <c r="B890" s="9" t="str">
        <f>IFERROR(__xludf.DUMMYFUNCTION("""COMPUTED_VALUE"""),"France")</f>
        <v>France</v>
      </c>
      <c r="C890" s="9" t="str">
        <f>IFERROR(__xludf.DUMMYFUNCTION("""COMPUTED_VALUE"""),"burgundy")</f>
        <v>burgundy</v>
      </c>
      <c r="D890" s="9" t="str">
        <f>IFERROR(__xludf.DUMMYFUNCTION("""COMPUTED_VALUE"""),"Domaine Faiveley, Clos de Vougeot Grand Cru")</f>
        <v>Domaine Faiveley, Clos de Vougeot Grand Cru</v>
      </c>
      <c r="E890" s="9">
        <f>IFERROR(__xludf.DUMMYFUNCTION("""COMPUTED_VALUE"""),2013.0)</f>
        <v>2013</v>
      </c>
      <c r="F890" s="9">
        <f>IFERROR(__xludf.DUMMYFUNCTION("""COMPUTED_VALUE"""),750.0)</f>
        <v>750</v>
      </c>
      <c r="G890" s="9">
        <f>IFERROR(__xludf.DUMMYFUNCTION("""COMPUTED_VALUE"""),6.0)</f>
        <v>6</v>
      </c>
      <c r="H890" s="10">
        <f>IFERROR(__xludf.DUMMYFUNCTION("""COMPUTED_VALUE"""),1.0)</f>
        <v>1</v>
      </c>
      <c r="I890" s="11">
        <f>IFERROR(__xludf.DUMMYFUNCTION("""COMPUTED_VALUE"""),784.0)</f>
        <v>784</v>
      </c>
      <c r="J890" s="9" t="str">
        <f>IFERROR(__xludf.DUMMYFUNCTION("""COMPUTED_VALUE"""),"UK")</f>
        <v>UK</v>
      </c>
      <c r="K890" s="8"/>
      <c r="L890" s="12"/>
      <c r="M890" s="13"/>
      <c r="N890" s="13" t="str">
        <f>IFERROR(__xludf.DUMMYFUNCTION("IF(ISBLANK(M890),"""",M890*GOOGLEFINANCE(""USDGBP""))"),"")</f>
        <v/>
      </c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</row>
    <row r="891">
      <c r="A891" s="8" t="str">
        <f>IFERROR(__xludf.DUMMYFUNCTION("""COMPUTED_VALUE"""),"103134820160600750")</f>
        <v>103134820160600750</v>
      </c>
      <c r="B891" s="9" t="str">
        <f>IFERROR(__xludf.DUMMYFUNCTION("""COMPUTED_VALUE"""),"France")</f>
        <v>France</v>
      </c>
      <c r="C891" s="9" t="str">
        <f>IFERROR(__xludf.DUMMYFUNCTION("""COMPUTED_VALUE"""),"burgundy")</f>
        <v>burgundy</v>
      </c>
      <c r="D891" s="9" t="str">
        <f>IFERROR(__xludf.DUMMYFUNCTION("""COMPUTED_VALUE"""),"Domaine Faiveley, Clos de Vougeot Grand Cru")</f>
        <v>Domaine Faiveley, Clos de Vougeot Grand Cru</v>
      </c>
      <c r="E891" s="9">
        <f>IFERROR(__xludf.DUMMYFUNCTION("""COMPUTED_VALUE"""),2016.0)</f>
        <v>2016</v>
      </c>
      <c r="F891" s="9">
        <f>IFERROR(__xludf.DUMMYFUNCTION("""COMPUTED_VALUE"""),750.0)</f>
        <v>750</v>
      </c>
      <c r="G891" s="9">
        <f>IFERROR(__xludf.DUMMYFUNCTION("""COMPUTED_VALUE"""),6.0)</f>
        <v>6</v>
      </c>
      <c r="H891" s="10">
        <f>IFERROR(__xludf.DUMMYFUNCTION("""COMPUTED_VALUE"""),1.0)</f>
        <v>1</v>
      </c>
      <c r="I891" s="11">
        <f>IFERROR(__xludf.DUMMYFUNCTION("""COMPUTED_VALUE"""),940.0)</f>
        <v>940</v>
      </c>
      <c r="J891" s="9" t="str">
        <f>IFERROR(__xludf.DUMMYFUNCTION("""COMPUTED_VALUE"""),"UK")</f>
        <v>UK</v>
      </c>
      <c r="K891" s="8"/>
      <c r="L891" s="12"/>
      <c r="M891" s="13"/>
      <c r="N891" s="13" t="str">
        <f>IFERROR(__xludf.DUMMYFUNCTION("IF(ISBLANK(M891),"""",M891*GOOGLEFINANCE(""USDGBP""))"),"")</f>
        <v/>
      </c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</row>
    <row r="892">
      <c r="A892" s="8" t="str">
        <f>IFERROR(__xludf.DUMMYFUNCTION("""COMPUTED_VALUE"""),"103134820170600750")</f>
        <v>103134820170600750</v>
      </c>
      <c r="B892" s="9" t="str">
        <f>IFERROR(__xludf.DUMMYFUNCTION("""COMPUTED_VALUE"""),"France")</f>
        <v>France</v>
      </c>
      <c r="C892" s="9" t="str">
        <f>IFERROR(__xludf.DUMMYFUNCTION("""COMPUTED_VALUE"""),"burgundy")</f>
        <v>burgundy</v>
      </c>
      <c r="D892" s="9" t="str">
        <f>IFERROR(__xludf.DUMMYFUNCTION("""COMPUTED_VALUE"""),"Domaine Faiveley, Clos de Vougeot Grand Cru")</f>
        <v>Domaine Faiveley, Clos de Vougeot Grand Cru</v>
      </c>
      <c r="E892" s="9">
        <f>IFERROR(__xludf.DUMMYFUNCTION("""COMPUTED_VALUE"""),2017.0)</f>
        <v>2017</v>
      </c>
      <c r="F892" s="9">
        <f>IFERROR(__xludf.DUMMYFUNCTION("""COMPUTED_VALUE"""),750.0)</f>
        <v>750</v>
      </c>
      <c r="G892" s="9">
        <f>IFERROR(__xludf.DUMMYFUNCTION("""COMPUTED_VALUE"""),6.0)</f>
        <v>6</v>
      </c>
      <c r="H892" s="10">
        <f>IFERROR(__xludf.DUMMYFUNCTION("""COMPUTED_VALUE"""),2.0)</f>
        <v>2</v>
      </c>
      <c r="I892" s="11">
        <f>IFERROR(__xludf.DUMMYFUNCTION("""COMPUTED_VALUE"""),750.0)</f>
        <v>750</v>
      </c>
      <c r="J892" s="9" t="str">
        <f>IFERROR(__xludf.DUMMYFUNCTION("""COMPUTED_VALUE"""),"UK")</f>
        <v>UK</v>
      </c>
      <c r="K892" s="8"/>
      <c r="L892" s="12"/>
      <c r="M892" s="13"/>
      <c r="N892" s="13" t="str">
        <f>IFERROR(__xludf.DUMMYFUNCTION("IF(ISBLANK(M892),"""",M892*GOOGLEFINANCE(""USDGBP""))"),"")</f>
        <v/>
      </c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</row>
    <row r="893">
      <c r="A893" s="8" t="str">
        <f>IFERROR(__xludf.DUMMYFUNCTION("""COMPUTED_VALUE"""),"103134820180600750")</f>
        <v>103134820180600750</v>
      </c>
      <c r="B893" s="9" t="str">
        <f>IFERROR(__xludf.DUMMYFUNCTION("""COMPUTED_VALUE"""),"France")</f>
        <v>France</v>
      </c>
      <c r="C893" s="9" t="str">
        <f>IFERROR(__xludf.DUMMYFUNCTION("""COMPUTED_VALUE"""),"burgundy")</f>
        <v>burgundy</v>
      </c>
      <c r="D893" s="9" t="str">
        <f>IFERROR(__xludf.DUMMYFUNCTION("""COMPUTED_VALUE"""),"Domaine Faiveley, Clos de Vougeot Grand Cru")</f>
        <v>Domaine Faiveley, Clos de Vougeot Grand Cru</v>
      </c>
      <c r="E893" s="9">
        <f>IFERROR(__xludf.DUMMYFUNCTION("""COMPUTED_VALUE"""),2018.0)</f>
        <v>2018</v>
      </c>
      <c r="F893" s="9">
        <f>IFERROR(__xludf.DUMMYFUNCTION("""COMPUTED_VALUE"""),750.0)</f>
        <v>750</v>
      </c>
      <c r="G893" s="9">
        <f>IFERROR(__xludf.DUMMYFUNCTION("""COMPUTED_VALUE"""),6.0)</f>
        <v>6</v>
      </c>
      <c r="H893" s="10">
        <f>IFERROR(__xludf.DUMMYFUNCTION("""COMPUTED_VALUE"""),4.0)</f>
        <v>4</v>
      </c>
      <c r="I893" s="11">
        <f>IFERROR(__xludf.DUMMYFUNCTION("""COMPUTED_VALUE"""),811.0)</f>
        <v>811</v>
      </c>
      <c r="J893" s="9" t="str">
        <f>IFERROR(__xludf.DUMMYFUNCTION("""COMPUTED_VALUE"""),"UK")</f>
        <v>UK</v>
      </c>
      <c r="K893" s="8"/>
      <c r="L893" s="12"/>
      <c r="M893" s="13"/>
      <c r="N893" s="13" t="str">
        <f>IFERROR(__xludf.DUMMYFUNCTION("IF(ISBLANK(M893),"""",M893*GOOGLEFINANCE(""USDGBP""))"),"")</f>
        <v/>
      </c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</row>
    <row r="894">
      <c r="A894" s="8" t="str">
        <f>IFERROR(__xludf.DUMMYFUNCTION("""COMPUTED_VALUE"""),"103134820180301500")</f>
        <v>103134820180301500</v>
      </c>
      <c r="B894" s="9" t="str">
        <f>IFERROR(__xludf.DUMMYFUNCTION("""COMPUTED_VALUE"""),"France")</f>
        <v>France</v>
      </c>
      <c r="C894" s="9" t="str">
        <f>IFERROR(__xludf.DUMMYFUNCTION("""COMPUTED_VALUE"""),"burgundy")</f>
        <v>burgundy</v>
      </c>
      <c r="D894" s="9" t="str">
        <f>IFERROR(__xludf.DUMMYFUNCTION("""COMPUTED_VALUE"""),"Domaine Faiveley, Clos de Vougeot Grand Cru")</f>
        <v>Domaine Faiveley, Clos de Vougeot Grand Cru</v>
      </c>
      <c r="E894" s="9">
        <f>IFERROR(__xludf.DUMMYFUNCTION("""COMPUTED_VALUE"""),2018.0)</f>
        <v>2018</v>
      </c>
      <c r="F894" s="9">
        <f>IFERROR(__xludf.DUMMYFUNCTION("""COMPUTED_VALUE"""),1500.0)</f>
        <v>1500</v>
      </c>
      <c r="G894" s="9">
        <f>IFERROR(__xludf.DUMMYFUNCTION("""COMPUTED_VALUE"""),3.0)</f>
        <v>3</v>
      </c>
      <c r="H894" s="10">
        <f>IFERROR(__xludf.DUMMYFUNCTION("""COMPUTED_VALUE"""),1.0)</f>
        <v>1</v>
      </c>
      <c r="I894" s="11">
        <f>IFERROR(__xludf.DUMMYFUNCTION("""COMPUTED_VALUE"""),876.0)</f>
        <v>876</v>
      </c>
      <c r="J894" s="9" t="str">
        <f>IFERROR(__xludf.DUMMYFUNCTION("""COMPUTED_VALUE"""),"UK")</f>
        <v>UK</v>
      </c>
      <c r="K894" s="8"/>
      <c r="L894" s="12"/>
      <c r="M894" s="13"/>
      <c r="N894" s="13" t="str">
        <f>IFERROR(__xludf.DUMMYFUNCTION("IF(ISBLANK(M894),"""",M894*GOOGLEFINANCE(""USDGBP""))"),"")</f>
        <v/>
      </c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</row>
    <row r="895">
      <c r="A895" s="8" t="str">
        <f>IFERROR(__xludf.DUMMYFUNCTION("""COMPUTED_VALUE"""),"103131920130600750")</f>
        <v>103131920130600750</v>
      </c>
      <c r="B895" s="9" t="str">
        <f>IFERROR(__xludf.DUMMYFUNCTION("""COMPUTED_VALUE"""),"France")</f>
        <v>France</v>
      </c>
      <c r="C895" s="9" t="str">
        <f>IFERROR(__xludf.DUMMYFUNCTION("""COMPUTED_VALUE"""),"burgundy")</f>
        <v>burgundy</v>
      </c>
      <c r="D895" s="9" t="str">
        <f>IFERROR(__xludf.DUMMYFUNCTION("""COMPUTED_VALUE"""),"Domaine Faiveley, Corton Grand Cru, Clos des Cortons Faiveley")</f>
        <v>Domaine Faiveley, Corton Grand Cru, Clos des Cortons Faiveley</v>
      </c>
      <c r="E895" s="9">
        <f>IFERROR(__xludf.DUMMYFUNCTION("""COMPUTED_VALUE"""),2013.0)</f>
        <v>2013</v>
      </c>
      <c r="F895" s="9">
        <f>IFERROR(__xludf.DUMMYFUNCTION("""COMPUTED_VALUE"""),750.0)</f>
        <v>750</v>
      </c>
      <c r="G895" s="9">
        <f>IFERROR(__xludf.DUMMYFUNCTION("""COMPUTED_VALUE"""),6.0)</f>
        <v>6</v>
      </c>
      <c r="H895" s="10">
        <f>IFERROR(__xludf.DUMMYFUNCTION("""COMPUTED_VALUE"""),2.0)</f>
        <v>2</v>
      </c>
      <c r="I895" s="11">
        <f>IFERROR(__xludf.DUMMYFUNCTION("""COMPUTED_VALUE"""),666.0)</f>
        <v>666</v>
      </c>
      <c r="J895" s="9" t="str">
        <f>IFERROR(__xludf.DUMMYFUNCTION("""COMPUTED_VALUE"""),"UK")</f>
        <v>UK</v>
      </c>
      <c r="K895" s="8"/>
      <c r="L895" s="12"/>
      <c r="M895" s="13"/>
      <c r="N895" s="13" t="str">
        <f>IFERROR(__xludf.DUMMYFUNCTION("IF(ISBLANK(M895),"""",M895*GOOGLEFINANCE(""USDGBP""))"),"")</f>
        <v/>
      </c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</row>
    <row r="896">
      <c r="A896" s="8" t="str">
        <f>IFERROR(__xludf.DUMMYFUNCTION("""COMPUTED_VALUE"""),"103131920160600750")</f>
        <v>103131920160600750</v>
      </c>
      <c r="B896" s="9" t="str">
        <f>IFERROR(__xludf.DUMMYFUNCTION("""COMPUTED_VALUE"""),"France")</f>
        <v>France</v>
      </c>
      <c r="C896" s="9" t="str">
        <f>IFERROR(__xludf.DUMMYFUNCTION("""COMPUTED_VALUE"""),"burgundy")</f>
        <v>burgundy</v>
      </c>
      <c r="D896" s="9" t="str">
        <f>IFERROR(__xludf.DUMMYFUNCTION("""COMPUTED_VALUE"""),"Domaine Faiveley, Corton Grand Cru, Clos des Cortons Faiveley")</f>
        <v>Domaine Faiveley, Corton Grand Cru, Clos des Cortons Faiveley</v>
      </c>
      <c r="E896" s="9">
        <f>IFERROR(__xludf.DUMMYFUNCTION("""COMPUTED_VALUE"""),2016.0)</f>
        <v>2016</v>
      </c>
      <c r="F896" s="9">
        <f>IFERROR(__xludf.DUMMYFUNCTION("""COMPUTED_VALUE"""),750.0)</f>
        <v>750</v>
      </c>
      <c r="G896" s="9">
        <f>IFERROR(__xludf.DUMMYFUNCTION("""COMPUTED_VALUE"""),6.0)</f>
        <v>6</v>
      </c>
      <c r="H896" s="10">
        <f>IFERROR(__xludf.DUMMYFUNCTION("""COMPUTED_VALUE"""),2.0)</f>
        <v>2</v>
      </c>
      <c r="I896" s="11">
        <f>IFERROR(__xludf.DUMMYFUNCTION("""COMPUTED_VALUE"""),923.0)</f>
        <v>923</v>
      </c>
      <c r="J896" s="9" t="str">
        <f>IFERROR(__xludf.DUMMYFUNCTION("""COMPUTED_VALUE"""),"UK")</f>
        <v>UK</v>
      </c>
      <c r="K896" s="8"/>
      <c r="L896" s="12"/>
      <c r="M896" s="13"/>
      <c r="N896" s="13" t="str">
        <f>IFERROR(__xludf.DUMMYFUNCTION("IF(ISBLANK(M896),"""",M896*GOOGLEFINANCE(""USDGBP""))"),"")</f>
        <v/>
      </c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</row>
    <row r="897">
      <c r="A897" s="8" t="str">
        <f>IFERROR(__xludf.DUMMYFUNCTION("""COMPUTED_VALUE"""),"103131920170600750")</f>
        <v>103131920170600750</v>
      </c>
      <c r="B897" s="9" t="str">
        <f>IFERROR(__xludf.DUMMYFUNCTION("""COMPUTED_VALUE"""),"France")</f>
        <v>France</v>
      </c>
      <c r="C897" s="9" t="str">
        <f>IFERROR(__xludf.DUMMYFUNCTION("""COMPUTED_VALUE"""),"burgundy")</f>
        <v>burgundy</v>
      </c>
      <c r="D897" s="9" t="str">
        <f>IFERROR(__xludf.DUMMYFUNCTION("""COMPUTED_VALUE"""),"Domaine Faiveley, Corton Grand Cru, Clos des Cortons Faiveley")</f>
        <v>Domaine Faiveley, Corton Grand Cru, Clos des Cortons Faiveley</v>
      </c>
      <c r="E897" s="9">
        <f>IFERROR(__xludf.DUMMYFUNCTION("""COMPUTED_VALUE"""),2017.0)</f>
        <v>2017</v>
      </c>
      <c r="F897" s="9">
        <f>IFERROR(__xludf.DUMMYFUNCTION("""COMPUTED_VALUE"""),750.0)</f>
        <v>750</v>
      </c>
      <c r="G897" s="9">
        <f>IFERROR(__xludf.DUMMYFUNCTION("""COMPUTED_VALUE"""),6.0)</f>
        <v>6</v>
      </c>
      <c r="H897" s="10">
        <f>IFERROR(__xludf.DUMMYFUNCTION("""COMPUTED_VALUE"""),1.0)</f>
        <v>1</v>
      </c>
      <c r="I897" s="11">
        <f>IFERROR(__xludf.DUMMYFUNCTION("""COMPUTED_VALUE"""),716.0)</f>
        <v>716</v>
      </c>
      <c r="J897" s="9" t="str">
        <f>IFERROR(__xludf.DUMMYFUNCTION("""COMPUTED_VALUE"""),"UK")</f>
        <v>UK</v>
      </c>
      <c r="K897" s="8"/>
      <c r="L897" s="12"/>
      <c r="M897" s="13"/>
      <c r="N897" s="13" t="str">
        <f>IFERROR(__xludf.DUMMYFUNCTION("IF(ISBLANK(M897),"""",M897*GOOGLEFINANCE(""USDGBP""))"),"")</f>
        <v/>
      </c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</row>
    <row r="898">
      <c r="A898" s="8" t="str">
        <f>IFERROR(__xludf.DUMMYFUNCTION("""COMPUTED_VALUE"""),"103131920180600750")</f>
        <v>103131920180600750</v>
      </c>
      <c r="B898" s="9" t="str">
        <f>IFERROR(__xludf.DUMMYFUNCTION("""COMPUTED_VALUE"""),"France")</f>
        <v>France</v>
      </c>
      <c r="C898" s="9" t="str">
        <f>IFERROR(__xludf.DUMMYFUNCTION("""COMPUTED_VALUE"""),"burgundy")</f>
        <v>burgundy</v>
      </c>
      <c r="D898" s="9" t="str">
        <f>IFERROR(__xludf.DUMMYFUNCTION("""COMPUTED_VALUE"""),"Domaine Faiveley, Corton Grand Cru, Clos des Cortons Faiveley")</f>
        <v>Domaine Faiveley, Corton Grand Cru, Clos des Cortons Faiveley</v>
      </c>
      <c r="E898" s="9">
        <f>IFERROR(__xludf.DUMMYFUNCTION("""COMPUTED_VALUE"""),2018.0)</f>
        <v>2018</v>
      </c>
      <c r="F898" s="9">
        <f>IFERROR(__xludf.DUMMYFUNCTION("""COMPUTED_VALUE"""),750.0)</f>
        <v>750</v>
      </c>
      <c r="G898" s="9">
        <f>IFERROR(__xludf.DUMMYFUNCTION("""COMPUTED_VALUE"""),6.0)</f>
        <v>6</v>
      </c>
      <c r="H898" s="10">
        <f>IFERROR(__xludf.DUMMYFUNCTION("""COMPUTED_VALUE"""),1.0)</f>
        <v>1</v>
      </c>
      <c r="I898" s="11">
        <f>IFERROR(__xludf.DUMMYFUNCTION("""COMPUTED_VALUE"""),750.0)</f>
        <v>750</v>
      </c>
      <c r="J898" s="9" t="str">
        <f>IFERROR(__xludf.DUMMYFUNCTION("""COMPUTED_VALUE"""),"UK")</f>
        <v>UK</v>
      </c>
      <c r="K898" s="8"/>
      <c r="L898" s="12"/>
      <c r="M898" s="13"/>
      <c r="N898" s="13" t="str">
        <f>IFERROR(__xludf.DUMMYFUNCTION("IF(ISBLANK(M898),"""",M898*GOOGLEFINANCE(""USDGBP""))"),"")</f>
        <v/>
      </c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</row>
    <row r="899">
      <c r="A899" s="8" t="str">
        <f>IFERROR(__xludf.DUMMYFUNCTION("""COMPUTED_VALUE"""),"103137720180600750")</f>
        <v>103137720180600750</v>
      </c>
      <c r="B899" s="9" t="str">
        <f>IFERROR(__xludf.DUMMYFUNCTION("""COMPUTED_VALUE"""),"France")</f>
        <v>France</v>
      </c>
      <c r="C899" s="9" t="str">
        <f>IFERROR(__xludf.DUMMYFUNCTION("""COMPUTED_VALUE"""),"burgundy")</f>
        <v>burgundy</v>
      </c>
      <c r="D899" s="9" t="str">
        <f>IFERROR(__xludf.DUMMYFUNCTION("""COMPUTED_VALUE"""),"Domaine Faiveley, Echezeaux Grand Cru, En Orveaux")</f>
        <v>Domaine Faiveley, Echezeaux Grand Cru, En Orveaux</v>
      </c>
      <c r="E899" s="9">
        <f>IFERROR(__xludf.DUMMYFUNCTION("""COMPUTED_VALUE"""),2018.0)</f>
        <v>2018</v>
      </c>
      <c r="F899" s="9">
        <f>IFERROR(__xludf.DUMMYFUNCTION("""COMPUTED_VALUE"""),750.0)</f>
        <v>750</v>
      </c>
      <c r="G899" s="9">
        <f>IFERROR(__xludf.DUMMYFUNCTION("""COMPUTED_VALUE"""),6.0)</f>
        <v>6</v>
      </c>
      <c r="H899" s="10">
        <f>IFERROR(__xludf.DUMMYFUNCTION("""COMPUTED_VALUE"""),3.0)</f>
        <v>3</v>
      </c>
      <c r="I899" s="11">
        <f>IFERROR(__xludf.DUMMYFUNCTION("""COMPUTED_VALUE"""),1019.0)</f>
        <v>1019</v>
      </c>
      <c r="J899" s="9" t="str">
        <f>IFERROR(__xludf.DUMMYFUNCTION("""COMPUTED_VALUE"""),"UK")</f>
        <v>UK</v>
      </c>
      <c r="K899" s="8"/>
      <c r="L899" s="12"/>
      <c r="M899" s="13"/>
      <c r="N899" s="13" t="str">
        <f>IFERROR(__xludf.DUMMYFUNCTION("IF(ISBLANK(M899),"""",M899*GOOGLEFINANCE(""USDGBP""))"),"")</f>
        <v/>
      </c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</row>
    <row r="900">
      <c r="A900" s="8" t="str">
        <f>IFERROR(__xludf.DUMMYFUNCTION("""COMPUTED_VALUE"""),"144928220160600750")</f>
        <v>144928220160600750</v>
      </c>
      <c r="B900" s="9" t="str">
        <f>IFERROR(__xludf.DUMMYFUNCTION("""COMPUTED_VALUE"""),"France")</f>
        <v>France</v>
      </c>
      <c r="C900" s="9" t="str">
        <f>IFERROR(__xludf.DUMMYFUNCTION("""COMPUTED_VALUE"""),"burgundy")</f>
        <v>burgundy</v>
      </c>
      <c r="D900" s="9" t="str">
        <f>IFERROR(__xludf.DUMMYFUNCTION("""COMPUTED_VALUE"""),"Domaine Faiveley, Gevrey-Chambertin Premier Cru, Lavaut Saint-Jacques")</f>
        <v>Domaine Faiveley, Gevrey-Chambertin Premier Cru, Lavaut Saint-Jacques</v>
      </c>
      <c r="E900" s="9">
        <f>IFERROR(__xludf.DUMMYFUNCTION("""COMPUTED_VALUE"""),2016.0)</f>
        <v>2016</v>
      </c>
      <c r="F900" s="9">
        <f>IFERROR(__xludf.DUMMYFUNCTION("""COMPUTED_VALUE"""),750.0)</f>
        <v>750</v>
      </c>
      <c r="G900" s="9">
        <f>IFERROR(__xludf.DUMMYFUNCTION("""COMPUTED_VALUE"""),6.0)</f>
        <v>6</v>
      </c>
      <c r="H900" s="10">
        <f>IFERROR(__xludf.DUMMYFUNCTION("""COMPUTED_VALUE"""),3.0)</f>
        <v>3</v>
      </c>
      <c r="I900" s="11">
        <f>IFERROR(__xludf.DUMMYFUNCTION("""COMPUTED_VALUE"""),593.0)</f>
        <v>593</v>
      </c>
      <c r="J900" s="9" t="str">
        <f>IFERROR(__xludf.DUMMYFUNCTION("""COMPUTED_VALUE"""),"UK")</f>
        <v>UK</v>
      </c>
      <c r="K900" s="8"/>
      <c r="L900" s="12"/>
      <c r="M900" s="13"/>
      <c r="N900" s="13" t="str">
        <f>IFERROR(__xludf.DUMMYFUNCTION("IF(ISBLANK(M900),"""",M900*GOOGLEFINANCE(""USDGBP""))"),"")</f>
        <v/>
      </c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</row>
    <row r="901">
      <c r="A901" s="8" t="str">
        <f>IFERROR(__xludf.DUMMYFUNCTION("""COMPUTED_VALUE"""),"144928220180600750")</f>
        <v>144928220180600750</v>
      </c>
      <c r="B901" s="9" t="str">
        <f>IFERROR(__xludf.DUMMYFUNCTION("""COMPUTED_VALUE"""),"France")</f>
        <v>France</v>
      </c>
      <c r="C901" s="9" t="str">
        <f>IFERROR(__xludf.DUMMYFUNCTION("""COMPUTED_VALUE"""),"burgundy")</f>
        <v>burgundy</v>
      </c>
      <c r="D901" s="9" t="str">
        <f>IFERROR(__xludf.DUMMYFUNCTION("""COMPUTED_VALUE"""),"Domaine Faiveley, Gevrey-Chambertin Premier Cru, Lavaut Saint-Jacques")</f>
        <v>Domaine Faiveley, Gevrey-Chambertin Premier Cru, Lavaut Saint-Jacques</v>
      </c>
      <c r="E901" s="9">
        <f>IFERROR(__xludf.DUMMYFUNCTION("""COMPUTED_VALUE"""),2018.0)</f>
        <v>2018</v>
      </c>
      <c r="F901" s="9">
        <f>IFERROR(__xludf.DUMMYFUNCTION("""COMPUTED_VALUE"""),750.0)</f>
        <v>750</v>
      </c>
      <c r="G901" s="9">
        <f>IFERROR(__xludf.DUMMYFUNCTION("""COMPUTED_VALUE"""),6.0)</f>
        <v>6</v>
      </c>
      <c r="H901" s="10">
        <f>IFERROR(__xludf.DUMMYFUNCTION("""COMPUTED_VALUE"""),2.0)</f>
        <v>2</v>
      </c>
      <c r="I901" s="11">
        <f>IFERROR(__xludf.DUMMYFUNCTION("""COMPUTED_VALUE"""),543.0)</f>
        <v>543</v>
      </c>
      <c r="J901" s="9" t="str">
        <f>IFERROR(__xludf.DUMMYFUNCTION("""COMPUTED_VALUE"""),"UK")</f>
        <v>UK</v>
      </c>
      <c r="K901" s="8"/>
      <c r="L901" s="12"/>
      <c r="M901" s="13"/>
      <c r="N901" s="13" t="str">
        <f>IFERROR(__xludf.DUMMYFUNCTION("IF(ISBLANK(M901),"""",M901*GOOGLEFINANCE(""USDGBP""))"),"")</f>
        <v/>
      </c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</row>
    <row r="902">
      <c r="A902" s="8" t="str">
        <f>IFERROR(__xludf.DUMMYFUNCTION("""COMPUTED_VALUE"""),"144928220190600750")</f>
        <v>144928220190600750</v>
      </c>
      <c r="B902" s="9" t="str">
        <f>IFERROR(__xludf.DUMMYFUNCTION("""COMPUTED_VALUE"""),"France")</f>
        <v>France</v>
      </c>
      <c r="C902" s="9" t="str">
        <f>IFERROR(__xludf.DUMMYFUNCTION("""COMPUTED_VALUE"""),"burgundy")</f>
        <v>burgundy</v>
      </c>
      <c r="D902" s="9" t="str">
        <f>IFERROR(__xludf.DUMMYFUNCTION("""COMPUTED_VALUE"""),"Domaine Faiveley, Gevrey-Chambertin Premier Cru, Lavaut Saint-Jacques")</f>
        <v>Domaine Faiveley, Gevrey-Chambertin Premier Cru, Lavaut Saint-Jacques</v>
      </c>
      <c r="E902" s="9">
        <f>IFERROR(__xludf.DUMMYFUNCTION("""COMPUTED_VALUE"""),2019.0)</f>
        <v>2019</v>
      </c>
      <c r="F902" s="9">
        <f>IFERROR(__xludf.DUMMYFUNCTION("""COMPUTED_VALUE"""),750.0)</f>
        <v>750</v>
      </c>
      <c r="G902" s="9">
        <f>IFERROR(__xludf.DUMMYFUNCTION("""COMPUTED_VALUE"""),6.0)</f>
        <v>6</v>
      </c>
      <c r="H902" s="10">
        <f>IFERROR(__xludf.DUMMYFUNCTION("""COMPUTED_VALUE"""),1.0)</f>
        <v>1</v>
      </c>
      <c r="I902" s="11">
        <f>IFERROR(__xludf.DUMMYFUNCTION("""COMPUTED_VALUE"""),606.0)</f>
        <v>606</v>
      </c>
      <c r="J902" s="9" t="str">
        <f>IFERROR(__xludf.DUMMYFUNCTION("""COMPUTED_VALUE"""),"UK")</f>
        <v>UK</v>
      </c>
      <c r="K902" s="8"/>
      <c r="L902" s="12"/>
      <c r="M902" s="13"/>
      <c r="N902" s="13" t="str">
        <f>IFERROR(__xludf.DUMMYFUNCTION("IF(ISBLANK(M902),"""",M902*GOOGLEFINANCE(""USDGBP""))"),"")</f>
        <v/>
      </c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</row>
    <row r="903">
      <c r="A903" s="8" t="str">
        <f>IFERROR(__xludf.DUMMYFUNCTION("""COMPUTED_VALUE"""),"103140720190600750")</f>
        <v>103140720190600750</v>
      </c>
      <c r="B903" s="9" t="str">
        <f>IFERROR(__xludf.DUMMYFUNCTION("""COMPUTED_VALUE"""),"France")</f>
        <v>France</v>
      </c>
      <c r="C903" s="9" t="str">
        <f>IFERROR(__xludf.DUMMYFUNCTION("""COMPUTED_VALUE"""),"burgundy")</f>
        <v>burgundy</v>
      </c>
      <c r="D903" s="9" t="str">
        <f>IFERROR(__xludf.DUMMYFUNCTION("""COMPUTED_VALUE"""),"Domaine Faiveley, Gevrey-Chambertin Premier Cru, Les Cazetiers")</f>
        <v>Domaine Faiveley, Gevrey-Chambertin Premier Cru, Les Cazetiers</v>
      </c>
      <c r="E903" s="9">
        <f>IFERROR(__xludf.DUMMYFUNCTION("""COMPUTED_VALUE"""),2019.0)</f>
        <v>2019</v>
      </c>
      <c r="F903" s="9">
        <f>IFERROR(__xludf.DUMMYFUNCTION("""COMPUTED_VALUE"""),750.0)</f>
        <v>750</v>
      </c>
      <c r="G903" s="9">
        <f>IFERROR(__xludf.DUMMYFUNCTION("""COMPUTED_VALUE"""),6.0)</f>
        <v>6</v>
      </c>
      <c r="H903" s="10">
        <f>IFERROR(__xludf.DUMMYFUNCTION("""COMPUTED_VALUE"""),1.0)</f>
        <v>1</v>
      </c>
      <c r="I903" s="11">
        <f>IFERROR(__xludf.DUMMYFUNCTION("""COMPUTED_VALUE"""),609.0)</f>
        <v>609</v>
      </c>
      <c r="J903" s="9" t="str">
        <f>IFERROR(__xludf.DUMMYFUNCTION("""COMPUTED_VALUE"""),"UK")</f>
        <v>UK</v>
      </c>
      <c r="K903" s="8"/>
      <c r="L903" s="12"/>
      <c r="M903" s="13"/>
      <c r="N903" s="13" t="str">
        <f>IFERROR(__xludf.DUMMYFUNCTION("IF(ISBLANK(M903),"""",M903*GOOGLEFINANCE(""USDGBP""))"),"")</f>
        <v/>
      </c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</row>
    <row r="904">
      <c r="A904" s="8" t="str">
        <f>IFERROR(__xludf.DUMMYFUNCTION("""COMPUTED_VALUE"""),"103145220170600750")</f>
        <v>103145220170600750</v>
      </c>
      <c r="B904" s="9" t="str">
        <f>IFERROR(__xludf.DUMMYFUNCTION("""COMPUTED_VALUE"""),"France")</f>
        <v>France</v>
      </c>
      <c r="C904" s="9" t="str">
        <f>IFERROR(__xludf.DUMMYFUNCTION("""COMPUTED_VALUE"""),"burgundy")</f>
        <v>burgundy</v>
      </c>
      <c r="D904" s="9" t="str">
        <f>IFERROR(__xludf.DUMMYFUNCTION("""COMPUTED_VALUE"""),"Domaine Faiveley, Latricieres-Chambertin Grand Cru")</f>
        <v>Domaine Faiveley, Latricieres-Chambertin Grand Cru</v>
      </c>
      <c r="E904" s="9">
        <f>IFERROR(__xludf.DUMMYFUNCTION("""COMPUTED_VALUE"""),2017.0)</f>
        <v>2017</v>
      </c>
      <c r="F904" s="9">
        <f>IFERROR(__xludf.DUMMYFUNCTION("""COMPUTED_VALUE"""),750.0)</f>
        <v>750</v>
      </c>
      <c r="G904" s="9">
        <f>IFERROR(__xludf.DUMMYFUNCTION("""COMPUTED_VALUE"""),6.0)</f>
        <v>6</v>
      </c>
      <c r="H904" s="10">
        <f>IFERROR(__xludf.DUMMYFUNCTION("""COMPUTED_VALUE"""),1.0)</f>
        <v>1</v>
      </c>
      <c r="I904" s="11">
        <f>IFERROR(__xludf.DUMMYFUNCTION("""COMPUTED_VALUE"""),974.0)</f>
        <v>974</v>
      </c>
      <c r="J904" s="9" t="str">
        <f>IFERROR(__xludf.DUMMYFUNCTION("""COMPUTED_VALUE"""),"UK")</f>
        <v>UK</v>
      </c>
      <c r="K904" s="8"/>
      <c r="L904" s="12"/>
      <c r="M904" s="13"/>
      <c r="N904" s="13" t="str">
        <f>IFERROR(__xludf.DUMMYFUNCTION("IF(ISBLANK(M904),"""",M904*GOOGLEFINANCE(""USDGBP""))"),"")</f>
        <v/>
      </c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</row>
    <row r="905">
      <c r="A905" s="8" t="str">
        <f>IFERROR(__xludf.DUMMYFUNCTION("""COMPUTED_VALUE"""),"103146520110600750")</f>
        <v>103146520110600750</v>
      </c>
      <c r="B905" s="9" t="str">
        <f>IFERROR(__xludf.DUMMYFUNCTION("""COMPUTED_VALUE"""),"France")</f>
        <v>France</v>
      </c>
      <c r="C905" s="9" t="str">
        <f>IFERROR(__xludf.DUMMYFUNCTION("""COMPUTED_VALUE"""),"burgundy")</f>
        <v>burgundy</v>
      </c>
      <c r="D905" s="9" t="str">
        <f>IFERROR(__xludf.DUMMYFUNCTION("""COMPUTED_VALUE"""),"Domaine Faiveley, Mazis-Chambertin Grand Cru")</f>
        <v>Domaine Faiveley, Mazis-Chambertin Grand Cru</v>
      </c>
      <c r="E905" s="9">
        <f>IFERROR(__xludf.DUMMYFUNCTION("""COMPUTED_VALUE"""),2011.0)</f>
        <v>2011</v>
      </c>
      <c r="F905" s="9">
        <f>IFERROR(__xludf.DUMMYFUNCTION("""COMPUTED_VALUE"""),750.0)</f>
        <v>750</v>
      </c>
      <c r="G905" s="9">
        <f>IFERROR(__xludf.DUMMYFUNCTION("""COMPUTED_VALUE"""),6.0)</f>
        <v>6</v>
      </c>
      <c r="H905" s="10">
        <f>IFERROR(__xludf.DUMMYFUNCTION("""COMPUTED_VALUE"""),2.0)</f>
        <v>2</v>
      </c>
      <c r="I905" s="11">
        <f>IFERROR(__xludf.DUMMYFUNCTION("""COMPUTED_VALUE"""),947.0)</f>
        <v>947</v>
      </c>
      <c r="J905" s="9" t="str">
        <f>IFERROR(__xludf.DUMMYFUNCTION("""COMPUTED_VALUE"""),"UK")</f>
        <v>UK</v>
      </c>
      <c r="K905" s="8"/>
      <c r="L905" s="12"/>
      <c r="M905" s="13"/>
      <c r="N905" s="13" t="str">
        <f>IFERROR(__xludf.DUMMYFUNCTION("IF(ISBLANK(M905),"""",M905*GOOGLEFINANCE(""USDGBP""))"),"")</f>
        <v/>
      </c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</row>
    <row r="906">
      <c r="A906" s="8" t="str">
        <f>IFERROR(__xludf.DUMMYFUNCTION("""COMPUTED_VALUE"""),"103146520190600750")</f>
        <v>103146520190600750</v>
      </c>
      <c r="B906" s="9" t="str">
        <f>IFERROR(__xludf.DUMMYFUNCTION("""COMPUTED_VALUE"""),"France")</f>
        <v>France</v>
      </c>
      <c r="C906" s="9" t="str">
        <f>IFERROR(__xludf.DUMMYFUNCTION("""COMPUTED_VALUE"""),"burgundy")</f>
        <v>burgundy</v>
      </c>
      <c r="D906" s="9" t="str">
        <f>IFERROR(__xludf.DUMMYFUNCTION("""COMPUTED_VALUE"""),"Domaine Faiveley, Mazis-Chambertin Grand Cru")</f>
        <v>Domaine Faiveley, Mazis-Chambertin Grand Cru</v>
      </c>
      <c r="E906" s="9">
        <f>IFERROR(__xludf.DUMMYFUNCTION("""COMPUTED_VALUE"""),2019.0)</f>
        <v>2019</v>
      </c>
      <c r="F906" s="9">
        <f>IFERROR(__xludf.DUMMYFUNCTION("""COMPUTED_VALUE"""),750.0)</f>
        <v>750</v>
      </c>
      <c r="G906" s="9">
        <f>IFERROR(__xludf.DUMMYFUNCTION("""COMPUTED_VALUE"""),6.0)</f>
        <v>6</v>
      </c>
      <c r="H906" s="10">
        <f>IFERROR(__xludf.DUMMYFUNCTION("""COMPUTED_VALUE"""),1.0)</f>
        <v>1</v>
      </c>
      <c r="I906" s="11">
        <f>IFERROR(__xludf.DUMMYFUNCTION("""COMPUTED_VALUE"""),1159.0)</f>
        <v>1159</v>
      </c>
      <c r="J906" s="9" t="str">
        <f>IFERROR(__xludf.DUMMYFUNCTION("""COMPUTED_VALUE"""),"UK")</f>
        <v>UK</v>
      </c>
      <c r="K906" s="8"/>
      <c r="L906" s="12"/>
      <c r="M906" s="13"/>
      <c r="N906" s="13" t="str">
        <f>IFERROR(__xludf.DUMMYFUNCTION("IF(ISBLANK(M906),"""",M906*GOOGLEFINANCE(""USDGBP""))"),"")</f>
        <v/>
      </c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</row>
    <row r="907">
      <c r="A907" s="8" t="str">
        <f>IFERROR(__xludf.DUMMYFUNCTION("""COMPUTED_VALUE"""),"124775820170600750")</f>
        <v>124775820170600750</v>
      </c>
      <c r="B907" s="9" t="str">
        <f>IFERROR(__xludf.DUMMYFUNCTION("""COMPUTED_VALUE"""),"France")</f>
        <v>France</v>
      </c>
      <c r="C907" s="9" t="str">
        <f>IFERROR(__xludf.DUMMYFUNCTION("""COMPUTED_VALUE"""),"burgundy")</f>
        <v>burgundy</v>
      </c>
      <c r="D907" s="9" t="str">
        <f>IFERROR(__xludf.DUMMYFUNCTION("""COMPUTED_VALUE"""),"Domaine Fourrier, Chambolle-Musigny, Vieille Vigne")</f>
        <v>Domaine Fourrier, Chambolle-Musigny, Vieille Vigne</v>
      </c>
      <c r="E907" s="9">
        <f>IFERROR(__xludf.DUMMYFUNCTION("""COMPUTED_VALUE"""),2017.0)</f>
        <v>2017</v>
      </c>
      <c r="F907" s="9">
        <f>IFERROR(__xludf.DUMMYFUNCTION("""COMPUTED_VALUE"""),750.0)</f>
        <v>750</v>
      </c>
      <c r="G907" s="9">
        <f>IFERROR(__xludf.DUMMYFUNCTION("""COMPUTED_VALUE"""),6.0)</f>
        <v>6</v>
      </c>
      <c r="H907" s="10">
        <f>IFERROR(__xludf.DUMMYFUNCTION("""COMPUTED_VALUE"""),2.0)</f>
        <v>2</v>
      </c>
      <c r="I907" s="11">
        <f>IFERROR(__xludf.DUMMYFUNCTION("""COMPUTED_VALUE"""),1600.0)</f>
        <v>1600</v>
      </c>
      <c r="J907" s="9" t="str">
        <f>IFERROR(__xludf.DUMMYFUNCTION("""COMPUTED_VALUE"""),"UK")</f>
        <v>UK</v>
      </c>
      <c r="K907" s="8"/>
      <c r="L907" s="12"/>
      <c r="M907" s="13"/>
      <c r="N907" s="13" t="str">
        <f>IFERROR(__xludf.DUMMYFUNCTION("IF(ISBLANK(M907),"""",M907*GOOGLEFINANCE(""USDGBP""))"),"")</f>
        <v/>
      </c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</row>
    <row r="908">
      <c r="A908" s="8" t="str">
        <f>IFERROR(__xludf.DUMMYFUNCTION("""COMPUTED_VALUE"""),"176234120140300750")</f>
        <v>176234120140300750</v>
      </c>
      <c r="B908" s="9" t="str">
        <f>IFERROR(__xludf.DUMMYFUNCTION("""COMPUTED_VALUE"""),"France")</f>
        <v>France</v>
      </c>
      <c r="C908" s="9" t="str">
        <f>IFERROR(__xludf.DUMMYFUNCTION("""COMPUTED_VALUE"""),"burgundy")</f>
        <v>burgundy</v>
      </c>
      <c r="D908" s="9" t="str">
        <f>IFERROR(__xludf.DUMMYFUNCTION("""COMPUTED_VALUE"""),"Domaine Fourrier, Gevrey-Chambertin Premier Cru, Champeaux Vieille Vigne")</f>
        <v>Domaine Fourrier, Gevrey-Chambertin Premier Cru, Champeaux Vieille Vigne</v>
      </c>
      <c r="E908" s="9">
        <f>IFERROR(__xludf.DUMMYFUNCTION("""COMPUTED_VALUE"""),2014.0)</f>
        <v>2014</v>
      </c>
      <c r="F908" s="9">
        <f>IFERROR(__xludf.DUMMYFUNCTION("""COMPUTED_VALUE"""),750.0)</f>
        <v>750</v>
      </c>
      <c r="G908" s="9">
        <f>IFERROR(__xludf.DUMMYFUNCTION("""COMPUTED_VALUE"""),3.0)</f>
        <v>3</v>
      </c>
      <c r="H908" s="10">
        <f>IFERROR(__xludf.DUMMYFUNCTION("""COMPUTED_VALUE"""),1.0)</f>
        <v>1</v>
      </c>
      <c r="I908" s="11">
        <f>IFERROR(__xludf.DUMMYFUNCTION("""COMPUTED_VALUE"""),829.0)</f>
        <v>829</v>
      </c>
      <c r="J908" s="9" t="str">
        <f>IFERROR(__xludf.DUMMYFUNCTION("""COMPUTED_VALUE"""),"UK")</f>
        <v>UK</v>
      </c>
      <c r="K908" s="8"/>
      <c r="L908" s="12"/>
      <c r="M908" s="13"/>
      <c r="N908" s="13" t="str">
        <f>IFERROR(__xludf.DUMMYFUNCTION("IF(ISBLANK(M908),"""",M908*GOOGLEFINANCE(""USDGBP""))"),"")</f>
        <v/>
      </c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</row>
    <row r="909">
      <c r="A909" s="8" t="str">
        <f>IFERROR(__xludf.DUMMYFUNCTION("""COMPUTED_VALUE"""),"103233220160600750")</f>
        <v>103233220160600750</v>
      </c>
      <c r="B909" s="9" t="str">
        <f>IFERROR(__xludf.DUMMYFUNCTION("""COMPUTED_VALUE"""),"France")</f>
        <v>France</v>
      </c>
      <c r="C909" s="9" t="str">
        <f>IFERROR(__xludf.DUMMYFUNCTION("""COMPUTED_VALUE"""),"burgundy")</f>
        <v>burgundy</v>
      </c>
      <c r="D909" s="9" t="str">
        <f>IFERROR(__xludf.DUMMYFUNCTION("""COMPUTED_VALUE"""),"Domaine Fourrier, Gevrey-Chambertin Premier Cru, Combe au Moine Vieille Vigne")</f>
        <v>Domaine Fourrier, Gevrey-Chambertin Premier Cru, Combe au Moine Vieille Vigne</v>
      </c>
      <c r="E909" s="9">
        <f>IFERROR(__xludf.DUMMYFUNCTION("""COMPUTED_VALUE"""),2016.0)</f>
        <v>2016</v>
      </c>
      <c r="F909" s="9">
        <f>IFERROR(__xludf.DUMMYFUNCTION("""COMPUTED_VALUE"""),750.0)</f>
        <v>750</v>
      </c>
      <c r="G909" s="9">
        <f>IFERROR(__xludf.DUMMYFUNCTION("""COMPUTED_VALUE"""),6.0)</f>
        <v>6</v>
      </c>
      <c r="H909" s="10">
        <f>IFERROR(__xludf.DUMMYFUNCTION("""COMPUTED_VALUE"""),1.0)</f>
        <v>1</v>
      </c>
      <c r="I909" s="11">
        <f>IFERROR(__xludf.DUMMYFUNCTION("""COMPUTED_VALUE"""),1562.0)</f>
        <v>1562</v>
      </c>
      <c r="J909" s="9" t="str">
        <f>IFERROR(__xludf.DUMMYFUNCTION("""COMPUTED_VALUE"""),"UK")</f>
        <v>UK</v>
      </c>
      <c r="K909" s="8"/>
      <c r="L909" s="12"/>
      <c r="M909" s="13"/>
      <c r="N909" s="13" t="str">
        <f>IFERROR(__xludf.DUMMYFUNCTION("IF(ISBLANK(M909),"""",M909*GOOGLEFINANCE(""USDGBP""))"),"")</f>
        <v/>
      </c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</row>
    <row r="910">
      <c r="A910" s="8" t="str">
        <f>IFERROR(__xludf.DUMMYFUNCTION("""COMPUTED_VALUE"""),"176235420160600750")</f>
        <v>176235420160600750</v>
      </c>
      <c r="B910" s="9" t="str">
        <f>IFERROR(__xludf.DUMMYFUNCTION("""COMPUTED_VALUE"""),"France")</f>
        <v>France</v>
      </c>
      <c r="C910" s="9" t="str">
        <f>IFERROR(__xludf.DUMMYFUNCTION("""COMPUTED_VALUE"""),"burgundy")</f>
        <v>burgundy</v>
      </c>
      <c r="D910" s="9" t="str">
        <f>IFERROR(__xludf.DUMMYFUNCTION("""COMPUTED_VALUE"""),"Domaine Fourrier, Gevrey-Chambertin Premier Cru, Les Goulots Vieille Vigne")</f>
        <v>Domaine Fourrier, Gevrey-Chambertin Premier Cru, Les Goulots Vieille Vigne</v>
      </c>
      <c r="E910" s="9">
        <f>IFERROR(__xludf.DUMMYFUNCTION("""COMPUTED_VALUE"""),2016.0)</f>
        <v>2016</v>
      </c>
      <c r="F910" s="9">
        <f>IFERROR(__xludf.DUMMYFUNCTION("""COMPUTED_VALUE"""),750.0)</f>
        <v>750</v>
      </c>
      <c r="G910" s="9">
        <f>IFERROR(__xludf.DUMMYFUNCTION("""COMPUTED_VALUE"""),6.0)</f>
        <v>6</v>
      </c>
      <c r="H910" s="10">
        <f>IFERROR(__xludf.DUMMYFUNCTION("""COMPUTED_VALUE"""),1.0)</f>
        <v>1</v>
      </c>
      <c r="I910" s="11">
        <f>IFERROR(__xludf.DUMMYFUNCTION("""COMPUTED_VALUE"""),1360.0)</f>
        <v>1360</v>
      </c>
      <c r="J910" s="9" t="str">
        <f>IFERROR(__xludf.DUMMYFUNCTION("""COMPUTED_VALUE"""),"UK")</f>
        <v>UK</v>
      </c>
      <c r="K910" s="8"/>
      <c r="L910" s="12"/>
      <c r="M910" s="13"/>
      <c r="N910" s="13" t="str">
        <f>IFERROR(__xludf.DUMMYFUNCTION("IF(ISBLANK(M910),"""",M910*GOOGLEFINANCE(""USDGBP""))"),"")</f>
        <v/>
      </c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</row>
    <row r="911">
      <c r="A911" s="8" t="str">
        <f>IFERROR(__xludf.DUMMYFUNCTION("""COMPUTED_VALUE"""),"176235420190300750")</f>
        <v>176235420190300750</v>
      </c>
      <c r="B911" s="9" t="str">
        <f>IFERROR(__xludf.DUMMYFUNCTION("""COMPUTED_VALUE"""),"France")</f>
        <v>France</v>
      </c>
      <c r="C911" s="9" t="str">
        <f>IFERROR(__xludf.DUMMYFUNCTION("""COMPUTED_VALUE"""),"burgundy")</f>
        <v>burgundy</v>
      </c>
      <c r="D911" s="9" t="str">
        <f>IFERROR(__xludf.DUMMYFUNCTION("""COMPUTED_VALUE"""),"Domaine Fourrier, Gevrey-Chambertin Premier Cru, Les Goulots Vieille Vigne")</f>
        <v>Domaine Fourrier, Gevrey-Chambertin Premier Cru, Les Goulots Vieille Vigne</v>
      </c>
      <c r="E911" s="9">
        <f>IFERROR(__xludf.DUMMYFUNCTION("""COMPUTED_VALUE"""),2019.0)</f>
        <v>2019</v>
      </c>
      <c r="F911" s="9">
        <f>IFERROR(__xludf.DUMMYFUNCTION("""COMPUTED_VALUE"""),750.0)</f>
        <v>750</v>
      </c>
      <c r="G911" s="9">
        <f>IFERROR(__xludf.DUMMYFUNCTION("""COMPUTED_VALUE"""),3.0)</f>
        <v>3</v>
      </c>
      <c r="H911" s="10">
        <f>IFERROR(__xludf.DUMMYFUNCTION("""COMPUTED_VALUE"""),2.0)</f>
        <v>2</v>
      </c>
      <c r="I911" s="11">
        <f>IFERROR(__xludf.DUMMYFUNCTION("""COMPUTED_VALUE"""),854.0)</f>
        <v>854</v>
      </c>
      <c r="J911" s="9" t="str">
        <f>IFERROR(__xludf.DUMMYFUNCTION("""COMPUTED_VALUE"""),"UK")</f>
        <v>UK</v>
      </c>
      <c r="K911" s="8"/>
      <c r="L911" s="12"/>
      <c r="M911" s="13"/>
      <c r="N911" s="13" t="str">
        <f>IFERROR(__xludf.DUMMYFUNCTION("IF(ISBLANK(M911),"""",M911*GOOGLEFINANCE(""USDGBP""))"),"")</f>
        <v/>
      </c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</row>
    <row r="912">
      <c r="A912" s="8" t="str">
        <f>IFERROR(__xludf.DUMMYFUNCTION("""COMPUTED_VALUE"""),"176235420191200750")</f>
        <v>176235420191200750</v>
      </c>
      <c r="B912" s="9" t="str">
        <f>IFERROR(__xludf.DUMMYFUNCTION("""COMPUTED_VALUE"""),"France")</f>
        <v>France</v>
      </c>
      <c r="C912" s="9" t="str">
        <f>IFERROR(__xludf.DUMMYFUNCTION("""COMPUTED_VALUE"""),"burgundy")</f>
        <v>burgundy</v>
      </c>
      <c r="D912" s="9" t="str">
        <f>IFERROR(__xludf.DUMMYFUNCTION("""COMPUTED_VALUE"""),"Domaine Fourrier, Gevrey-Chambertin Premier Cru, Les Goulots Vieille Vigne")</f>
        <v>Domaine Fourrier, Gevrey-Chambertin Premier Cru, Les Goulots Vieille Vigne</v>
      </c>
      <c r="E912" s="9">
        <f>IFERROR(__xludf.DUMMYFUNCTION("""COMPUTED_VALUE"""),2019.0)</f>
        <v>2019</v>
      </c>
      <c r="F912" s="9">
        <f>IFERROR(__xludf.DUMMYFUNCTION("""COMPUTED_VALUE"""),750.0)</f>
        <v>750</v>
      </c>
      <c r="G912" s="9">
        <f>IFERROR(__xludf.DUMMYFUNCTION("""COMPUTED_VALUE"""),12.0)</f>
        <v>12</v>
      </c>
      <c r="H912" s="10">
        <f>IFERROR(__xludf.DUMMYFUNCTION("""COMPUTED_VALUE"""),1.0)</f>
        <v>1</v>
      </c>
      <c r="I912" s="11">
        <f>IFERROR(__xludf.DUMMYFUNCTION("""COMPUTED_VALUE"""),3414.0)</f>
        <v>3414</v>
      </c>
      <c r="J912" s="9" t="str">
        <f>IFERROR(__xludf.DUMMYFUNCTION("""COMPUTED_VALUE"""),"UK")</f>
        <v>UK</v>
      </c>
      <c r="K912" s="8"/>
      <c r="L912" s="12"/>
      <c r="M912" s="13"/>
      <c r="N912" s="13" t="str">
        <f>IFERROR(__xludf.DUMMYFUNCTION("IF(ISBLANK(M912),"""",M912*GOOGLEFINANCE(""USDGBP""))"),"")</f>
        <v/>
      </c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</row>
    <row r="913">
      <c r="A913" s="8" t="str">
        <f>IFERROR(__xludf.DUMMYFUNCTION("""COMPUTED_VALUE"""),"103236120150600750")</f>
        <v>103236120150600750</v>
      </c>
      <c r="B913" s="9" t="str">
        <f>IFERROR(__xludf.DUMMYFUNCTION("""COMPUTED_VALUE"""),"France")</f>
        <v>France</v>
      </c>
      <c r="C913" s="9" t="str">
        <f>IFERROR(__xludf.DUMMYFUNCTION("""COMPUTED_VALUE"""),"burgundy")</f>
        <v>burgundy</v>
      </c>
      <c r="D913" s="9" t="str">
        <f>IFERROR(__xludf.DUMMYFUNCTION("""COMPUTED_VALUE"""),"Domaine Fourrier, Gevrey-Chambertin, Vieille Vigne")</f>
        <v>Domaine Fourrier, Gevrey-Chambertin, Vieille Vigne</v>
      </c>
      <c r="E913" s="9">
        <f>IFERROR(__xludf.DUMMYFUNCTION("""COMPUTED_VALUE"""),2015.0)</f>
        <v>2015</v>
      </c>
      <c r="F913" s="9">
        <f>IFERROR(__xludf.DUMMYFUNCTION("""COMPUTED_VALUE"""),750.0)</f>
        <v>750</v>
      </c>
      <c r="G913" s="9">
        <f>IFERROR(__xludf.DUMMYFUNCTION("""COMPUTED_VALUE"""),6.0)</f>
        <v>6</v>
      </c>
      <c r="H913" s="10">
        <f>IFERROR(__xludf.DUMMYFUNCTION("""COMPUTED_VALUE"""),1.0)</f>
        <v>1</v>
      </c>
      <c r="I913" s="11">
        <f>IFERROR(__xludf.DUMMYFUNCTION("""COMPUTED_VALUE"""),795.0)</f>
        <v>795</v>
      </c>
      <c r="J913" s="9" t="str">
        <f>IFERROR(__xludf.DUMMYFUNCTION("""COMPUTED_VALUE"""),"UK")</f>
        <v>UK</v>
      </c>
      <c r="K913" s="8"/>
      <c r="L913" s="12"/>
      <c r="M913" s="13"/>
      <c r="N913" s="13" t="str">
        <f>IFERROR(__xludf.DUMMYFUNCTION("IF(ISBLANK(M913),"""",M913*GOOGLEFINANCE(""USDGBP""))"),"")</f>
        <v/>
      </c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</row>
    <row r="914">
      <c r="A914" s="8" t="str">
        <f>IFERROR(__xludf.DUMMYFUNCTION("""COMPUTED_VALUE"""),"131703320190300750")</f>
        <v>131703320190300750</v>
      </c>
      <c r="B914" s="9" t="str">
        <f>IFERROR(__xludf.DUMMYFUNCTION("""COMPUTED_VALUE"""),"France")</f>
        <v>France</v>
      </c>
      <c r="C914" s="9" t="str">
        <f>IFERROR(__xludf.DUMMYFUNCTION("""COMPUTED_VALUE"""),"burgundy")</f>
        <v>burgundy</v>
      </c>
      <c r="D914" s="9" t="str">
        <f>IFERROR(__xludf.DUMMYFUNCTION("""COMPUTED_VALUE"""),"Domaine Fourrier, Griotte-Chambertin Grand Cru, Vieille Vigne")</f>
        <v>Domaine Fourrier, Griotte-Chambertin Grand Cru, Vieille Vigne</v>
      </c>
      <c r="E914" s="9">
        <f>IFERROR(__xludf.DUMMYFUNCTION("""COMPUTED_VALUE"""),2019.0)</f>
        <v>2019</v>
      </c>
      <c r="F914" s="9">
        <f>IFERROR(__xludf.DUMMYFUNCTION("""COMPUTED_VALUE"""),750.0)</f>
        <v>750</v>
      </c>
      <c r="G914" s="9">
        <f>IFERROR(__xludf.DUMMYFUNCTION("""COMPUTED_VALUE"""),3.0)</f>
        <v>3</v>
      </c>
      <c r="H914" s="10">
        <f>IFERROR(__xludf.DUMMYFUNCTION("""COMPUTED_VALUE"""),1.0)</f>
        <v>1</v>
      </c>
      <c r="I914" s="11">
        <f>IFERROR(__xludf.DUMMYFUNCTION("""COMPUTED_VALUE"""),2871.0)</f>
        <v>2871</v>
      </c>
      <c r="J914" s="9" t="str">
        <f>IFERROR(__xludf.DUMMYFUNCTION("""COMPUTED_VALUE"""),"UK")</f>
        <v>UK</v>
      </c>
      <c r="K914" s="8"/>
      <c r="L914" s="12"/>
      <c r="M914" s="13"/>
      <c r="N914" s="13" t="str">
        <f>IFERROR(__xludf.DUMMYFUNCTION("IF(ISBLANK(M914),"""",M914*GOOGLEFINANCE(""USDGBP""))"),"")</f>
        <v/>
      </c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</row>
    <row r="915">
      <c r="A915" s="8" t="str">
        <f>IFERROR(__xludf.DUMMYFUNCTION("""COMPUTED_VALUE"""),"103239020080600750")</f>
        <v>103239020080600750</v>
      </c>
      <c r="B915" s="9" t="str">
        <f>IFERROR(__xludf.DUMMYFUNCTION("""COMPUTED_VALUE"""),"France")</f>
        <v>France</v>
      </c>
      <c r="C915" s="9" t="str">
        <f>IFERROR(__xludf.DUMMYFUNCTION("""COMPUTED_VALUE"""),"burgundy")</f>
        <v>burgundy</v>
      </c>
      <c r="D915" s="9" t="str">
        <f>IFERROR(__xludf.DUMMYFUNCTION("""COMPUTED_VALUE"""),"Domaine Fourrier, Morey-Saint-Denis, Clos Solon Vieille Vigne")</f>
        <v>Domaine Fourrier, Morey-Saint-Denis, Clos Solon Vieille Vigne</v>
      </c>
      <c r="E915" s="9">
        <f>IFERROR(__xludf.DUMMYFUNCTION("""COMPUTED_VALUE"""),2008.0)</f>
        <v>2008</v>
      </c>
      <c r="F915" s="9">
        <f>IFERROR(__xludf.DUMMYFUNCTION("""COMPUTED_VALUE"""),750.0)</f>
        <v>750</v>
      </c>
      <c r="G915" s="9">
        <f>IFERROR(__xludf.DUMMYFUNCTION("""COMPUTED_VALUE"""),6.0)</f>
        <v>6</v>
      </c>
      <c r="H915" s="10">
        <f>IFERROR(__xludf.DUMMYFUNCTION("""COMPUTED_VALUE"""),1.0)</f>
        <v>1</v>
      </c>
      <c r="I915" s="11">
        <f>IFERROR(__xludf.DUMMYFUNCTION("""COMPUTED_VALUE"""),1048.0)</f>
        <v>1048</v>
      </c>
      <c r="J915" s="9" t="str">
        <f>IFERROR(__xludf.DUMMYFUNCTION("""COMPUTED_VALUE"""),"UK")</f>
        <v>UK</v>
      </c>
      <c r="K915" s="8"/>
      <c r="L915" s="12"/>
      <c r="M915" s="13"/>
      <c r="N915" s="13" t="str">
        <f>IFERROR(__xludf.DUMMYFUNCTION("IF(ISBLANK(M915),"""",M915*GOOGLEFINANCE(""USDGBP""))"),"")</f>
        <v/>
      </c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</row>
    <row r="916">
      <c r="A916" s="8" t="str">
        <f>IFERROR(__xludf.DUMMYFUNCTION("""COMPUTED_VALUE"""),"103239020171200750")</f>
        <v>103239020171200750</v>
      </c>
      <c r="B916" s="9" t="str">
        <f>IFERROR(__xludf.DUMMYFUNCTION("""COMPUTED_VALUE"""),"France")</f>
        <v>France</v>
      </c>
      <c r="C916" s="9" t="str">
        <f>IFERROR(__xludf.DUMMYFUNCTION("""COMPUTED_VALUE"""),"burgundy")</f>
        <v>burgundy</v>
      </c>
      <c r="D916" s="9" t="str">
        <f>IFERROR(__xludf.DUMMYFUNCTION("""COMPUTED_VALUE"""),"Domaine Fourrier, Morey-Saint-Denis, Clos Solon Vieille Vigne")</f>
        <v>Domaine Fourrier, Morey-Saint-Denis, Clos Solon Vieille Vigne</v>
      </c>
      <c r="E916" s="9">
        <f>IFERROR(__xludf.DUMMYFUNCTION("""COMPUTED_VALUE"""),2017.0)</f>
        <v>2017</v>
      </c>
      <c r="F916" s="9">
        <f>IFERROR(__xludf.DUMMYFUNCTION("""COMPUTED_VALUE"""),750.0)</f>
        <v>750</v>
      </c>
      <c r="G916" s="9">
        <f>IFERROR(__xludf.DUMMYFUNCTION("""COMPUTED_VALUE"""),12.0)</f>
        <v>12</v>
      </c>
      <c r="H916" s="10">
        <f>IFERROR(__xludf.DUMMYFUNCTION("""COMPUTED_VALUE"""),1.0)</f>
        <v>1</v>
      </c>
      <c r="I916" s="11">
        <f>IFERROR(__xludf.DUMMYFUNCTION("""COMPUTED_VALUE"""),1436.0)</f>
        <v>1436</v>
      </c>
      <c r="J916" s="9" t="str">
        <f>IFERROR(__xludf.DUMMYFUNCTION("""COMPUTED_VALUE"""),"UK")</f>
        <v>UK</v>
      </c>
      <c r="K916" s="8"/>
      <c r="L916" s="12"/>
      <c r="M916" s="13"/>
      <c r="N916" s="13" t="str">
        <f>IFERROR(__xludf.DUMMYFUNCTION("IF(ISBLANK(M916),"""",M916*GOOGLEFINANCE(""USDGBP""))"),"")</f>
        <v/>
      </c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</row>
    <row r="917">
      <c r="A917" s="8" t="str">
        <f>IFERROR(__xludf.DUMMYFUNCTION("""COMPUTED_VALUE"""),"103239020190600750")</f>
        <v>103239020190600750</v>
      </c>
      <c r="B917" s="9" t="str">
        <f>IFERROR(__xludf.DUMMYFUNCTION("""COMPUTED_VALUE"""),"France")</f>
        <v>France</v>
      </c>
      <c r="C917" s="9" t="str">
        <f>IFERROR(__xludf.DUMMYFUNCTION("""COMPUTED_VALUE"""),"burgundy")</f>
        <v>burgundy</v>
      </c>
      <c r="D917" s="9" t="str">
        <f>IFERROR(__xludf.DUMMYFUNCTION("""COMPUTED_VALUE"""),"Domaine Fourrier, Morey-Saint-Denis, Clos Solon Vieille Vigne")</f>
        <v>Domaine Fourrier, Morey-Saint-Denis, Clos Solon Vieille Vigne</v>
      </c>
      <c r="E917" s="9">
        <f>IFERROR(__xludf.DUMMYFUNCTION("""COMPUTED_VALUE"""),2019.0)</f>
        <v>2019</v>
      </c>
      <c r="F917" s="9">
        <f>IFERROR(__xludf.DUMMYFUNCTION("""COMPUTED_VALUE"""),750.0)</f>
        <v>750</v>
      </c>
      <c r="G917" s="9">
        <f>IFERROR(__xludf.DUMMYFUNCTION("""COMPUTED_VALUE"""),6.0)</f>
        <v>6</v>
      </c>
      <c r="H917" s="10">
        <f>IFERROR(__xludf.DUMMYFUNCTION("""COMPUTED_VALUE"""),1.0)</f>
        <v>1</v>
      </c>
      <c r="I917" s="11">
        <f>IFERROR(__xludf.DUMMYFUNCTION("""COMPUTED_VALUE"""),665.0)</f>
        <v>665</v>
      </c>
      <c r="J917" s="9" t="str">
        <f>IFERROR(__xludf.DUMMYFUNCTION("""COMPUTED_VALUE"""),"UK")</f>
        <v>UK</v>
      </c>
      <c r="K917" s="8"/>
      <c r="L917" s="12"/>
      <c r="M917" s="13"/>
      <c r="N917" s="13" t="str">
        <f>IFERROR(__xludf.DUMMYFUNCTION("IF(ISBLANK(M917),"""",M917*GOOGLEFINANCE(""USDGBP""))"),"")</f>
        <v/>
      </c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</row>
    <row r="918">
      <c r="A918" s="8" t="str">
        <f>IFERROR(__xludf.DUMMYFUNCTION("""COMPUTED_VALUE"""),"117423820171200750")</f>
        <v>117423820171200750</v>
      </c>
      <c r="B918" s="9" t="str">
        <f>IFERROR(__xludf.DUMMYFUNCTION("""COMPUTED_VALUE"""),"France")</f>
        <v>France</v>
      </c>
      <c r="C918" s="9" t="str">
        <f>IFERROR(__xludf.DUMMYFUNCTION("""COMPUTED_VALUE"""),"burgundy")</f>
        <v>burgundy</v>
      </c>
      <c r="D918" s="9" t="str">
        <f>IFERROR(__xludf.DUMMYFUNCTION("""COMPUTED_VALUE"""),"Domaine Francois Bertheau, Bonnes Mares Grand Cru")</f>
        <v>Domaine Francois Bertheau, Bonnes Mares Grand Cru</v>
      </c>
      <c r="E918" s="9">
        <f>IFERROR(__xludf.DUMMYFUNCTION("""COMPUTED_VALUE"""),2017.0)</f>
        <v>2017</v>
      </c>
      <c r="F918" s="9">
        <f>IFERROR(__xludf.DUMMYFUNCTION("""COMPUTED_VALUE"""),750.0)</f>
        <v>750</v>
      </c>
      <c r="G918" s="9">
        <f>IFERROR(__xludf.DUMMYFUNCTION("""COMPUTED_VALUE"""),12.0)</f>
        <v>12</v>
      </c>
      <c r="H918" s="10">
        <f>IFERROR(__xludf.DUMMYFUNCTION("""COMPUTED_VALUE"""),1.0)</f>
        <v>1</v>
      </c>
      <c r="I918" s="11">
        <f>IFERROR(__xludf.DUMMYFUNCTION("""COMPUTED_VALUE"""),4001.0)</f>
        <v>4001</v>
      </c>
      <c r="J918" s="9" t="str">
        <f>IFERROR(__xludf.DUMMYFUNCTION("""COMPUTED_VALUE"""),"UK")</f>
        <v>UK</v>
      </c>
      <c r="K918" s="8"/>
      <c r="L918" s="12"/>
      <c r="M918" s="13"/>
      <c r="N918" s="13" t="str">
        <f>IFERROR(__xludf.DUMMYFUNCTION("IF(ISBLANK(M918),"""",M918*GOOGLEFINANCE(""USDGBP""))"),"")</f>
        <v/>
      </c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</row>
    <row r="919">
      <c r="A919" s="8" t="str">
        <f>IFERROR(__xludf.DUMMYFUNCTION("""COMPUTED_VALUE"""),"117423820180600750")</f>
        <v>117423820180600750</v>
      </c>
      <c r="B919" s="9" t="str">
        <f>IFERROR(__xludf.DUMMYFUNCTION("""COMPUTED_VALUE"""),"France")</f>
        <v>France</v>
      </c>
      <c r="C919" s="9" t="str">
        <f>IFERROR(__xludf.DUMMYFUNCTION("""COMPUTED_VALUE"""),"burgundy")</f>
        <v>burgundy</v>
      </c>
      <c r="D919" s="9" t="str">
        <f>IFERROR(__xludf.DUMMYFUNCTION("""COMPUTED_VALUE"""),"Domaine Francois Bertheau, Bonnes Mares Grand Cru")</f>
        <v>Domaine Francois Bertheau, Bonnes Mares Grand Cru</v>
      </c>
      <c r="E919" s="9">
        <f>IFERROR(__xludf.DUMMYFUNCTION("""COMPUTED_VALUE"""),2018.0)</f>
        <v>2018</v>
      </c>
      <c r="F919" s="9">
        <f>IFERROR(__xludf.DUMMYFUNCTION("""COMPUTED_VALUE"""),750.0)</f>
        <v>750</v>
      </c>
      <c r="G919" s="9">
        <f>IFERROR(__xludf.DUMMYFUNCTION("""COMPUTED_VALUE"""),6.0)</f>
        <v>6</v>
      </c>
      <c r="H919" s="10">
        <f>IFERROR(__xludf.DUMMYFUNCTION("""COMPUTED_VALUE"""),5.0)</f>
        <v>5</v>
      </c>
      <c r="I919" s="11">
        <f>IFERROR(__xludf.DUMMYFUNCTION("""COMPUTED_VALUE"""),1853.0)</f>
        <v>1853</v>
      </c>
      <c r="J919" s="9" t="str">
        <f>IFERROR(__xludf.DUMMYFUNCTION("""COMPUTED_VALUE"""),"UK")</f>
        <v>UK</v>
      </c>
      <c r="K919" s="8"/>
      <c r="L919" s="12"/>
      <c r="M919" s="13"/>
      <c r="N919" s="13" t="str">
        <f>IFERROR(__xludf.DUMMYFUNCTION("IF(ISBLANK(M919),"""",M919*GOOGLEFINANCE(""USDGBP""))"),"")</f>
        <v/>
      </c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</row>
    <row r="920">
      <c r="A920" s="8" t="str">
        <f>IFERROR(__xludf.DUMMYFUNCTION("""COMPUTED_VALUE"""),"117422520171200750")</f>
        <v>117422520171200750</v>
      </c>
      <c r="B920" s="9" t="str">
        <f>IFERROR(__xludf.DUMMYFUNCTION("""COMPUTED_VALUE"""),"France")</f>
        <v>France</v>
      </c>
      <c r="C920" s="9" t="str">
        <f>IFERROR(__xludf.DUMMYFUNCTION("""COMPUTED_VALUE"""),"burgundy")</f>
        <v>burgundy</v>
      </c>
      <c r="D920" s="9" t="str">
        <f>IFERROR(__xludf.DUMMYFUNCTION("""COMPUTED_VALUE"""),"Domaine Francois Bertheau, Chambolle-Musigny Premier Cru, Les Amoureuses")</f>
        <v>Domaine Francois Bertheau, Chambolle-Musigny Premier Cru, Les Amoureuses</v>
      </c>
      <c r="E920" s="9">
        <f>IFERROR(__xludf.DUMMYFUNCTION("""COMPUTED_VALUE"""),2017.0)</f>
        <v>2017</v>
      </c>
      <c r="F920" s="9">
        <f>IFERROR(__xludf.DUMMYFUNCTION("""COMPUTED_VALUE"""),750.0)</f>
        <v>750</v>
      </c>
      <c r="G920" s="9">
        <f>IFERROR(__xludf.DUMMYFUNCTION("""COMPUTED_VALUE"""),12.0)</f>
        <v>12</v>
      </c>
      <c r="H920" s="10">
        <f>IFERROR(__xludf.DUMMYFUNCTION("""COMPUTED_VALUE"""),1.0)</f>
        <v>1</v>
      </c>
      <c r="I920" s="11">
        <f>IFERROR(__xludf.DUMMYFUNCTION("""COMPUTED_VALUE"""),5638.0)</f>
        <v>5638</v>
      </c>
      <c r="J920" s="9" t="str">
        <f>IFERROR(__xludf.DUMMYFUNCTION("""COMPUTED_VALUE"""),"UK")</f>
        <v>UK</v>
      </c>
      <c r="K920" s="8"/>
      <c r="L920" s="12"/>
      <c r="M920" s="13"/>
      <c r="N920" s="13" t="str">
        <f>IFERROR(__xludf.DUMMYFUNCTION("IF(ISBLANK(M920),"""",M920*GOOGLEFINANCE(""USDGBP""))"),"")</f>
        <v/>
      </c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</row>
    <row r="921">
      <c r="A921" s="8" t="str">
        <f>IFERROR(__xludf.DUMMYFUNCTION("""COMPUTED_VALUE"""),"131940220110600750")</f>
        <v>131940220110600750</v>
      </c>
      <c r="B921" s="9" t="str">
        <f>IFERROR(__xludf.DUMMYFUNCTION("""COMPUTED_VALUE"""),"France")</f>
        <v>France</v>
      </c>
      <c r="C921" s="9" t="str">
        <f>IFERROR(__xludf.DUMMYFUNCTION("""COMPUTED_VALUE"""),"burgundy")</f>
        <v>burgundy</v>
      </c>
      <c r="D921" s="9" t="str">
        <f>IFERROR(__xludf.DUMMYFUNCTION("""COMPUTED_VALUE"""),"Domaine Gagey (Louis Jadot), Nuits-Saint-Georges Premier Cru, Aux Boudots")</f>
        <v>Domaine Gagey (Louis Jadot), Nuits-Saint-Georges Premier Cru, Aux Boudots</v>
      </c>
      <c r="E921" s="9">
        <f>IFERROR(__xludf.DUMMYFUNCTION("""COMPUTED_VALUE"""),2011.0)</f>
        <v>2011</v>
      </c>
      <c r="F921" s="9">
        <f>IFERROR(__xludf.DUMMYFUNCTION("""COMPUTED_VALUE"""),750.0)</f>
        <v>750</v>
      </c>
      <c r="G921" s="9">
        <f>IFERROR(__xludf.DUMMYFUNCTION("""COMPUTED_VALUE"""),6.0)</f>
        <v>6</v>
      </c>
      <c r="H921" s="10">
        <f>IFERROR(__xludf.DUMMYFUNCTION("""COMPUTED_VALUE"""),1.0)</f>
        <v>1</v>
      </c>
      <c r="I921" s="11">
        <f>IFERROR(__xludf.DUMMYFUNCTION("""COMPUTED_VALUE"""),535.0)</f>
        <v>535</v>
      </c>
      <c r="J921" s="9" t="str">
        <f>IFERROR(__xludf.DUMMYFUNCTION("""COMPUTED_VALUE"""),"UK")</f>
        <v>UK</v>
      </c>
      <c r="K921" s="8"/>
      <c r="L921" s="12"/>
      <c r="M921" s="13"/>
      <c r="N921" s="13" t="str">
        <f>IFERROR(__xludf.DUMMYFUNCTION("IF(ISBLANK(M921),"""",M921*GOOGLEFINANCE(""USDGBP""))"),"")</f>
        <v/>
      </c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</row>
    <row r="922">
      <c r="A922" s="8" t="str">
        <f>IFERROR(__xludf.DUMMYFUNCTION("""COMPUTED_VALUE"""),"131940220150600750")</f>
        <v>131940220150600750</v>
      </c>
      <c r="B922" s="9" t="str">
        <f>IFERROR(__xludf.DUMMYFUNCTION("""COMPUTED_VALUE"""),"France")</f>
        <v>France</v>
      </c>
      <c r="C922" s="9" t="str">
        <f>IFERROR(__xludf.DUMMYFUNCTION("""COMPUTED_VALUE"""),"burgundy")</f>
        <v>burgundy</v>
      </c>
      <c r="D922" s="9" t="str">
        <f>IFERROR(__xludf.DUMMYFUNCTION("""COMPUTED_VALUE"""),"Domaine Gagey (Louis Jadot), Nuits-Saint-Georges Premier Cru, Aux Boudots")</f>
        <v>Domaine Gagey (Louis Jadot), Nuits-Saint-Georges Premier Cru, Aux Boudots</v>
      </c>
      <c r="E922" s="9">
        <f>IFERROR(__xludf.DUMMYFUNCTION("""COMPUTED_VALUE"""),2015.0)</f>
        <v>2015</v>
      </c>
      <c r="F922" s="9">
        <f>IFERROR(__xludf.DUMMYFUNCTION("""COMPUTED_VALUE"""),750.0)</f>
        <v>750</v>
      </c>
      <c r="G922" s="9">
        <f>IFERROR(__xludf.DUMMYFUNCTION("""COMPUTED_VALUE"""),6.0)</f>
        <v>6</v>
      </c>
      <c r="H922" s="10">
        <f>IFERROR(__xludf.DUMMYFUNCTION("""COMPUTED_VALUE"""),2.0)</f>
        <v>2</v>
      </c>
      <c r="I922" s="11">
        <f>IFERROR(__xludf.DUMMYFUNCTION("""COMPUTED_VALUE"""),515.0)</f>
        <v>515</v>
      </c>
      <c r="J922" s="9" t="str">
        <f>IFERROR(__xludf.DUMMYFUNCTION("""COMPUTED_VALUE"""),"UK")</f>
        <v>UK</v>
      </c>
      <c r="K922" s="8"/>
      <c r="L922" s="12"/>
      <c r="M922" s="13"/>
      <c r="N922" s="13" t="str">
        <f>IFERROR(__xludf.DUMMYFUNCTION("IF(ISBLANK(M922),"""",M922*GOOGLEFINANCE(""USDGBP""))"),"")</f>
        <v/>
      </c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</row>
    <row r="923">
      <c r="A923" s="8" t="str">
        <f>IFERROR(__xludf.DUMMYFUNCTION("""COMPUTED_VALUE"""),"104943720180600750")</f>
        <v>104943720180600750</v>
      </c>
      <c r="B923" s="9" t="str">
        <f>IFERROR(__xludf.DUMMYFUNCTION("""COMPUTED_VALUE"""),"France")</f>
        <v>France</v>
      </c>
      <c r="C923" s="9" t="str">
        <f>IFERROR(__xludf.DUMMYFUNCTION("""COMPUTED_VALUE"""),"burgundy")</f>
        <v>burgundy</v>
      </c>
      <c r="D923" s="9" t="str">
        <f>IFERROR(__xludf.DUMMYFUNCTION("""COMPUTED_VALUE"""),"Domaine Georges Mugneret Gibourg, Clos de Vougeot Grand Cru")</f>
        <v>Domaine Georges Mugneret Gibourg, Clos de Vougeot Grand Cru</v>
      </c>
      <c r="E923" s="9">
        <f>IFERROR(__xludf.DUMMYFUNCTION("""COMPUTED_VALUE"""),2018.0)</f>
        <v>2018</v>
      </c>
      <c r="F923" s="9">
        <f>IFERROR(__xludf.DUMMYFUNCTION("""COMPUTED_VALUE"""),750.0)</f>
        <v>750</v>
      </c>
      <c r="G923" s="9">
        <f>IFERROR(__xludf.DUMMYFUNCTION("""COMPUTED_VALUE"""),6.0)</f>
        <v>6</v>
      </c>
      <c r="H923" s="10">
        <f>IFERROR(__xludf.DUMMYFUNCTION("""COMPUTED_VALUE"""),1.0)</f>
        <v>1</v>
      </c>
      <c r="I923" s="11">
        <f>IFERROR(__xludf.DUMMYFUNCTION("""COMPUTED_VALUE"""),5339.0)</f>
        <v>5339</v>
      </c>
      <c r="J923" s="9" t="str">
        <f>IFERROR(__xludf.DUMMYFUNCTION("""COMPUTED_VALUE"""),"UK")</f>
        <v>UK</v>
      </c>
      <c r="K923" s="8"/>
      <c r="L923" s="12"/>
      <c r="M923" s="13"/>
      <c r="N923" s="13" t="str">
        <f>IFERROR(__xludf.DUMMYFUNCTION("IF(ISBLANK(M923),"""",M923*GOOGLEFINANCE(""USDGBP""))"),"")</f>
        <v/>
      </c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</row>
    <row r="924">
      <c r="A924" s="8" t="str">
        <f>IFERROR(__xludf.DUMMYFUNCTION("""COMPUTED_VALUE"""),"105684820190600750")</f>
        <v>105684820190600750</v>
      </c>
      <c r="B924" s="9" t="str">
        <f>IFERROR(__xludf.DUMMYFUNCTION("""COMPUTED_VALUE"""),"France")</f>
        <v>France</v>
      </c>
      <c r="C924" s="9" t="str">
        <f>IFERROR(__xludf.DUMMYFUNCTION("""COMPUTED_VALUE"""),"burgundy")</f>
        <v>burgundy</v>
      </c>
      <c r="D924" s="9" t="str">
        <f>IFERROR(__xludf.DUMMYFUNCTION("""COMPUTED_VALUE"""),"Domaine Georges Roumier, Chambolle-Musigny Premier Cru, Les Combottes")</f>
        <v>Domaine Georges Roumier, Chambolle-Musigny Premier Cru, Les Combottes</v>
      </c>
      <c r="E924" s="9">
        <f>IFERROR(__xludf.DUMMYFUNCTION("""COMPUTED_VALUE"""),2019.0)</f>
        <v>2019</v>
      </c>
      <c r="F924" s="9">
        <f>IFERROR(__xludf.DUMMYFUNCTION("""COMPUTED_VALUE"""),750.0)</f>
        <v>750</v>
      </c>
      <c r="G924" s="9">
        <f>IFERROR(__xludf.DUMMYFUNCTION("""COMPUTED_VALUE"""),6.0)</f>
        <v>6</v>
      </c>
      <c r="H924" s="10">
        <f>IFERROR(__xludf.DUMMYFUNCTION("""COMPUTED_VALUE"""),1.0)</f>
        <v>1</v>
      </c>
      <c r="I924" s="11">
        <f>IFERROR(__xludf.DUMMYFUNCTION("""COMPUTED_VALUE"""),6454.0)</f>
        <v>6454</v>
      </c>
      <c r="J924" s="9" t="str">
        <f>IFERROR(__xludf.DUMMYFUNCTION("""COMPUTED_VALUE"""),"UK")</f>
        <v>UK</v>
      </c>
      <c r="K924" s="8"/>
      <c r="L924" s="12"/>
      <c r="M924" s="13"/>
      <c r="N924" s="13" t="str">
        <f>IFERROR(__xludf.DUMMYFUNCTION("IF(ISBLANK(M924),"""",M924*GOOGLEFINANCE(""USDGBP""))"),"")</f>
        <v/>
      </c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</row>
    <row r="925">
      <c r="A925" s="8" t="str">
        <f>IFERROR(__xludf.DUMMYFUNCTION("""COMPUTED_VALUE"""),"178951320181200750")</f>
        <v>178951320181200750</v>
      </c>
      <c r="B925" s="9" t="str">
        <f>IFERROR(__xludf.DUMMYFUNCTION("""COMPUTED_VALUE"""),"France")</f>
        <v>France</v>
      </c>
      <c r="C925" s="9" t="str">
        <f>IFERROR(__xludf.DUMMYFUNCTION("""COMPUTED_VALUE"""),"burgundy")</f>
        <v>burgundy</v>
      </c>
      <c r="D925" s="9" t="str">
        <f>IFERROR(__xludf.DUMMYFUNCTION("""COMPUTED_VALUE"""),"Domaine Glantenay, Chambolle-Musigny")</f>
        <v>Domaine Glantenay, Chambolle-Musigny</v>
      </c>
      <c r="E925" s="9">
        <f>IFERROR(__xludf.DUMMYFUNCTION("""COMPUTED_VALUE"""),2018.0)</f>
        <v>2018</v>
      </c>
      <c r="F925" s="9">
        <f>IFERROR(__xludf.DUMMYFUNCTION("""COMPUTED_VALUE"""),750.0)</f>
        <v>750</v>
      </c>
      <c r="G925" s="9">
        <f>IFERROR(__xludf.DUMMYFUNCTION("""COMPUTED_VALUE"""),12.0)</f>
        <v>12</v>
      </c>
      <c r="H925" s="10">
        <f>IFERROR(__xludf.DUMMYFUNCTION("""COMPUTED_VALUE"""),2.0)</f>
        <v>2</v>
      </c>
      <c r="I925" s="11">
        <f>IFERROR(__xludf.DUMMYFUNCTION("""COMPUTED_VALUE"""),815.0)</f>
        <v>815</v>
      </c>
      <c r="J925" s="9" t="str">
        <f>IFERROR(__xludf.DUMMYFUNCTION("""COMPUTED_VALUE"""),"UK")</f>
        <v>UK</v>
      </c>
      <c r="K925" s="8"/>
      <c r="L925" s="12"/>
      <c r="M925" s="13"/>
      <c r="N925" s="13" t="str">
        <f>IFERROR(__xludf.DUMMYFUNCTION("IF(ISBLANK(M925),"""",M925*GOOGLEFINANCE(""USDGBP""))"),"")</f>
        <v/>
      </c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</row>
    <row r="926">
      <c r="A926" s="8" t="str">
        <f>IFERROR(__xludf.DUMMYFUNCTION("""COMPUTED_VALUE"""),"102085420131200750")</f>
        <v>102085420131200750</v>
      </c>
      <c r="B926" s="9" t="str">
        <f>IFERROR(__xludf.DUMMYFUNCTION("""COMPUTED_VALUE"""),"France")</f>
        <v>France</v>
      </c>
      <c r="C926" s="9" t="str">
        <f>IFERROR(__xludf.DUMMYFUNCTION("""COMPUTED_VALUE"""),"burgundy")</f>
        <v>burgundy</v>
      </c>
      <c r="D926" s="9" t="str">
        <f>IFERROR(__xludf.DUMMYFUNCTION("""COMPUTED_VALUE"""),"Domaine Henri Boillot, Volnay Premier Cru, Fremiets")</f>
        <v>Domaine Henri Boillot, Volnay Premier Cru, Fremiets</v>
      </c>
      <c r="E926" s="9">
        <f>IFERROR(__xludf.DUMMYFUNCTION("""COMPUTED_VALUE"""),2013.0)</f>
        <v>2013</v>
      </c>
      <c r="F926" s="9">
        <f>IFERROR(__xludf.DUMMYFUNCTION("""COMPUTED_VALUE"""),750.0)</f>
        <v>750</v>
      </c>
      <c r="G926" s="9">
        <f>IFERROR(__xludf.DUMMYFUNCTION("""COMPUTED_VALUE"""),12.0)</f>
        <v>12</v>
      </c>
      <c r="H926" s="10">
        <f>IFERROR(__xludf.DUMMYFUNCTION("""COMPUTED_VALUE"""),2.0)</f>
        <v>2</v>
      </c>
      <c r="I926" s="11">
        <f>IFERROR(__xludf.DUMMYFUNCTION("""COMPUTED_VALUE"""),934.0)</f>
        <v>934</v>
      </c>
      <c r="J926" s="9" t="str">
        <f>IFERROR(__xludf.DUMMYFUNCTION("""COMPUTED_VALUE"""),"UK")</f>
        <v>UK</v>
      </c>
      <c r="K926" s="8"/>
      <c r="L926" s="12"/>
      <c r="M926" s="13"/>
      <c r="N926" s="13" t="str">
        <f>IFERROR(__xludf.DUMMYFUNCTION("IF(ISBLANK(M926),"""",M926*GOOGLEFINANCE(""USDGBP""))"),"")</f>
        <v/>
      </c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</row>
    <row r="927">
      <c r="A927" s="8" t="str">
        <f>IFERROR(__xludf.DUMMYFUNCTION("""COMPUTED_VALUE"""),"102083820180600750")</f>
        <v>102083820180600750</v>
      </c>
      <c r="B927" s="9" t="str">
        <f>IFERROR(__xludf.DUMMYFUNCTION("""COMPUTED_VALUE"""),"France")</f>
        <v>France</v>
      </c>
      <c r="C927" s="9" t="str">
        <f>IFERROR(__xludf.DUMMYFUNCTION("""COMPUTED_VALUE"""),"burgundy")</f>
        <v>burgundy</v>
      </c>
      <c r="D927" s="9" t="str">
        <f>IFERROR(__xludf.DUMMYFUNCTION("""COMPUTED_VALUE"""),"Domaine Henri Boillot, Volnay Premier Cru, Les Caillerets")</f>
        <v>Domaine Henri Boillot, Volnay Premier Cru, Les Caillerets</v>
      </c>
      <c r="E927" s="9">
        <f>IFERROR(__xludf.DUMMYFUNCTION("""COMPUTED_VALUE"""),2018.0)</f>
        <v>2018</v>
      </c>
      <c r="F927" s="9">
        <f>IFERROR(__xludf.DUMMYFUNCTION("""COMPUTED_VALUE"""),750.0)</f>
        <v>750</v>
      </c>
      <c r="G927" s="9">
        <f>IFERROR(__xludf.DUMMYFUNCTION("""COMPUTED_VALUE"""),6.0)</f>
        <v>6</v>
      </c>
      <c r="H927" s="10">
        <f>IFERROR(__xludf.DUMMYFUNCTION("""COMPUTED_VALUE"""),5.0)</f>
        <v>5</v>
      </c>
      <c r="I927" s="11">
        <f>IFERROR(__xludf.DUMMYFUNCTION("""COMPUTED_VALUE"""),521.0)</f>
        <v>521</v>
      </c>
      <c r="J927" s="9" t="str">
        <f>IFERROR(__xludf.DUMMYFUNCTION("""COMPUTED_VALUE"""),"UK")</f>
        <v>UK</v>
      </c>
      <c r="K927" s="8"/>
      <c r="L927" s="12"/>
      <c r="M927" s="13"/>
      <c r="N927" s="13" t="str">
        <f>IFERROR(__xludf.DUMMYFUNCTION("IF(ISBLANK(M927),"""",M927*GOOGLEFINANCE(""USDGBP""))"),"")</f>
        <v/>
      </c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</row>
    <row r="928">
      <c r="A928" s="8" t="str">
        <f>IFERROR(__xludf.DUMMYFUNCTION("""COMPUTED_VALUE"""),"102084120180600750")</f>
        <v>102084120180600750</v>
      </c>
      <c r="B928" s="9" t="str">
        <f>IFERROR(__xludf.DUMMYFUNCTION("""COMPUTED_VALUE"""),"France")</f>
        <v>France</v>
      </c>
      <c r="C928" s="9" t="str">
        <f>IFERROR(__xludf.DUMMYFUNCTION("""COMPUTED_VALUE"""),"burgundy")</f>
        <v>burgundy</v>
      </c>
      <c r="D928" s="9" t="str">
        <f>IFERROR(__xludf.DUMMYFUNCTION("""COMPUTED_VALUE"""),"Domaine Henri Boillot, Volnay Premier Cru, Les Chevrets")</f>
        <v>Domaine Henri Boillot, Volnay Premier Cru, Les Chevrets</v>
      </c>
      <c r="E928" s="9">
        <f>IFERROR(__xludf.DUMMYFUNCTION("""COMPUTED_VALUE"""),2018.0)</f>
        <v>2018</v>
      </c>
      <c r="F928" s="9">
        <f>IFERROR(__xludf.DUMMYFUNCTION("""COMPUTED_VALUE"""),750.0)</f>
        <v>750</v>
      </c>
      <c r="G928" s="9">
        <f>IFERROR(__xludf.DUMMYFUNCTION("""COMPUTED_VALUE"""),6.0)</f>
        <v>6</v>
      </c>
      <c r="H928" s="10">
        <f>IFERROR(__xludf.DUMMYFUNCTION("""COMPUTED_VALUE"""),1.0)</f>
        <v>1</v>
      </c>
      <c r="I928" s="11">
        <f>IFERROR(__xludf.DUMMYFUNCTION("""COMPUTED_VALUE"""),375.0)</f>
        <v>375</v>
      </c>
      <c r="J928" s="9" t="str">
        <f>IFERROR(__xludf.DUMMYFUNCTION("""COMPUTED_VALUE"""),"UK")</f>
        <v>UK</v>
      </c>
      <c r="K928" s="8"/>
      <c r="L928" s="12"/>
      <c r="M928" s="13"/>
      <c r="N928" s="13" t="str">
        <f>IFERROR(__xludf.DUMMYFUNCTION("IF(ISBLANK(M928),"""",M928*GOOGLEFINANCE(""USDGBP""))"),"")</f>
        <v/>
      </c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</row>
    <row r="929">
      <c r="A929" s="8" t="str">
        <f>IFERROR(__xludf.DUMMYFUNCTION("""COMPUTED_VALUE"""),"103526120190600750")</f>
        <v>103526120190600750</v>
      </c>
      <c r="B929" s="9" t="str">
        <f>IFERROR(__xludf.DUMMYFUNCTION("""COMPUTED_VALUE"""),"France")</f>
        <v>France</v>
      </c>
      <c r="C929" s="9" t="str">
        <f>IFERROR(__xludf.DUMMYFUNCTION("""COMPUTED_VALUE"""),"burgundy")</f>
        <v>burgundy</v>
      </c>
      <c r="D929" s="9" t="str">
        <f>IFERROR(__xludf.DUMMYFUNCTION("""COMPUTED_VALUE"""),"Domaine Henri Gouges, Nuits-Saint-Georges Premier Cru, Clos des Porrets-Saint-Georges")</f>
        <v>Domaine Henri Gouges, Nuits-Saint-Georges Premier Cru, Clos des Porrets-Saint-Georges</v>
      </c>
      <c r="E929" s="9">
        <f>IFERROR(__xludf.DUMMYFUNCTION("""COMPUTED_VALUE"""),2019.0)</f>
        <v>2019</v>
      </c>
      <c r="F929" s="9">
        <f>IFERROR(__xludf.DUMMYFUNCTION("""COMPUTED_VALUE"""),750.0)</f>
        <v>750</v>
      </c>
      <c r="G929" s="9">
        <f>IFERROR(__xludf.DUMMYFUNCTION("""COMPUTED_VALUE"""),6.0)</f>
        <v>6</v>
      </c>
      <c r="H929" s="10">
        <f>IFERROR(__xludf.DUMMYFUNCTION("""COMPUTED_VALUE"""),6.0)</f>
        <v>6</v>
      </c>
      <c r="I929" s="11">
        <f>IFERROR(__xludf.DUMMYFUNCTION("""COMPUTED_VALUE"""),459.0)</f>
        <v>459</v>
      </c>
      <c r="J929" s="9" t="str">
        <f>IFERROR(__xludf.DUMMYFUNCTION("""COMPUTED_VALUE"""),"UK")</f>
        <v>UK</v>
      </c>
      <c r="K929" s="8"/>
      <c r="L929" s="12"/>
      <c r="M929" s="13"/>
      <c r="N929" s="13" t="str">
        <f>IFERROR(__xludf.DUMMYFUNCTION("IF(ISBLANK(M929),"""",M929*GOOGLEFINANCE(""USDGBP""))"),"")</f>
        <v/>
      </c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</row>
    <row r="930">
      <c r="A930" s="8" t="str">
        <f>IFERROR(__xludf.DUMMYFUNCTION("""COMPUTED_VALUE"""),"103531720180600750")</f>
        <v>103531720180600750</v>
      </c>
      <c r="B930" s="9" t="str">
        <f>IFERROR(__xludf.DUMMYFUNCTION("""COMPUTED_VALUE"""),"France")</f>
        <v>France</v>
      </c>
      <c r="C930" s="9" t="str">
        <f>IFERROR(__xludf.DUMMYFUNCTION("""COMPUTED_VALUE"""),"burgundy")</f>
        <v>burgundy</v>
      </c>
      <c r="D930" s="9" t="str">
        <f>IFERROR(__xludf.DUMMYFUNCTION("""COMPUTED_VALUE"""),"Domaine Henri Gouges, Nuits-Saint-Georges Premier Cru, Les Pruliers")</f>
        <v>Domaine Henri Gouges, Nuits-Saint-Georges Premier Cru, Les Pruliers</v>
      </c>
      <c r="E930" s="9">
        <f>IFERROR(__xludf.DUMMYFUNCTION("""COMPUTED_VALUE"""),2018.0)</f>
        <v>2018</v>
      </c>
      <c r="F930" s="9">
        <f>IFERROR(__xludf.DUMMYFUNCTION("""COMPUTED_VALUE"""),750.0)</f>
        <v>750</v>
      </c>
      <c r="G930" s="9">
        <f>IFERROR(__xludf.DUMMYFUNCTION("""COMPUTED_VALUE"""),6.0)</f>
        <v>6</v>
      </c>
      <c r="H930" s="10">
        <f>IFERROR(__xludf.DUMMYFUNCTION("""COMPUTED_VALUE"""),2.0)</f>
        <v>2</v>
      </c>
      <c r="I930" s="11">
        <f>IFERROR(__xludf.DUMMYFUNCTION("""COMPUTED_VALUE"""),392.0)</f>
        <v>392</v>
      </c>
      <c r="J930" s="9" t="str">
        <f>IFERROR(__xludf.DUMMYFUNCTION("""COMPUTED_VALUE"""),"UK")</f>
        <v>UK</v>
      </c>
      <c r="K930" s="8"/>
      <c r="L930" s="12"/>
      <c r="M930" s="13"/>
      <c r="N930" s="13" t="str">
        <f>IFERROR(__xludf.DUMMYFUNCTION("IF(ISBLANK(M930),"""",M930*GOOGLEFINANCE(""USDGBP""))"),"")</f>
        <v/>
      </c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</row>
    <row r="931">
      <c r="A931" s="8" t="str">
        <f>IFERROR(__xludf.DUMMYFUNCTION("""COMPUTED_VALUE"""),"103532020181200750")</f>
        <v>103532020181200750</v>
      </c>
      <c r="B931" s="9" t="str">
        <f>IFERROR(__xludf.DUMMYFUNCTION("""COMPUTED_VALUE"""),"France")</f>
        <v>France</v>
      </c>
      <c r="C931" s="9" t="str">
        <f>IFERROR(__xludf.DUMMYFUNCTION("""COMPUTED_VALUE"""),"burgundy")</f>
        <v>burgundy</v>
      </c>
      <c r="D931" s="9" t="str">
        <f>IFERROR(__xludf.DUMMYFUNCTION("""COMPUTED_VALUE"""),"Domaine Henri Gouges, Nuits-Saint-Georges Premier Cru, Les Saints-Georges")</f>
        <v>Domaine Henri Gouges, Nuits-Saint-Georges Premier Cru, Les Saints-Georges</v>
      </c>
      <c r="E931" s="9">
        <f>IFERROR(__xludf.DUMMYFUNCTION("""COMPUTED_VALUE"""),2018.0)</f>
        <v>2018</v>
      </c>
      <c r="F931" s="9">
        <f>IFERROR(__xludf.DUMMYFUNCTION("""COMPUTED_VALUE"""),750.0)</f>
        <v>750</v>
      </c>
      <c r="G931" s="9">
        <f>IFERROR(__xludf.DUMMYFUNCTION("""COMPUTED_VALUE"""),12.0)</f>
        <v>12</v>
      </c>
      <c r="H931" s="10">
        <f>IFERROR(__xludf.DUMMYFUNCTION("""COMPUTED_VALUE"""),1.0)</f>
        <v>1</v>
      </c>
      <c r="I931" s="11">
        <f>IFERROR(__xludf.DUMMYFUNCTION("""COMPUTED_VALUE"""),1830.0)</f>
        <v>1830</v>
      </c>
      <c r="J931" s="9" t="str">
        <f>IFERROR(__xludf.DUMMYFUNCTION("""COMPUTED_VALUE"""),"UK")</f>
        <v>UK</v>
      </c>
      <c r="K931" s="8"/>
      <c r="L931" s="12"/>
      <c r="M931" s="13"/>
      <c r="N931" s="13" t="str">
        <f>IFERROR(__xludf.DUMMYFUNCTION("IF(ISBLANK(M931),"""",M931*GOOGLEFINANCE(""USDGBP""))"),"")</f>
        <v/>
      </c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</row>
    <row r="932">
      <c r="A932" s="8" t="str">
        <f>IFERROR(__xludf.DUMMYFUNCTION("""COMPUTED_VALUE"""),"105320920200600750")</f>
        <v>105320920200600750</v>
      </c>
      <c r="B932" s="9" t="str">
        <f>IFERROR(__xludf.DUMMYFUNCTION("""COMPUTED_VALUE"""),"France")</f>
        <v>France</v>
      </c>
      <c r="C932" s="9" t="str">
        <f>IFERROR(__xludf.DUMMYFUNCTION("""COMPUTED_VALUE"""),"burgundy")</f>
        <v>burgundy</v>
      </c>
      <c r="D932" s="9" t="str">
        <f>IFERROR(__xludf.DUMMYFUNCTION("""COMPUTED_VALUE"""),"Domaine Jacques Prieur, Chambertin Grand Cru")</f>
        <v>Domaine Jacques Prieur, Chambertin Grand Cru</v>
      </c>
      <c r="E932" s="9">
        <f>IFERROR(__xludf.DUMMYFUNCTION("""COMPUTED_VALUE"""),2020.0)</f>
        <v>2020</v>
      </c>
      <c r="F932" s="9">
        <f>IFERROR(__xludf.DUMMYFUNCTION("""COMPUTED_VALUE"""),750.0)</f>
        <v>750</v>
      </c>
      <c r="G932" s="9">
        <f>IFERROR(__xludf.DUMMYFUNCTION("""COMPUTED_VALUE"""),6.0)</f>
        <v>6</v>
      </c>
      <c r="H932" s="10">
        <f>IFERROR(__xludf.DUMMYFUNCTION("""COMPUTED_VALUE"""),2.0)</f>
        <v>2</v>
      </c>
      <c r="I932" s="11">
        <f>IFERROR(__xludf.DUMMYFUNCTION("""COMPUTED_VALUE"""),2877.0)</f>
        <v>2877</v>
      </c>
      <c r="J932" s="9" t="str">
        <f>IFERROR(__xludf.DUMMYFUNCTION("""COMPUTED_VALUE"""),"UK")</f>
        <v>UK</v>
      </c>
      <c r="K932" s="8"/>
      <c r="L932" s="12"/>
      <c r="M932" s="13"/>
      <c r="N932" s="13" t="str">
        <f>IFERROR(__xludf.DUMMYFUNCTION("IF(ISBLANK(M932),"""",M932*GOOGLEFINANCE(""USDGBP""))"),"")</f>
        <v/>
      </c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</row>
    <row r="933">
      <c r="A933" s="8" t="str">
        <f>IFERROR(__xludf.DUMMYFUNCTION("""COMPUTED_VALUE"""),"105322520150600750")</f>
        <v>105322520150600750</v>
      </c>
      <c r="B933" s="9" t="str">
        <f>IFERROR(__xludf.DUMMYFUNCTION("""COMPUTED_VALUE"""),"France")</f>
        <v>France</v>
      </c>
      <c r="C933" s="9" t="str">
        <f>IFERROR(__xludf.DUMMYFUNCTION("""COMPUTED_VALUE"""),"burgundy")</f>
        <v>burgundy</v>
      </c>
      <c r="D933" s="9" t="str">
        <f>IFERROR(__xludf.DUMMYFUNCTION("""COMPUTED_VALUE"""),"Domaine Jacques Prieur, Clos de Vougeot Grand Cru")</f>
        <v>Domaine Jacques Prieur, Clos de Vougeot Grand Cru</v>
      </c>
      <c r="E933" s="9">
        <f>IFERROR(__xludf.DUMMYFUNCTION("""COMPUTED_VALUE"""),2015.0)</f>
        <v>2015</v>
      </c>
      <c r="F933" s="9">
        <f>IFERROR(__xludf.DUMMYFUNCTION("""COMPUTED_VALUE"""),750.0)</f>
        <v>750</v>
      </c>
      <c r="G933" s="9">
        <f>IFERROR(__xludf.DUMMYFUNCTION("""COMPUTED_VALUE"""),6.0)</f>
        <v>6</v>
      </c>
      <c r="H933" s="10">
        <f>IFERROR(__xludf.DUMMYFUNCTION("""COMPUTED_VALUE"""),1.0)</f>
        <v>1</v>
      </c>
      <c r="I933" s="11">
        <f>IFERROR(__xludf.DUMMYFUNCTION("""COMPUTED_VALUE"""),868.0)</f>
        <v>868</v>
      </c>
      <c r="J933" s="9" t="str">
        <f>IFERROR(__xludf.DUMMYFUNCTION("""COMPUTED_VALUE"""),"UK")</f>
        <v>UK</v>
      </c>
      <c r="K933" s="8"/>
      <c r="L933" s="12"/>
      <c r="M933" s="13"/>
      <c r="N933" s="13" t="str">
        <f>IFERROR(__xludf.DUMMYFUNCTION("IF(ISBLANK(M933),"""",M933*GOOGLEFINANCE(""USDGBP""))"),"")</f>
        <v/>
      </c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</row>
    <row r="934">
      <c r="A934" s="8" t="str">
        <f>IFERROR(__xludf.DUMMYFUNCTION("""COMPUTED_VALUE"""),"103564920150600750")</f>
        <v>103564920150600750</v>
      </c>
      <c r="B934" s="9" t="str">
        <f>IFERROR(__xludf.DUMMYFUNCTION("""COMPUTED_VALUE"""),"France")</f>
        <v>France</v>
      </c>
      <c r="C934" s="9" t="str">
        <f>IFERROR(__xludf.DUMMYFUNCTION("""COMPUTED_VALUE"""),"burgundy")</f>
        <v>burgundy</v>
      </c>
      <c r="D934" s="9" t="str">
        <f>IFERROR(__xludf.DUMMYFUNCTION("""COMPUTED_VALUE"""),"Domaine Jean Grivot, Nuits-Saint-Georges Premier Cru, Aux Boudots")</f>
        <v>Domaine Jean Grivot, Nuits-Saint-Georges Premier Cru, Aux Boudots</v>
      </c>
      <c r="E934" s="9">
        <f>IFERROR(__xludf.DUMMYFUNCTION("""COMPUTED_VALUE"""),2015.0)</f>
        <v>2015</v>
      </c>
      <c r="F934" s="9">
        <f>IFERROR(__xludf.DUMMYFUNCTION("""COMPUTED_VALUE"""),750.0)</f>
        <v>750</v>
      </c>
      <c r="G934" s="9">
        <f>IFERROR(__xludf.DUMMYFUNCTION("""COMPUTED_VALUE"""),6.0)</f>
        <v>6</v>
      </c>
      <c r="H934" s="10">
        <f>IFERROR(__xludf.DUMMYFUNCTION("""COMPUTED_VALUE"""),1.0)</f>
        <v>1</v>
      </c>
      <c r="I934" s="11">
        <f>IFERROR(__xludf.DUMMYFUNCTION("""COMPUTED_VALUE"""),864.0)</f>
        <v>864</v>
      </c>
      <c r="J934" s="9" t="str">
        <f>IFERROR(__xludf.DUMMYFUNCTION("""COMPUTED_VALUE"""),"UK")</f>
        <v>UK</v>
      </c>
      <c r="K934" s="8"/>
      <c r="L934" s="12"/>
      <c r="M934" s="13"/>
      <c r="N934" s="13" t="str">
        <f>IFERROR(__xludf.DUMMYFUNCTION("IF(ISBLANK(M934),"""",M934*GOOGLEFINANCE(""USDGBP""))"),"")</f>
        <v/>
      </c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</row>
    <row r="935">
      <c r="A935" s="8" t="str">
        <f>IFERROR(__xludf.DUMMYFUNCTION("""COMPUTED_VALUE"""),"103568120170600750")</f>
        <v>103568120170600750</v>
      </c>
      <c r="B935" s="9" t="str">
        <f>IFERROR(__xludf.DUMMYFUNCTION("""COMPUTED_VALUE"""),"France")</f>
        <v>France</v>
      </c>
      <c r="C935" s="9" t="str">
        <f>IFERROR(__xludf.DUMMYFUNCTION("""COMPUTED_VALUE"""),"burgundy")</f>
        <v>burgundy</v>
      </c>
      <c r="D935" s="9" t="str">
        <f>IFERROR(__xludf.DUMMYFUNCTION("""COMPUTED_VALUE"""),"Domaine Jean Grivot, Nuits-Saint-Georges Premier Cru, Ronciere")</f>
        <v>Domaine Jean Grivot, Nuits-Saint-Georges Premier Cru, Ronciere</v>
      </c>
      <c r="E935" s="9">
        <f>IFERROR(__xludf.DUMMYFUNCTION("""COMPUTED_VALUE"""),2017.0)</f>
        <v>2017</v>
      </c>
      <c r="F935" s="9">
        <f>IFERROR(__xludf.DUMMYFUNCTION("""COMPUTED_VALUE"""),750.0)</f>
        <v>750</v>
      </c>
      <c r="G935" s="9">
        <f>IFERROR(__xludf.DUMMYFUNCTION("""COMPUTED_VALUE"""),6.0)</f>
        <v>6</v>
      </c>
      <c r="H935" s="10">
        <f>IFERROR(__xludf.DUMMYFUNCTION("""COMPUTED_VALUE"""),1.0)</f>
        <v>1</v>
      </c>
      <c r="I935" s="11">
        <f>IFERROR(__xludf.DUMMYFUNCTION("""COMPUTED_VALUE"""),612.0)</f>
        <v>612</v>
      </c>
      <c r="J935" s="9" t="str">
        <f>IFERROR(__xludf.DUMMYFUNCTION("""COMPUTED_VALUE"""),"UK")</f>
        <v>UK</v>
      </c>
      <c r="K935" s="8"/>
      <c r="L935" s="12"/>
      <c r="M935" s="13"/>
      <c r="N935" s="13" t="str">
        <f>IFERROR(__xludf.DUMMYFUNCTION("IF(ISBLANK(M935),"""",M935*GOOGLEFINANCE(""USDGBP""))"),"")</f>
        <v/>
      </c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</row>
    <row r="936">
      <c r="A936" s="8" t="str">
        <f>IFERROR(__xludf.DUMMYFUNCTION("""COMPUTED_VALUE"""),"103568120180600750")</f>
        <v>103568120180600750</v>
      </c>
      <c r="B936" s="9" t="str">
        <f>IFERROR(__xludf.DUMMYFUNCTION("""COMPUTED_VALUE"""),"France")</f>
        <v>France</v>
      </c>
      <c r="C936" s="9" t="str">
        <f>IFERROR(__xludf.DUMMYFUNCTION("""COMPUTED_VALUE"""),"burgundy")</f>
        <v>burgundy</v>
      </c>
      <c r="D936" s="9" t="str">
        <f>IFERROR(__xludf.DUMMYFUNCTION("""COMPUTED_VALUE"""),"Domaine Jean Grivot, Nuits-Saint-Georges Premier Cru, Ronciere")</f>
        <v>Domaine Jean Grivot, Nuits-Saint-Georges Premier Cru, Ronciere</v>
      </c>
      <c r="E936" s="9">
        <f>IFERROR(__xludf.DUMMYFUNCTION("""COMPUTED_VALUE"""),2018.0)</f>
        <v>2018</v>
      </c>
      <c r="F936" s="9">
        <f>IFERROR(__xludf.DUMMYFUNCTION("""COMPUTED_VALUE"""),750.0)</f>
        <v>750</v>
      </c>
      <c r="G936" s="9">
        <f>IFERROR(__xludf.DUMMYFUNCTION("""COMPUTED_VALUE"""),6.0)</f>
        <v>6</v>
      </c>
      <c r="H936" s="10">
        <f>IFERROR(__xludf.DUMMYFUNCTION("""COMPUTED_VALUE"""),2.0)</f>
        <v>2</v>
      </c>
      <c r="I936" s="11">
        <f>IFERROR(__xludf.DUMMYFUNCTION("""COMPUTED_VALUE"""),812.0)</f>
        <v>812</v>
      </c>
      <c r="J936" s="9" t="str">
        <f>IFERROR(__xludf.DUMMYFUNCTION("""COMPUTED_VALUE"""),"UK")</f>
        <v>UK</v>
      </c>
      <c r="K936" s="8"/>
      <c r="L936" s="12"/>
      <c r="M936" s="13"/>
      <c r="N936" s="13" t="str">
        <f>IFERROR(__xludf.DUMMYFUNCTION("IF(ISBLANK(M936),"""",M936*GOOGLEFINANCE(""USDGBP""))"),"")</f>
        <v/>
      </c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</row>
    <row r="937">
      <c r="A937" s="8" t="str">
        <f>IFERROR(__xludf.DUMMYFUNCTION("""COMPUTED_VALUE"""),"103565220171200750")</f>
        <v>103565220171200750</v>
      </c>
      <c r="B937" s="9" t="str">
        <f>IFERROR(__xludf.DUMMYFUNCTION("""COMPUTED_VALUE"""),"France")</f>
        <v>France</v>
      </c>
      <c r="C937" s="9" t="str">
        <f>IFERROR(__xludf.DUMMYFUNCTION("""COMPUTED_VALUE"""),"burgundy")</f>
        <v>burgundy</v>
      </c>
      <c r="D937" s="9" t="str">
        <f>IFERROR(__xludf.DUMMYFUNCTION("""COMPUTED_VALUE"""),"Domaine Jean Grivot, Nuits-Saint-Georges, Les Charmois")</f>
        <v>Domaine Jean Grivot, Nuits-Saint-Georges, Les Charmois</v>
      </c>
      <c r="E937" s="9">
        <f>IFERROR(__xludf.DUMMYFUNCTION("""COMPUTED_VALUE"""),2017.0)</f>
        <v>2017</v>
      </c>
      <c r="F937" s="9">
        <f>IFERROR(__xludf.DUMMYFUNCTION("""COMPUTED_VALUE"""),750.0)</f>
        <v>750</v>
      </c>
      <c r="G937" s="9">
        <f>IFERROR(__xludf.DUMMYFUNCTION("""COMPUTED_VALUE"""),12.0)</f>
        <v>12</v>
      </c>
      <c r="H937" s="10">
        <f>IFERROR(__xludf.DUMMYFUNCTION("""COMPUTED_VALUE"""),3.0)</f>
        <v>3</v>
      </c>
      <c r="I937" s="11">
        <f>IFERROR(__xludf.DUMMYFUNCTION("""COMPUTED_VALUE"""),864.0)</f>
        <v>864</v>
      </c>
      <c r="J937" s="9" t="str">
        <f>IFERROR(__xludf.DUMMYFUNCTION("""COMPUTED_VALUE"""),"UK")</f>
        <v>UK</v>
      </c>
      <c r="K937" s="8"/>
      <c r="L937" s="12"/>
      <c r="M937" s="13"/>
      <c r="N937" s="13" t="str">
        <f>IFERROR(__xludf.DUMMYFUNCTION("IF(ISBLANK(M937),"""",M937*GOOGLEFINANCE(""USDGBP""))"),"")</f>
        <v/>
      </c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</row>
    <row r="938">
      <c r="A938" s="8" t="str">
        <f>IFERROR(__xludf.DUMMYFUNCTION("""COMPUTED_VALUE"""),"103565220181200750")</f>
        <v>103565220181200750</v>
      </c>
      <c r="B938" s="9" t="str">
        <f>IFERROR(__xludf.DUMMYFUNCTION("""COMPUTED_VALUE"""),"France")</f>
        <v>France</v>
      </c>
      <c r="C938" s="9" t="str">
        <f>IFERROR(__xludf.DUMMYFUNCTION("""COMPUTED_VALUE"""),"burgundy")</f>
        <v>burgundy</v>
      </c>
      <c r="D938" s="9" t="str">
        <f>IFERROR(__xludf.DUMMYFUNCTION("""COMPUTED_VALUE"""),"Domaine Jean Grivot, Nuits-Saint-Georges, Les Charmois")</f>
        <v>Domaine Jean Grivot, Nuits-Saint-Georges, Les Charmois</v>
      </c>
      <c r="E938" s="9">
        <f>IFERROR(__xludf.DUMMYFUNCTION("""COMPUTED_VALUE"""),2018.0)</f>
        <v>2018</v>
      </c>
      <c r="F938" s="9">
        <f>IFERROR(__xludf.DUMMYFUNCTION("""COMPUTED_VALUE"""),750.0)</f>
        <v>750</v>
      </c>
      <c r="G938" s="9">
        <f>IFERROR(__xludf.DUMMYFUNCTION("""COMPUTED_VALUE"""),12.0)</f>
        <v>12</v>
      </c>
      <c r="H938" s="10">
        <f>IFERROR(__xludf.DUMMYFUNCTION("""COMPUTED_VALUE"""),1.0)</f>
        <v>1</v>
      </c>
      <c r="I938" s="11">
        <f>IFERROR(__xludf.DUMMYFUNCTION("""COMPUTED_VALUE"""),1054.0)</f>
        <v>1054</v>
      </c>
      <c r="J938" s="9" t="str">
        <f>IFERROR(__xludf.DUMMYFUNCTION("""COMPUTED_VALUE"""),"UK")</f>
        <v>UK</v>
      </c>
      <c r="K938" s="8"/>
      <c r="L938" s="12"/>
      <c r="M938" s="13"/>
      <c r="N938" s="13" t="str">
        <f>IFERROR(__xludf.DUMMYFUNCTION("IF(ISBLANK(M938),"""",M938*GOOGLEFINANCE(""USDGBP""))"),"")</f>
        <v/>
      </c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</row>
    <row r="939">
      <c r="A939" s="8" t="str">
        <f>IFERROR(__xludf.DUMMYFUNCTION("""COMPUTED_VALUE"""),"103576620180301500")</f>
        <v>103576620180301500</v>
      </c>
      <c r="B939" s="9" t="str">
        <f>IFERROR(__xludf.DUMMYFUNCTION("""COMPUTED_VALUE"""),"France")</f>
        <v>France</v>
      </c>
      <c r="C939" s="9" t="str">
        <f>IFERROR(__xludf.DUMMYFUNCTION("""COMPUTED_VALUE"""),"burgundy")</f>
        <v>burgundy</v>
      </c>
      <c r="D939" s="9" t="str">
        <f>IFERROR(__xludf.DUMMYFUNCTION("""COMPUTED_VALUE"""),"Domaine Jean Grivot, Vosne-Romanee Premier Cru, Les Beaux Monts")</f>
        <v>Domaine Jean Grivot, Vosne-Romanee Premier Cru, Les Beaux Monts</v>
      </c>
      <c r="E939" s="9">
        <f>IFERROR(__xludf.DUMMYFUNCTION("""COMPUTED_VALUE"""),2018.0)</f>
        <v>2018</v>
      </c>
      <c r="F939" s="9">
        <f>IFERROR(__xludf.DUMMYFUNCTION("""COMPUTED_VALUE"""),1500.0)</f>
        <v>1500</v>
      </c>
      <c r="G939" s="9">
        <f>IFERROR(__xludf.DUMMYFUNCTION("""COMPUTED_VALUE"""),3.0)</f>
        <v>3</v>
      </c>
      <c r="H939" s="10">
        <f>IFERROR(__xludf.DUMMYFUNCTION("""COMPUTED_VALUE"""),1.0)</f>
        <v>1</v>
      </c>
      <c r="I939" s="11">
        <f>IFERROR(__xludf.DUMMYFUNCTION("""COMPUTED_VALUE"""),1319.0)</f>
        <v>1319</v>
      </c>
      <c r="J939" s="9" t="str">
        <f>IFERROR(__xludf.DUMMYFUNCTION("""COMPUTED_VALUE"""),"UK")</f>
        <v>UK</v>
      </c>
      <c r="K939" s="8"/>
      <c r="L939" s="12"/>
      <c r="M939" s="13"/>
      <c r="N939" s="13" t="str">
        <f>IFERROR(__xludf.DUMMYFUNCTION("IF(ISBLANK(M939),"""",M939*GOOGLEFINANCE(""USDGBP""))"),"")</f>
        <v/>
      </c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</row>
    <row r="940">
      <c r="A940" s="8" t="str">
        <f>IFERROR(__xludf.DUMMYFUNCTION("""COMPUTED_VALUE"""),"103581220181200750")</f>
        <v>103581220181200750</v>
      </c>
      <c r="B940" s="9" t="str">
        <f>IFERROR(__xludf.DUMMYFUNCTION("""COMPUTED_VALUE"""),"France")</f>
        <v>France</v>
      </c>
      <c r="C940" s="9" t="str">
        <f>IFERROR(__xludf.DUMMYFUNCTION("""COMPUTED_VALUE"""),"burgundy")</f>
        <v>burgundy</v>
      </c>
      <c r="D940" s="9" t="str">
        <f>IFERROR(__xludf.DUMMYFUNCTION("""COMPUTED_VALUE"""),"Domaine Jean Grivot, Vosne-Romanee Premier Cru, Les Chaumes")</f>
        <v>Domaine Jean Grivot, Vosne-Romanee Premier Cru, Les Chaumes</v>
      </c>
      <c r="E940" s="9">
        <f>IFERROR(__xludf.DUMMYFUNCTION("""COMPUTED_VALUE"""),2018.0)</f>
        <v>2018</v>
      </c>
      <c r="F940" s="9">
        <f>IFERROR(__xludf.DUMMYFUNCTION("""COMPUTED_VALUE"""),750.0)</f>
        <v>750</v>
      </c>
      <c r="G940" s="9">
        <f>IFERROR(__xludf.DUMMYFUNCTION("""COMPUTED_VALUE"""),12.0)</f>
        <v>12</v>
      </c>
      <c r="H940" s="10">
        <f>IFERROR(__xludf.DUMMYFUNCTION("""COMPUTED_VALUE"""),1.0)</f>
        <v>1</v>
      </c>
      <c r="I940" s="11">
        <f>IFERROR(__xludf.DUMMYFUNCTION("""COMPUTED_VALUE"""),2593.0)</f>
        <v>2593</v>
      </c>
      <c r="J940" s="9" t="str">
        <f>IFERROR(__xludf.DUMMYFUNCTION("""COMPUTED_VALUE"""),"UK")</f>
        <v>UK</v>
      </c>
      <c r="K940" s="8"/>
      <c r="L940" s="12"/>
      <c r="M940" s="13"/>
      <c r="N940" s="13" t="str">
        <f>IFERROR(__xludf.DUMMYFUNCTION("IF(ISBLANK(M940),"""",M940*GOOGLEFINANCE(""USDGBP""))"),"")</f>
        <v/>
      </c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</row>
    <row r="941">
      <c r="A941" s="8" t="str">
        <f>IFERROR(__xludf.DUMMYFUNCTION("""COMPUTED_VALUE"""),"124796320170600750")</f>
        <v>124796320170600750</v>
      </c>
      <c r="B941" s="9" t="str">
        <f>IFERROR(__xludf.DUMMYFUNCTION("""COMPUTED_VALUE"""),"France")</f>
        <v>France</v>
      </c>
      <c r="C941" s="9" t="str">
        <f>IFERROR(__xludf.DUMMYFUNCTION("""COMPUTED_VALUE"""),"burgundy")</f>
        <v>burgundy</v>
      </c>
      <c r="D941" s="9" t="str">
        <f>IFERROR(__xludf.DUMMYFUNCTION("""COMPUTED_VALUE"""),"Domaine Jean Tardy, Gevrey-Chambertin, Champerrier Vieilles Vignes")</f>
        <v>Domaine Jean Tardy, Gevrey-Chambertin, Champerrier Vieilles Vignes</v>
      </c>
      <c r="E941" s="9">
        <f>IFERROR(__xludf.DUMMYFUNCTION("""COMPUTED_VALUE"""),2017.0)</f>
        <v>2017</v>
      </c>
      <c r="F941" s="9">
        <f>IFERROR(__xludf.DUMMYFUNCTION("""COMPUTED_VALUE"""),750.0)</f>
        <v>750</v>
      </c>
      <c r="G941" s="9">
        <f>IFERROR(__xludf.DUMMYFUNCTION("""COMPUTED_VALUE"""),6.0)</f>
        <v>6</v>
      </c>
      <c r="H941" s="10">
        <f>IFERROR(__xludf.DUMMYFUNCTION("""COMPUTED_VALUE"""),3.0)</f>
        <v>3</v>
      </c>
      <c r="I941" s="11">
        <f>IFERROR(__xludf.DUMMYFUNCTION("""COMPUTED_VALUE"""),353.0)</f>
        <v>353</v>
      </c>
      <c r="J941" s="9" t="str">
        <f>IFERROR(__xludf.DUMMYFUNCTION("""COMPUTED_VALUE"""),"UK")</f>
        <v>UK</v>
      </c>
      <c r="K941" s="8"/>
      <c r="L941" s="12"/>
      <c r="M941" s="13"/>
      <c r="N941" s="13" t="str">
        <f>IFERROR(__xludf.DUMMYFUNCTION("IF(ISBLANK(M941),"""",M941*GOOGLEFINANCE(""USDGBP""))"),"")</f>
        <v/>
      </c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</row>
    <row r="942">
      <c r="A942" s="8" t="str">
        <f>IFERROR(__xludf.DUMMYFUNCTION("""COMPUTED_VALUE"""),"124796320180600750")</f>
        <v>124796320180600750</v>
      </c>
      <c r="B942" s="9" t="str">
        <f>IFERROR(__xludf.DUMMYFUNCTION("""COMPUTED_VALUE"""),"France")</f>
        <v>France</v>
      </c>
      <c r="C942" s="9" t="str">
        <f>IFERROR(__xludf.DUMMYFUNCTION("""COMPUTED_VALUE"""),"burgundy")</f>
        <v>burgundy</v>
      </c>
      <c r="D942" s="9" t="str">
        <f>IFERROR(__xludf.DUMMYFUNCTION("""COMPUTED_VALUE"""),"Domaine Jean Tardy, Gevrey-Chambertin, Champerrier Vieilles Vignes")</f>
        <v>Domaine Jean Tardy, Gevrey-Chambertin, Champerrier Vieilles Vignes</v>
      </c>
      <c r="E942" s="9">
        <f>IFERROR(__xludf.DUMMYFUNCTION("""COMPUTED_VALUE"""),2018.0)</f>
        <v>2018</v>
      </c>
      <c r="F942" s="9">
        <f>IFERROR(__xludf.DUMMYFUNCTION("""COMPUTED_VALUE"""),750.0)</f>
        <v>750</v>
      </c>
      <c r="G942" s="9">
        <f>IFERROR(__xludf.DUMMYFUNCTION("""COMPUTED_VALUE"""),6.0)</f>
        <v>6</v>
      </c>
      <c r="H942" s="10">
        <f>IFERROR(__xludf.DUMMYFUNCTION("""COMPUTED_VALUE"""),1.0)</f>
        <v>1</v>
      </c>
      <c r="I942" s="11">
        <f>IFERROR(__xludf.DUMMYFUNCTION("""COMPUTED_VALUE"""),468.0)</f>
        <v>468</v>
      </c>
      <c r="J942" s="9" t="str">
        <f>IFERROR(__xludf.DUMMYFUNCTION("""COMPUTED_VALUE"""),"UK")</f>
        <v>UK</v>
      </c>
      <c r="K942" s="8"/>
      <c r="L942" s="12"/>
      <c r="M942" s="13"/>
      <c r="N942" s="13" t="str">
        <f>IFERROR(__xludf.DUMMYFUNCTION("IF(ISBLANK(M942),"""",M942*GOOGLEFINANCE(""USDGBP""))"),"")</f>
        <v/>
      </c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</row>
    <row r="943">
      <c r="A943" s="8" t="str">
        <f>IFERROR(__xludf.DUMMYFUNCTION("""COMPUTED_VALUE"""),"126918520170600750")</f>
        <v>126918520170600750</v>
      </c>
      <c r="B943" s="9" t="str">
        <f>IFERROR(__xludf.DUMMYFUNCTION("""COMPUTED_VALUE"""),"France")</f>
        <v>France</v>
      </c>
      <c r="C943" s="9" t="str">
        <f>IFERROR(__xludf.DUMMYFUNCTION("""COMPUTED_VALUE"""),"burgundy")</f>
        <v>burgundy</v>
      </c>
      <c r="D943" s="9" t="str">
        <f>IFERROR(__xludf.DUMMYFUNCTION("""COMPUTED_VALUE"""),"Domaine Jean Tardy, Nuits-Saint-Georges Premier Cru, Aux Argillas")</f>
        <v>Domaine Jean Tardy, Nuits-Saint-Georges Premier Cru, Aux Argillas</v>
      </c>
      <c r="E943" s="9">
        <f>IFERROR(__xludf.DUMMYFUNCTION("""COMPUTED_VALUE"""),2017.0)</f>
        <v>2017</v>
      </c>
      <c r="F943" s="9">
        <f>IFERROR(__xludf.DUMMYFUNCTION("""COMPUTED_VALUE"""),750.0)</f>
        <v>750</v>
      </c>
      <c r="G943" s="9">
        <f>IFERROR(__xludf.DUMMYFUNCTION("""COMPUTED_VALUE"""),6.0)</f>
        <v>6</v>
      </c>
      <c r="H943" s="10">
        <f>IFERROR(__xludf.DUMMYFUNCTION("""COMPUTED_VALUE"""),1.0)</f>
        <v>1</v>
      </c>
      <c r="I943" s="11">
        <f>IFERROR(__xludf.DUMMYFUNCTION("""COMPUTED_VALUE"""),441.0)</f>
        <v>441</v>
      </c>
      <c r="J943" s="9" t="str">
        <f>IFERROR(__xludf.DUMMYFUNCTION("""COMPUTED_VALUE"""),"UK")</f>
        <v>UK</v>
      </c>
      <c r="K943" s="8"/>
      <c r="L943" s="12"/>
      <c r="M943" s="13"/>
      <c r="N943" s="13" t="str">
        <f>IFERROR(__xludf.DUMMYFUNCTION("IF(ISBLANK(M943),"""",M943*GOOGLEFINANCE(""USDGBP""))"),"")</f>
        <v/>
      </c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</row>
    <row r="944">
      <c r="A944" s="8" t="str">
        <f>IFERROR(__xludf.DUMMYFUNCTION("""COMPUTED_VALUE"""),"126918520180600750")</f>
        <v>126918520180600750</v>
      </c>
      <c r="B944" s="9" t="str">
        <f>IFERROR(__xludf.DUMMYFUNCTION("""COMPUTED_VALUE"""),"France")</f>
        <v>France</v>
      </c>
      <c r="C944" s="9" t="str">
        <f>IFERROR(__xludf.DUMMYFUNCTION("""COMPUTED_VALUE"""),"burgundy")</f>
        <v>burgundy</v>
      </c>
      <c r="D944" s="9" t="str">
        <f>IFERROR(__xludf.DUMMYFUNCTION("""COMPUTED_VALUE"""),"Domaine Jean Tardy, Nuits-Saint-Georges Premier Cru, Aux Argillas")</f>
        <v>Domaine Jean Tardy, Nuits-Saint-Georges Premier Cru, Aux Argillas</v>
      </c>
      <c r="E944" s="9">
        <f>IFERROR(__xludf.DUMMYFUNCTION("""COMPUTED_VALUE"""),2018.0)</f>
        <v>2018</v>
      </c>
      <c r="F944" s="9">
        <f>IFERROR(__xludf.DUMMYFUNCTION("""COMPUTED_VALUE"""),750.0)</f>
        <v>750</v>
      </c>
      <c r="G944" s="9">
        <f>IFERROR(__xludf.DUMMYFUNCTION("""COMPUTED_VALUE"""),6.0)</f>
        <v>6</v>
      </c>
      <c r="H944" s="10">
        <f>IFERROR(__xludf.DUMMYFUNCTION("""COMPUTED_VALUE"""),1.0)</f>
        <v>1</v>
      </c>
      <c r="I944" s="11">
        <f>IFERROR(__xludf.DUMMYFUNCTION("""COMPUTED_VALUE"""),531.0)</f>
        <v>531</v>
      </c>
      <c r="J944" s="9" t="str">
        <f>IFERROR(__xludf.DUMMYFUNCTION("""COMPUTED_VALUE"""),"UK")</f>
        <v>UK</v>
      </c>
      <c r="K944" s="8"/>
      <c r="L944" s="12"/>
      <c r="M944" s="13"/>
      <c r="N944" s="13" t="str">
        <f>IFERROR(__xludf.DUMMYFUNCTION("IF(ISBLANK(M944),"""",M944*GOOGLEFINANCE(""USDGBP""))"),"")</f>
        <v/>
      </c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</row>
    <row r="945">
      <c r="A945" s="8" t="str">
        <f>IFERROR(__xludf.DUMMYFUNCTION("""COMPUTED_VALUE"""),"105792020160600750")</f>
        <v>105792020160600750</v>
      </c>
      <c r="B945" s="9" t="str">
        <f>IFERROR(__xludf.DUMMYFUNCTION("""COMPUTED_VALUE"""),"France")</f>
        <v>France</v>
      </c>
      <c r="C945" s="9" t="str">
        <f>IFERROR(__xludf.DUMMYFUNCTION("""COMPUTED_VALUE"""),"burgundy")</f>
        <v>burgundy</v>
      </c>
      <c r="D945" s="9" t="str">
        <f>IFERROR(__xludf.DUMMYFUNCTION("""COMPUTED_VALUE"""),"Domaine Jean Tardy, Vosne-Romanee Premier Cru, Vigneux")</f>
        <v>Domaine Jean Tardy, Vosne-Romanee Premier Cru, Vigneux</v>
      </c>
      <c r="E945" s="9">
        <f>IFERROR(__xludf.DUMMYFUNCTION("""COMPUTED_VALUE"""),2016.0)</f>
        <v>2016</v>
      </c>
      <c r="F945" s="9">
        <f>IFERROR(__xludf.DUMMYFUNCTION("""COMPUTED_VALUE"""),750.0)</f>
        <v>750</v>
      </c>
      <c r="G945" s="9">
        <f>IFERROR(__xludf.DUMMYFUNCTION("""COMPUTED_VALUE"""),6.0)</f>
        <v>6</v>
      </c>
      <c r="H945" s="10">
        <f>IFERROR(__xludf.DUMMYFUNCTION("""COMPUTED_VALUE"""),1.0)</f>
        <v>1</v>
      </c>
      <c r="I945" s="11">
        <f>IFERROR(__xludf.DUMMYFUNCTION("""COMPUTED_VALUE"""),796.0)</f>
        <v>796</v>
      </c>
      <c r="J945" s="9" t="str">
        <f>IFERROR(__xludf.DUMMYFUNCTION("""COMPUTED_VALUE"""),"UK")</f>
        <v>UK</v>
      </c>
      <c r="K945" s="8"/>
      <c r="L945" s="12"/>
      <c r="M945" s="13"/>
      <c r="N945" s="13" t="str">
        <f>IFERROR(__xludf.DUMMYFUNCTION("IF(ISBLANK(M945),"""",M945*GOOGLEFINANCE(""USDGBP""))"),"")</f>
        <v/>
      </c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</row>
    <row r="946">
      <c r="A946" s="8" t="str">
        <f>IFERROR(__xludf.DUMMYFUNCTION("""COMPUTED_VALUE"""),"102738720160600750")</f>
        <v>102738720160600750</v>
      </c>
      <c r="B946" s="9" t="str">
        <f>IFERROR(__xludf.DUMMYFUNCTION("""COMPUTED_VALUE"""),"France")</f>
        <v>France</v>
      </c>
      <c r="C946" s="9" t="str">
        <f>IFERROR(__xludf.DUMMYFUNCTION("""COMPUTED_VALUE"""),"burgundy")</f>
        <v>burgundy</v>
      </c>
      <c r="D946" s="9" t="str">
        <f>IFERROR(__xludf.DUMMYFUNCTION("""COMPUTED_VALUE"""),"Domaine Jean-Jacques Confuron, Romanee-Saint-Vivant Grand Cru")</f>
        <v>Domaine Jean-Jacques Confuron, Romanee-Saint-Vivant Grand Cru</v>
      </c>
      <c r="E946" s="9">
        <f>IFERROR(__xludf.DUMMYFUNCTION("""COMPUTED_VALUE"""),2016.0)</f>
        <v>2016</v>
      </c>
      <c r="F946" s="9">
        <f>IFERROR(__xludf.DUMMYFUNCTION("""COMPUTED_VALUE"""),750.0)</f>
        <v>750</v>
      </c>
      <c r="G946" s="9">
        <f>IFERROR(__xludf.DUMMYFUNCTION("""COMPUTED_VALUE"""),6.0)</f>
        <v>6</v>
      </c>
      <c r="H946" s="10">
        <f>IFERROR(__xludf.DUMMYFUNCTION("""COMPUTED_VALUE"""),1.0)</f>
        <v>1</v>
      </c>
      <c r="I946" s="11">
        <f>IFERROR(__xludf.DUMMYFUNCTION("""COMPUTED_VALUE"""),3045.0)</f>
        <v>3045</v>
      </c>
      <c r="J946" s="9" t="str">
        <f>IFERROR(__xludf.DUMMYFUNCTION("""COMPUTED_VALUE"""),"UK")</f>
        <v>UK</v>
      </c>
      <c r="K946" s="8"/>
      <c r="L946" s="12"/>
      <c r="M946" s="13"/>
      <c r="N946" s="13" t="str">
        <f>IFERROR(__xludf.DUMMYFUNCTION("IF(ISBLANK(M946),"""",M946*GOOGLEFINANCE(""USDGBP""))"),"")</f>
        <v/>
      </c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</row>
    <row r="947">
      <c r="A947" s="8" t="str">
        <f>IFERROR(__xludf.DUMMYFUNCTION("""COMPUTED_VALUE"""),"105924320170600750")</f>
        <v>105924320170600750</v>
      </c>
      <c r="B947" s="9" t="str">
        <f>IFERROR(__xludf.DUMMYFUNCTION("""COMPUTED_VALUE"""),"France")</f>
        <v>France</v>
      </c>
      <c r="C947" s="9" t="str">
        <f>IFERROR(__xludf.DUMMYFUNCTION("""COMPUTED_VALUE"""),"burgundy")</f>
        <v>burgundy</v>
      </c>
      <c r="D947" s="9" t="str">
        <f>IFERROR(__xludf.DUMMYFUNCTION("""COMPUTED_VALUE"""),"Domaine Joseph Voillot, Volnay Premier Cru, Fremiets")</f>
        <v>Domaine Joseph Voillot, Volnay Premier Cru, Fremiets</v>
      </c>
      <c r="E947" s="9">
        <f>IFERROR(__xludf.DUMMYFUNCTION("""COMPUTED_VALUE"""),2017.0)</f>
        <v>2017</v>
      </c>
      <c r="F947" s="9">
        <f>IFERROR(__xludf.DUMMYFUNCTION("""COMPUTED_VALUE"""),750.0)</f>
        <v>750</v>
      </c>
      <c r="G947" s="9">
        <f>IFERROR(__xludf.DUMMYFUNCTION("""COMPUTED_VALUE"""),6.0)</f>
        <v>6</v>
      </c>
      <c r="H947" s="10">
        <f>IFERROR(__xludf.DUMMYFUNCTION("""COMPUTED_VALUE"""),1.0)</f>
        <v>1</v>
      </c>
      <c r="I947" s="11">
        <f>IFERROR(__xludf.DUMMYFUNCTION("""COMPUTED_VALUE"""),431.0)</f>
        <v>431</v>
      </c>
      <c r="J947" s="9" t="str">
        <f>IFERROR(__xludf.DUMMYFUNCTION("""COMPUTED_VALUE"""),"UK")</f>
        <v>UK</v>
      </c>
      <c r="K947" s="8"/>
      <c r="L947" s="12"/>
      <c r="M947" s="13"/>
      <c r="N947" s="13" t="str">
        <f>IFERROR(__xludf.DUMMYFUNCTION("IF(ISBLANK(M947),"""",M947*GOOGLEFINANCE(""USDGBP""))"),"")</f>
        <v/>
      </c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</row>
    <row r="948">
      <c r="A948" s="8" t="str">
        <f>IFERROR(__xludf.DUMMYFUNCTION("""COMPUTED_VALUE"""),"122891520161200750")</f>
        <v>122891520161200750</v>
      </c>
      <c r="B948" s="9" t="str">
        <f>IFERROR(__xludf.DUMMYFUNCTION("""COMPUTED_VALUE"""),"France")</f>
        <v>France</v>
      </c>
      <c r="C948" s="9" t="str">
        <f>IFERROR(__xludf.DUMMYFUNCTION("""COMPUTED_VALUE"""),"burgundy")</f>
        <v>burgundy</v>
      </c>
      <c r="D948" s="9" t="str">
        <f>IFERROR(__xludf.DUMMYFUNCTION("""COMPUTED_VALUE"""),"Domaine Lecheneaut, Nuits-Saint-Georges Premier Cru, Les Damodes")</f>
        <v>Domaine Lecheneaut, Nuits-Saint-Georges Premier Cru, Les Damodes</v>
      </c>
      <c r="E948" s="9">
        <f>IFERROR(__xludf.DUMMYFUNCTION("""COMPUTED_VALUE"""),2016.0)</f>
        <v>2016</v>
      </c>
      <c r="F948" s="9">
        <f>IFERROR(__xludf.DUMMYFUNCTION("""COMPUTED_VALUE"""),750.0)</f>
        <v>750</v>
      </c>
      <c r="G948" s="9">
        <f>IFERROR(__xludf.DUMMYFUNCTION("""COMPUTED_VALUE"""),12.0)</f>
        <v>12</v>
      </c>
      <c r="H948" s="10">
        <f>IFERROR(__xludf.DUMMYFUNCTION("""COMPUTED_VALUE"""),1.0)</f>
        <v>1</v>
      </c>
      <c r="I948" s="11">
        <f>IFERROR(__xludf.DUMMYFUNCTION("""COMPUTED_VALUE"""),1274.0)</f>
        <v>1274</v>
      </c>
      <c r="J948" s="9" t="str">
        <f>IFERROR(__xludf.DUMMYFUNCTION("""COMPUTED_VALUE"""),"UK")</f>
        <v>UK</v>
      </c>
      <c r="K948" s="8"/>
      <c r="L948" s="12"/>
      <c r="M948" s="13"/>
      <c r="N948" s="13" t="str">
        <f>IFERROR(__xludf.DUMMYFUNCTION("IF(ISBLANK(M948),"""",M948*GOOGLEFINANCE(""USDGBP""))"),"")</f>
        <v/>
      </c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</row>
    <row r="949">
      <c r="A949" s="8" t="str">
        <f>IFERROR(__xludf.DUMMYFUNCTION("""COMPUTED_VALUE"""),"122890220161200750")</f>
        <v>122890220161200750</v>
      </c>
      <c r="B949" s="9" t="str">
        <f>IFERROR(__xludf.DUMMYFUNCTION("""COMPUTED_VALUE"""),"France")</f>
        <v>France</v>
      </c>
      <c r="C949" s="9" t="str">
        <f>IFERROR(__xludf.DUMMYFUNCTION("""COMPUTED_VALUE"""),"burgundy")</f>
        <v>burgundy</v>
      </c>
      <c r="D949" s="9" t="str">
        <f>IFERROR(__xludf.DUMMYFUNCTION("""COMPUTED_VALUE"""),"Domaine Lecheneaut, Nuits-Saint-Georges Premier Cru, Les Pruliers")</f>
        <v>Domaine Lecheneaut, Nuits-Saint-Georges Premier Cru, Les Pruliers</v>
      </c>
      <c r="E949" s="9">
        <f>IFERROR(__xludf.DUMMYFUNCTION("""COMPUTED_VALUE"""),2016.0)</f>
        <v>2016</v>
      </c>
      <c r="F949" s="9">
        <f>IFERROR(__xludf.DUMMYFUNCTION("""COMPUTED_VALUE"""),750.0)</f>
        <v>750</v>
      </c>
      <c r="G949" s="9">
        <f>IFERROR(__xludf.DUMMYFUNCTION("""COMPUTED_VALUE"""),12.0)</f>
        <v>12</v>
      </c>
      <c r="H949" s="10">
        <f>IFERROR(__xludf.DUMMYFUNCTION("""COMPUTED_VALUE"""),1.0)</f>
        <v>1</v>
      </c>
      <c r="I949" s="11">
        <f>IFERROR(__xludf.DUMMYFUNCTION("""COMPUTED_VALUE"""),1351.0)</f>
        <v>1351</v>
      </c>
      <c r="J949" s="9" t="str">
        <f>IFERROR(__xludf.DUMMYFUNCTION("""COMPUTED_VALUE"""),"UK")</f>
        <v>UK</v>
      </c>
      <c r="K949" s="8"/>
      <c r="L949" s="12"/>
      <c r="M949" s="13"/>
      <c r="N949" s="13" t="str">
        <f>IFERROR(__xludf.DUMMYFUNCTION("IF(ISBLANK(M949),"""",M949*GOOGLEFINANCE(""USDGBP""))"),"")</f>
        <v/>
      </c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</row>
    <row r="950">
      <c r="A950" s="8" t="str">
        <f>IFERROR(__xludf.DUMMYFUNCTION("""COMPUTED_VALUE"""),"103785820170300750")</f>
        <v>103785820170300750</v>
      </c>
      <c r="B950" s="9" t="str">
        <f>IFERROR(__xludf.DUMMYFUNCTION("""COMPUTED_VALUE"""),"France")</f>
        <v>France</v>
      </c>
      <c r="C950" s="9" t="str">
        <f>IFERROR(__xludf.DUMMYFUNCTION("""COMPUTED_VALUE"""),"burgundy")</f>
        <v>burgundy</v>
      </c>
      <c r="D950" s="9" t="str">
        <f>IFERROR(__xludf.DUMMYFUNCTION("""COMPUTED_VALUE"""),"Domaine Louis Jadot, Bonnes Mares Grand Cru")</f>
        <v>Domaine Louis Jadot, Bonnes Mares Grand Cru</v>
      </c>
      <c r="E950" s="9">
        <f>IFERROR(__xludf.DUMMYFUNCTION("""COMPUTED_VALUE"""),2017.0)</f>
        <v>2017</v>
      </c>
      <c r="F950" s="9">
        <f>IFERROR(__xludf.DUMMYFUNCTION("""COMPUTED_VALUE"""),750.0)</f>
        <v>750</v>
      </c>
      <c r="G950" s="9">
        <f>IFERROR(__xludf.DUMMYFUNCTION("""COMPUTED_VALUE"""),3.0)</f>
        <v>3</v>
      </c>
      <c r="H950" s="10">
        <f>IFERROR(__xludf.DUMMYFUNCTION("""COMPUTED_VALUE"""),1.0)</f>
        <v>1</v>
      </c>
      <c r="I950" s="11">
        <f>IFERROR(__xludf.DUMMYFUNCTION("""COMPUTED_VALUE"""),612.0)</f>
        <v>612</v>
      </c>
      <c r="J950" s="9" t="str">
        <f>IFERROR(__xludf.DUMMYFUNCTION("""COMPUTED_VALUE"""),"UK")</f>
        <v>UK</v>
      </c>
      <c r="K950" s="8"/>
      <c r="L950" s="12"/>
      <c r="M950" s="13"/>
      <c r="N950" s="13" t="str">
        <f>IFERROR(__xludf.DUMMYFUNCTION("IF(ISBLANK(M950),"""",M950*GOOGLEFINANCE(""USDGBP""))"),"")</f>
        <v/>
      </c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</row>
    <row r="951">
      <c r="A951" s="8" t="str">
        <f>IFERROR(__xludf.DUMMYFUNCTION("""COMPUTED_VALUE"""),"103791720170300750")</f>
        <v>103791720170300750</v>
      </c>
      <c r="B951" s="9" t="str">
        <f>IFERROR(__xludf.DUMMYFUNCTION("""COMPUTED_VALUE"""),"France")</f>
        <v>France</v>
      </c>
      <c r="C951" s="9" t="str">
        <f>IFERROR(__xludf.DUMMYFUNCTION("""COMPUTED_VALUE"""),"burgundy")</f>
        <v>burgundy</v>
      </c>
      <c r="D951" s="9" t="str">
        <f>IFERROR(__xludf.DUMMYFUNCTION("""COMPUTED_VALUE"""),"Domaine Louis Jadot, Chambertin-Clos de Beze Grand Cru")</f>
        <v>Domaine Louis Jadot, Chambertin-Clos de Beze Grand Cru</v>
      </c>
      <c r="E951" s="9">
        <f>IFERROR(__xludf.DUMMYFUNCTION("""COMPUTED_VALUE"""),2017.0)</f>
        <v>2017</v>
      </c>
      <c r="F951" s="9">
        <f>IFERROR(__xludf.DUMMYFUNCTION("""COMPUTED_VALUE"""),750.0)</f>
        <v>750</v>
      </c>
      <c r="G951" s="9">
        <f>IFERROR(__xludf.DUMMYFUNCTION("""COMPUTED_VALUE"""),3.0)</f>
        <v>3</v>
      </c>
      <c r="H951" s="10">
        <f>IFERROR(__xludf.DUMMYFUNCTION("""COMPUTED_VALUE"""),4.0)</f>
        <v>4</v>
      </c>
      <c r="I951" s="11">
        <f>IFERROR(__xludf.DUMMYFUNCTION("""COMPUTED_VALUE"""),636.0)</f>
        <v>636</v>
      </c>
      <c r="J951" s="9" t="str">
        <f>IFERROR(__xludf.DUMMYFUNCTION("""COMPUTED_VALUE"""),"UK")</f>
        <v>UK</v>
      </c>
      <c r="K951" s="8"/>
      <c r="L951" s="12"/>
      <c r="M951" s="13"/>
      <c r="N951" s="13" t="str">
        <f>IFERROR(__xludf.DUMMYFUNCTION("IF(ISBLANK(M951),"""",M951*GOOGLEFINANCE(""USDGBP""))"),"")</f>
        <v/>
      </c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</row>
    <row r="952">
      <c r="A952" s="8" t="str">
        <f>IFERROR(__xludf.DUMMYFUNCTION("""COMPUTED_VALUE"""),"103799120180600750")</f>
        <v>103799120180600750</v>
      </c>
      <c r="B952" s="9" t="str">
        <f>IFERROR(__xludf.DUMMYFUNCTION("""COMPUTED_VALUE"""),"France")</f>
        <v>France</v>
      </c>
      <c r="C952" s="9" t="str">
        <f>IFERROR(__xludf.DUMMYFUNCTION("""COMPUTED_VALUE"""),"burgundy")</f>
        <v>burgundy</v>
      </c>
      <c r="D952" s="9" t="str">
        <f>IFERROR(__xludf.DUMMYFUNCTION("""COMPUTED_VALUE"""),"Domaine Louis Jadot, Chapelle-Chambertin Grand Cru")</f>
        <v>Domaine Louis Jadot, Chapelle-Chambertin Grand Cru</v>
      </c>
      <c r="E952" s="9">
        <f>IFERROR(__xludf.DUMMYFUNCTION("""COMPUTED_VALUE"""),2018.0)</f>
        <v>2018</v>
      </c>
      <c r="F952" s="9">
        <f>IFERROR(__xludf.DUMMYFUNCTION("""COMPUTED_VALUE"""),750.0)</f>
        <v>750</v>
      </c>
      <c r="G952" s="9">
        <f>IFERROR(__xludf.DUMMYFUNCTION("""COMPUTED_VALUE"""),6.0)</f>
        <v>6</v>
      </c>
      <c r="H952" s="10">
        <f>IFERROR(__xludf.DUMMYFUNCTION("""COMPUTED_VALUE"""),1.0)</f>
        <v>1</v>
      </c>
      <c r="I952" s="11">
        <f>IFERROR(__xludf.DUMMYFUNCTION("""COMPUTED_VALUE"""),1069.0)</f>
        <v>1069</v>
      </c>
      <c r="J952" s="9" t="str">
        <f>IFERROR(__xludf.DUMMYFUNCTION("""COMPUTED_VALUE"""),"UK")</f>
        <v>UK</v>
      </c>
      <c r="K952" s="8"/>
      <c r="L952" s="12"/>
      <c r="M952" s="13"/>
      <c r="N952" s="13" t="str">
        <f>IFERROR(__xludf.DUMMYFUNCTION("IF(ISBLANK(M952),"""",M952*GOOGLEFINANCE(""USDGBP""))"),"")</f>
        <v/>
      </c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</row>
    <row r="953">
      <c r="A953" s="8" t="str">
        <f>IFERROR(__xludf.DUMMYFUNCTION("""COMPUTED_VALUE"""),"103811620170600750")</f>
        <v>103811620170600750</v>
      </c>
      <c r="B953" s="9" t="str">
        <f>IFERROR(__xludf.DUMMYFUNCTION("""COMPUTED_VALUE"""),"France")</f>
        <v>France</v>
      </c>
      <c r="C953" s="9" t="str">
        <f>IFERROR(__xludf.DUMMYFUNCTION("""COMPUTED_VALUE"""),"burgundy")</f>
        <v>burgundy</v>
      </c>
      <c r="D953" s="9" t="str">
        <f>IFERROR(__xludf.DUMMYFUNCTION("""COMPUTED_VALUE"""),"Domaine Louis Jadot, Corton Grand Cru, Les Greves")</f>
        <v>Domaine Louis Jadot, Corton Grand Cru, Les Greves</v>
      </c>
      <c r="E953" s="9">
        <f>IFERROR(__xludf.DUMMYFUNCTION("""COMPUTED_VALUE"""),2017.0)</f>
        <v>2017</v>
      </c>
      <c r="F953" s="9">
        <f>IFERROR(__xludf.DUMMYFUNCTION("""COMPUTED_VALUE"""),750.0)</f>
        <v>750</v>
      </c>
      <c r="G953" s="9">
        <f>IFERROR(__xludf.DUMMYFUNCTION("""COMPUTED_VALUE"""),6.0)</f>
        <v>6</v>
      </c>
      <c r="H953" s="10">
        <f>IFERROR(__xludf.DUMMYFUNCTION("""COMPUTED_VALUE"""),14.0)</f>
        <v>14</v>
      </c>
      <c r="I953" s="11">
        <f>IFERROR(__xludf.DUMMYFUNCTION("""COMPUTED_VALUE"""),417.0)</f>
        <v>417</v>
      </c>
      <c r="J953" s="9" t="str">
        <f>IFERROR(__xludf.DUMMYFUNCTION("""COMPUTED_VALUE"""),"UK")</f>
        <v>UK</v>
      </c>
      <c r="K953" s="8"/>
      <c r="L953" s="12"/>
      <c r="M953" s="13"/>
      <c r="N953" s="13" t="str">
        <f>IFERROR(__xludf.DUMMYFUNCTION("IF(ISBLANK(M953),"""",M953*GOOGLEFINANCE(""USDGBP""))"),"")</f>
        <v/>
      </c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</row>
    <row r="954">
      <c r="A954" s="8" t="str">
        <f>IFERROR(__xludf.DUMMYFUNCTION("""COMPUTED_VALUE"""),"137768420190600750")</f>
        <v>137768420190600750</v>
      </c>
      <c r="B954" s="9" t="str">
        <f>IFERROR(__xludf.DUMMYFUNCTION("""COMPUTED_VALUE"""),"France")</f>
        <v>France</v>
      </c>
      <c r="C954" s="9" t="str">
        <f>IFERROR(__xludf.DUMMYFUNCTION("""COMPUTED_VALUE"""),"burgundy")</f>
        <v>burgundy</v>
      </c>
      <c r="D954" s="9" t="str">
        <f>IFERROR(__xludf.DUMMYFUNCTION("""COMPUTED_VALUE"""),"Domaine Machard de Gramont, Vosne-Romanee Premier Cru, Les Gaudichots")</f>
        <v>Domaine Machard de Gramont, Vosne-Romanee Premier Cru, Les Gaudichots</v>
      </c>
      <c r="E954" s="9">
        <f>IFERROR(__xludf.DUMMYFUNCTION("""COMPUTED_VALUE"""),2019.0)</f>
        <v>2019</v>
      </c>
      <c r="F954" s="9">
        <f>IFERROR(__xludf.DUMMYFUNCTION("""COMPUTED_VALUE"""),750.0)</f>
        <v>750</v>
      </c>
      <c r="G954" s="9">
        <f>IFERROR(__xludf.DUMMYFUNCTION("""COMPUTED_VALUE"""),6.0)</f>
        <v>6</v>
      </c>
      <c r="H954" s="10">
        <f>IFERROR(__xludf.DUMMYFUNCTION("""COMPUTED_VALUE"""),1.0)</f>
        <v>1</v>
      </c>
      <c r="I954" s="11">
        <f>IFERROR(__xludf.DUMMYFUNCTION("""COMPUTED_VALUE"""),2654.0)</f>
        <v>2654</v>
      </c>
      <c r="J954" s="9" t="str">
        <f>IFERROR(__xludf.DUMMYFUNCTION("""COMPUTED_VALUE"""),"UK")</f>
        <v>UK</v>
      </c>
      <c r="K954" s="8"/>
      <c r="L954" s="12"/>
      <c r="M954" s="13"/>
      <c r="N954" s="13" t="str">
        <f>IFERROR(__xludf.DUMMYFUNCTION("IF(ISBLANK(M954),"""",M954*GOOGLEFINANCE(""USDGBP""))"),"")</f>
        <v/>
      </c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</row>
    <row r="955">
      <c r="A955" s="8" t="str">
        <f>IFERROR(__xludf.DUMMYFUNCTION("""COMPUTED_VALUE"""),"101832120170600750")</f>
        <v>101832120170600750</v>
      </c>
      <c r="B955" s="9" t="str">
        <f>IFERROR(__xludf.DUMMYFUNCTION("""COMPUTED_VALUE"""),"France")</f>
        <v>France</v>
      </c>
      <c r="C955" s="9" t="str">
        <f>IFERROR(__xludf.DUMMYFUNCTION("""COMPUTED_VALUE"""),"burgundy")</f>
        <v>burgundy</v>
      </c>
      <c r="D955" s="9" t="str">
        <f>IFERROR(__xludf.DUMMYFUNCTION("""COMPUTED_VALUE"""),"Domaine Marquis d'Angerville, Volnay Premier Cru")</f>
        <v>Domaine Marquis d'Angerville, Volnay Premier Cru</v>
      </c>
      <c r="E955" s="9">
        <f>IFERROR(__xludf.DUMMYFUNCTION("""COMPUTED_VALUE"""),2017.0)</f>
        <v>2017</v>
      </c>
      <c r="F955" s="9">
        <f>IFERROR(__xludf.DUMMYFUNCTION("""COMPUTED_VALUE"""),750.0)</f>
        <v>750</v>
      </c>
      <c r="G955" s="9">
        <f>IFERROR(__xludf.DUMMYFUNCTION("""COMPUTED_VALUE"""),6.0)</f>
        <v>6</v>
      </c>
      <c r="H955" s="10">
        <f>IFERROR(__xludf.DUMMYFUNCTION("""COMPUTED_VALUE"""),1.0)</f>
        <v>1</v>
      </c>
      <c r="I955" s="11">
        <f>IFERROR(__xludf.DUMMYFUNCTION("""COMPUTED_VALUE"""),593.0)</f>
        <v>593</v>
      </c>
      <c r="J955" s="9" t="str">
        <f>IFERROR(__xludf.DUMMYFUNCTION("""COMPUTED_VALUE"""),"UK")</f>
        <v>UK</v>
      </c>
      <c r="K955" s="8"/>
      <c r="L955" s="12"/>
      <c r="M955" s="13"/>
      <c r="N955" s="13" t="str">
        <f>IFERROR(__xludf.DUMMYFUNCTION("IF(ISBLANK(M955),"""",M955*GOOGLEFINANCE(""USDGBP""))"),"")</f>
        <v/>
      </c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</row>
    <row r="956">
      <c r="A956" s="8" t="str">
        <f>IFERROR(__xludf.DUMMYFUNCTION("""COMPUTED_VALUE"""),"101835020151200750")</f>
        <v>101835020151200750</v>
      </c>
      <c r="B956" s="9" t="str">
        <f>IFERROR(__xludf.DUMMYFUNCTION("""COMPUTED_VALUE"""),"France")</f>
        <v>France</v>
      </c>
      <c r="C956" s="9" t="str">
        <f>IFERROR(__xludf.DUMMYFUNCTION("""COMPUTED_VALUE"""),"burgundy")</f>
        <v>burgundy</v>
      </c>
      <c r="D956" s="9" t="str">
        <f>IFERROR(__xludf.DUMMYFUNCTION("""COMPUTED_VALUE"""),"Domaine Marquis d'Angerville, Volnay Premier Cru, Champans")</f>
        <v>Domaine Marquis d'Angerville, Volnay Premier Cru, Champans</v>
      </c>
      <c r="E956" s="9">
        <f>IFERROR(__xludf.DUMMYFUNCTION("""COMPUTED_VALUE"""),2015.0)</f>
        <v>2015</v>
      </c>
      <c r="F956" s="9">
        <f>IFERROR(__xludf.DUMMYFUNCTION("""COMPUTED_VALUE"""),750.0)</f>
        <v>750</v>
      </c>
      <c r="G956" s="9">
        <f>IFERROR(__xludf.DUMMYFUNCTION("""COMPUTED_VALUE"""),12.0)</f>
        <v>12</v>
      </c>
      <c r="H956" s="10">
        <f>IFERROR(__xludf.DUMMYFUNCTION("""COMPUTED_VALUE"""),1.0)</f>
        <v>1</v>
      </c>
      <c r="I956" s="11">
        <f>IFERROR(__xludf.DUMMYFUNCTION("""COMPUTED_VALUE"""),1379.0)</f>
        <v>1379</v>
      </c>
      <c r="J956" s="9" t="str">
        <f>IFERROR(__xludf.DUMMYFUNCTION("""COMPUTED_VALUE"""),"UK")</f>
        <v>UK</v>
      </c>
      <c r="K956" s="8"/>
      <c r="L956" s="12"/>
      <c r="M956" s="13"/>
      <c r="N956" s="13" t="str">
        <f>IFERROR(__xludf.DUMMYFUNCTION("IF(ISBLANK(M956),"""",M956*GOOGLEFINANCE(""USDGBP""))"),"")</f>
        <v/>
      </c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</row>
    <row r="957">
      <c r="A957" s="8" t="str">
        <f>IFERROR(__xludf.DUMMYFUNCTION("""COMPUTED_VALUE"""),"101835020170600750")</f>
        <v>101835020170600750</v>
      </c>
      <c r="B957" s="9" t="str">
        <f>IFERROR(__xludf.DUMMYFUNCTION("""COMPUTED_VALUE"""),"France")</f>
        <v>France</v>
      </c>
      <c r="C957" s="9" t="str">
        <f>IFERROR(__xludf.DUMMYFUNCTION("""COMPUTED_VALUE"""),"burgundy")</f>
        <v>burgundy</v>
      </c>
      <c r="D957" s="9" t="str">
        <f>IFERROR(__xludf.DUMMYFUNCTION("""COMPUTED_VALUE"""),"Domaine Marquis d'Angerville, Volnay Premier Cru, Champans")</f>
        <v>Domaine Marquis d'Angerville, Volnay Premier Cru, Champans</v>
      </c>
      <c r="E957" s="9">
        <f>IFERROR(__xludf.DUMMYFUNCTION("""COMPUTED_VALUE"""),2017.0)</f>
        <v>2017</v>
      </c>
      <c r="F957" s="9">
        <f>IFERROR(__xludf.DUMMYFUNCTION("""COMPUTED_VALUE"""),750.0)</f>
        <v>750</v>
      </c>
      <c r="G957" s="9">
        <f>IFERROR(__xludf.DUMMYFUNCTION("""COMPUTED_VALUE"""),6.0)</f>
        <v>6</v>
      </c>
      <c r="H957" s="10">
        <f>IFERROR(__xludf.DUMMYFUNCTION("""COMPUTED_VALUE"""),1.0)</f>
        <v>1</v>
      </c>
      <c r="I957" s="11">
        <f>IFERROR(__xludf.DUMMYFUNCTION("""COMPUTED_VALUE"""),568.0)</f>
        <v>568</v>
      </c>
      <c r="J957" s="9" t="str">
        <f>IFERROR(__xludf.DUMMYFUNCTION("""COMPUTED_VALUE"""),"UK")</f>
        <v>UK</v>
      </c>
      <c r="K957" s="8"/>
      <c r="L957" s="12"/>
      <c r="M957" s="13"/>
      <c r="N957" s="13" t="str">
        <f>IFERROR(__xludf.DUMMYFUNCTION("IF(ISBLANK(M957),"""",M957*GOOGLEFINANCE(""USDGBP""))"),"")</f>
        <v/>
      </c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</row>
    <row r="958">
      <c r="A958" s="8" t="str">
        <f>IFERROR(__xludf.DUMMYFUNCTION("""COMPUTED_VALUE"""),"101835020180600750")</f>
        <v>101835020180600750</v>
      </c>
      <c r="B958" s="9" t="str">
        <f>IFERROR(__xludf.DUMMYFUNCTION("""COMPUTED_VALUE"""),"France")</f>
        <v>France</v>
      </c>
      <c r="C958" s="9" t="str">
        <f>IFERROR(__xludf.DUMMYFUNCTION("""COMPUTED_VALUE"""),"burgundy")</f>
        <v>burgundy</v>
      </c>
      <c r="D958" s="9" t="str">
        <f>IFERROR(__xludf.DUMMYFUNCTION("""COMPUTED_VALUE"""),"Domaine Marquis d'Angerville, Volnay Premier Cru, Champans")</f>
        <v>Domaine Marquis d'Angerville, Volnay Premier Cru, Champans</v>
      </c>
      <c r="E958" s="9">
        <f>IFERROR(__xludf.DUMMYFUNCTION("""COMPUTED_VALUE"""),2018.0)</f>
        <v>2018</v>
      </c>
      <c r="F958" s="9">
        <f>IFERROR(__xludf.DUMMYFUNCTION("""COMPUTED_VALUE"""),750.0)</f>
        <v>750</v>
      </c>
      <c r="G958" s="9">
        <f>IFERROR(__xludf.DUMMYFUNCTION("""COMPUTED_VALUE"""),6.0)</f>
        <v>6</v>
      </c>
      <c r="H958" s="10">
        <f>IFERROR(__xludf.DUMMYFUNCTION("""COMPUTED_VALUE"""),3.0)</f>
        <v>3</v>
      </c>
      <c r="I958" s="11">
        <f>IFERROR(__xludf.DUMMYFUNCTION("""COMPUTED_VALUE"""),630.0)</f>
        <v>630</v>
      </c>
      <c r="J958" s="9" t="str">
        <f>IFERROR(__xludf.DUMMYFUNCTION("""COMPUTED_VALUE"""),"UK")</f>
        <v>UK</v>
      </c>
      <c r="K958" s="8"/>
      <c r="L958" s="12"/>
      <c r="M958" s="13"/>
      <c r="N958" s="13" t="str">
        <f>IFERROR(__xludf.DUMMYFUNCTION("IF(ISBLANK(M958),"""",M958*GOOGLEFINANCE(""USDGBP""))"),"")</f>
        <v/>
      </c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</row>
    <row r="959">
      <c r="A959" s="8" t="str">
        <f>IFERROR(__xludf.DUMMYFUNCTION("""COMPUTED_VALUE"""),"101837620170600750")</f>
        <v>101837620170600750</v>
      </c>
      <c r="B959" s="9" t="str">
        <f>IFERROR(__xludf.DUMMYFUNCTION("""COMPUTED_VALUE"""),"France")</f>
        <v>France</v>
      </c>
      <c r="C959" s="9" t="str">
        <f>IFERROR(__xludf.DUMMYFUNCTION("""COMPUTED_VALUE"""),"burgundy")</f>
        <v>burgundy</v>
      </c>
      <c r="D959" s="9" t="str">
        <f>IFERROR(__xludf.DUMMYFUNCTION("""COMPUTED_VALUE"""),"Domaine Marquis d'Angerville, Volnay Premier Cru, Clos des Ducs")</f>
        <v>Domaine Marquis d'Angerville, Volnay Premier Cru, Clos des Ducs</v>
      </c>
      <c r="E959" s="9">
        <f>IFERROR(__xludf.DUMMYFUNCTION("""COMPUTED_VALUE"""),2017.0)</f>
        <v>2017</v>
      </c>
      <c r="F959" s="9">
        <f>IFERROR(__xludf.DUMMYFUNCTION("""COMPUTED_VALUE"""),750.0)</f>
        <v>750</v>
      </c>
      <c r="G959" s="9">
        <f>IFERROR(__xludf.DUMMYFUNCTION("""COMPUTED_VALUE"""),6.0)</f>
        <v>6</v>
      </c>
      <c r="H959" s="10">
        <f>IFERROR(__xludf.DUMMYFUNCTION("""COMPUTED_VALUE"""),3.0)</f>
        <v>3</v>
      </c>
      <c r="I959" s="11">
        <f>IFERROR(__xludf.DUMMYFUNCTION("""COMPUTED_VALUE"""),986.0)</f>
        <v>986</v>
      </c>
      <c r="J959" s="9" t="str">
        <f>IFERROR(__xludf.DUMMYFUNCTION("""COMPUTED_VALUE"""),"UK")</f>
        <v>UK</v>
      </c>
      <c r="K959" s="8"/>
      <c r="L959" s="12"/>
      <c r="M959" s="13"/>
      <c r="N959" s="13" t="str">
        <f>IFERROR(__xludf.DUMMYFUNCTION("IF(ISBLANK(M959),"""",M959*GOOGLEFINANCE(""USDGBP""))"),"")</f>
        <v/>
      </c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</row>
    <row r="960">
      <c r="A960" s="8" t="str">
        <f>IFERROR(__xludf.DUMMYFUNCTION("""COMPUTED_VALUE"""),"101838920170600750")</f>
        <v>101838920170600750</v>
      </c>
      <c r="B960" s="9" t="str">
        <f>IFERROR(__xludf.DUMMYFUNCTION("""COMPUTED_VALUE"""),"France")</f>
        <v>France</v>
      </c>
      <c r="C960" s="9" t="str">
        <f>IFERROR(__xludf.DUMMYFUNCTION("""COMPUTED_VALUE"""),"burgundy")</f>
        <v>burgundy</v>
      </c>
      <c r="D960" s="9" t="str">
        <f>IFERROR(__xludf.DUMMYFUNCTION("""COMPUTED_VALUE"""),"Domaine Marquis d'Angerville, Volnay Premier Cru, Fremiets")</f>
        <v>Domaine Marquis d'Angerville, Volnay Premier Cru, Fremiets</v>
      </c>
      <c r="E960" s="9">
        <f>IFERROR(__xludf.DUMMYFUNCTION("""COMPUTED_VALUE"""),2017.0)</f>
        <v>2017</v>
      </c>
      <c r="F960" s="9">
        <f>IFERROR(__xludf.DUMMYFUNCTION("""COMPUTED_VALUE"""),750.0)</f>
        <v>750</v>
      </c>
      <c r="G960" s="9">
        <f>IFERROR(__xludf.DUMMYFUNCTION("""COMPUTED_VALUE"""),6.0)</f>
        <v>6</v>
      </c>
      <c r="H960" s="10">
        <f>IFERROR(__xludf.DUMMYFUNCTION("""COMPUTED_VALUE"""),2.0)</f>
        <v>2</v>
      </c>
      <c r="I960" s="11">
        <f>IFERROR(__xludf.DUMMYFUNCTION("""COMPUTED_VALUE"""),498.0)</f>
        <v>498</v>
      </c>
      <c r="J960" s="9" t="str">
        <f>IFERROR(__xludf.DUMMYFUNCTION("""COMPUTED_VALUE"""),"UK")</f>
        <v>UK</v>
      </c>
      <c r="K960" s="8"/>
      <c r="L960" s="12"/>
      <c r="M960" s="13"/>
      <c r="N960" s="13" t="str">
        <f>IFERROR(__xludf.DUMMYFUNCTION("IF(ISBLANK(M960),"""",M960*GOOGLEFINANCE(""USDGBP""))"),"")</f>
        <v/>
      </c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</row>
    <row r="961">
      <c r="A961" s="8" t="str">
        <f>IFERROR(__xludf.DUMMYFUNCTION("""COMPUTED_VALUE"""),"101838920180600750")</f>
        <v>101838920180600750</v>
      </c>
      <c r="B961" s="9" t="str">
        <f>IFERROR(__xludf.DUMMYFUNCTION("""COMPUTED_VALUE"""),"France")</f>
        <v>France</v>
      </c>
      <c r="C961" s="9" t="str">
        <f>IFERROR(__xludf.DUMMYFUNCTION("""COMPUTED_VALUE"""),"burgundy")</f>
        <v>burgundy</v>
      </c>
      <c r="D961" s="9" t="str">
        <f>IFERROR(__xludf.DUMMYFUNCTION("""COMPUTED_VALUE"""),"Domaine Marquis d'Angerville, Volnay Premier Cru, Fremiets")</f>
        <v>Domaine Marquis d'Angerville, Volnay Premier Cru, Fremiets</v>
      </c>
      <c r="E961" s="9">
        <f>IFERROR(__xludf.DUMMYFUNCTION("""COMPUTED_VALUE"""),2018.0)</f>
        <v>2018</v>
      </c>
      <c r="F961" s="9">
        <f>IFERROR(__xludf.DUMMYFUNCTION("""COMPUTED_VALUE"""),750.0)</f>
        <v>750</v>
      </c>
      <c r="G961" s="9">
        <f>IFERROR(__xludf.DUMMYFUNCTION("""COMPUTED_VALUE"""),6.0)</f>
        <v>6</v>
      </c>
      <c r="H961" s="10">
        <f>IFERROR(__xludf.DUMMYFUNCTION("""COMPUTED_VALUE"""),7.0)</f>
        <v>7</v>
      </c>
      <c r="I961" s="11">
        <f>IFERROR(__xludf.DUMMYFUNCTION("""COMPUTED_VALUE"""),521.0)</f>
        <v>521</v>
      </c>
      <c r="J961" s="9" t="str">
        <f>IFERROR(__xludf.DUMMYFUNCTION("""COMPUTED_VALUE"""),"UK")</f>
        <v>UK</v>
      </c>
      <c r="K961" s="8"/>
      <c r="L961" s="12"/>
      <c r="M961" s="13"/>
      <c r="N961" s="13" t="str">
        <f>IFERROR(__xludf.DUMMYFUNCTION("IF(ISBLANK(M961),"""",M961*GOOGLEFINANCE(""USDGBP""))"),"")</f>
        <v/>
      </c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</row>
    <row r="962">
      <c r="A962" s="8" t="str">
        <f>IFERROR(__xludf.DUMMYFUNCTION("""COMPUTED_VALUE"""),"101833420170600750")</f>
        <v>101833420170600750</v>
      </c>
      <c r="B962" s="9" t="str">
        <f>IFERROR(__xludf.DUMMYFUNCTION("""COMPUTED_VALUE"""),"France")</f>
        <v>France</v>
      </c>
      <c r="C962" s="9" t="str">
        <f>IFERROR(__xludf.DUMMYFUNCTION("""COMPUTED_VALUE"""),"burgundy")</f>
        <v>burgundy</v>
      </c>
      <c r="D962" s="9" t="str">
        <f>IFERROR(__xludf.DUMMYFUNCTION("""COMPUTED_VALUE"""),"Domaine Marquis d'Angerville, Volnay Premier Cru, Les Angles")</f>
        <v>Domaine Marquis d'Angerville, Volnay Premier Cru, Les Angles</v>
      </c>
      <c r="E962" s="9">
        <f>IFERROR(__xludf.DUMMYFUNCTION("""COMPUTED_VALUE"""),2017.0)</f>
        <v>2017</v>
      </c>
      <c r="F962" s="9">
        <f>IFERROR(__xludf.DUMMYFUNCTION("""COMPUTED_VALUE"""),750.0)</f>
        <v>750</v>
      </c>
      <c r="G962" s="9">
        <f>IFERROR(__xludf.DUMMYFUNCTION("""COMPUTED_VALUE"""),6.0)</f>
        <v>6</v>
      </c>
      <c r="H962" s="10">
        <f>IFERROR(__xludf.DUMMYFUNCTION("""COMPUTED_VALUE"""),1.0)</f>
        <v>1</v>
      </c>
      <c r="I962" s="11">
        <f>IFERROR(__xludf.DUMMYFUNCTION("""COMPUTED_VALUE"""),479.0)</f>
        <v>479</v>
      </c>
      <c r="J962" s="9" t="str">
        <f>IFERROR(__xludf.DUMMYFUNCTION("""COMPUTED_VALUE"""),"UK")</f>
        <v>UK</v>
      </c>
      <c r="K962" s="8"/>
      <c r="L962" s="12"/>
      <c r="M962" s="13"/>
      <c r="N962" s="13" t="str">
        <f>IFERROR(__xludf.DUMMYFUNCTION("IF(ISBLANK(M962),"""",M962*GOOGLEFINANCE(""USDGBP""))"),"")</f>
        <v/>
      </c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</row>
    <row r="963">
      <c r="A963" s="8" t="str">
        <f>IFERROR(__xludf.DUMMYFUNCTION("""COMPUTED_VALUE"""),"101834720160600750")</f>
        <v>101834720160600750</v>
      </c>
      <c r="B963" s="9" t="str">
        <f>IFERROR(__xludf.DUMMYFUNCTION("""COMPUTED_VALUE"""),"France")</f>
        <v>France</v>
      </c>
      <c r="C963" s="9" t="str">
        <f>IFERROR(__xludf.DUMMYFUNCTION("""COMPUTED_VALUE"""),"burgundy")</f>
        <v>burgundy</v>
      </c>
      <c r="D963" s="9" t="str">
        <f>IFERROR(__xludf.DUMMYFUNCTION("""COMPUTED_VALUE"""),"Domaine Marquis d'Angerville, Volnay Premier Cru, Les Caillerets")</f>
        <v>Domaine Marquis d'Angerville, Volnay Premier Cru, Les Caillerets</v>
      </c>
      <c r="E963" s="9">
        <f>IFERROR(__xludf.DUMMYFUNCTION("""COMPUTED_VALUE"""),2016.0)</f>
        <v>2016</v>
      </c>
      <c r="F963" s="9">
        <f>IFERROR(__xludf.DUMMYFUNCTION("""COMPUTED_VALUE"""),750.0)</f>
        <v>750</v>
      </c>
      <c r="G963" s="9">
        <f>IFERROR(__xludf.DUMMYFUNCTION("""COMPUTED_VALUE"""),6.0)</f>
        <v>6</v>
      </c>
      <c r="H963" s="10">
        <f>IFERROR(__xludf.DUMMYFUNCTION("""COMPUTED_VALUE"""),1.0)</f>
        <v>1</v>
      </c>
      <c r="I963" s="11">
        <f>IFERROR(__xludf.DUMMYFUNCTION("""COMPUTED_VALUE"""),798.0)</f>
        <v>798</v>
      </c>
      <c r="J963" s="9" t="str">
        <f>IFERROR(__xludf.DUMMYFUNCTION("""COMPUTED_VALUE"""),"UK")</f>
        <v>UK</v>
      </c>
      <c r="K963" s="8"/>
      <c r="L963" s="12"/>
      <c r="M963" s="13"/>
      <c r="N963" s="13" t="str">
        <f>IFERROR(__xludf.DUMMYFUNCTION("IF(ISBLANK(M963),"""",M963*GOOGLEFINANCE(""USDGBP""))"),"")</f>
        <v/>
      </c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</row>
    <row r="964">
      <c r="A964" s="8" t="str">
        <f>IFERROR(__xludf.DUMMYFUNCTION("""COMPUTED_VALUE"""),"101840620110600750")</f>
        <v>101840620110600750</v>
      </c>
      <c r="B964" s="9" t="str">
        <f>IFERROR(__xludf.DUMMYFUNCTION("""COMPUTED_VALUE"""),"France")</f>
        <v>France</v>
      </c>
      <c r="C964" s="9" t="str">
        <f>IFERROR(__xludf.DUMMYFUNCTION("""COMPUTED_VALUE"""),"burgundy")</f>
        <v>burgundy</v>
      </c>
      <c r="D964" s="9" t="str">
        <f>IFERROR(__xludf.DUMMYFUNCTION("""COMPUTED_VALUE"""),"Domaine Marquis d'Angerville, Volnay Premier Cru, Taillepieds")</f>
        <v>Domaine Marquis d'Angerville, Volnay Premier Cru, Taillepieds</v>
      </c>
      <c r="E964" s="9">
        <f>IFERROR(__xludf.DUMMYFUNCTION("""COMPUTED_VALUE"""),2011.0)</f>
        <v>2011</v>
      </c>
      <c r="F964" s="9">
        <f>IFERROR(__xludf.DUMMYFUNCTION("""COMPUTED_VALUE"""),750.0)</f>
        <v>750</v>
      </c>
      <c r="G964" s="9">
        <f>IFERROR(__xludf.DUMMYFUNCTION("""COMPUTED_VALUE"""),6.0)</f>
        <v>6</v>
      </c>
      <c r="H964" s="10">
        <f>IFERROR(__xludf.DUMMYFUNCTION("""COMPUTED_VALUE"""),1.0)</f>
        <v>1</v>
      </c>
      <c r="I964" s="11">
        <f>IFERROR(__xludf.DUMMYFUNCTION("""COMPUTED_VALUE"""),673.0)</f>
        <v>673</v>
      </c>
      <c r="J964" s="9" t="str">
        <f>IFERROR(__xludf.DUMMYFUNCTION("""COMPUTED_VALUE"""),"UK")</f>
        <v>UK</v>
      </c>
      <c r="K964" s="8"/>
      <c r="L964" s="12"/>
      <c r="M964" s="13"/>
      <c r="N964" s="13" t="str">
        <f>IFERROR(__xludf.DUMMYFUNCTION("IF(ISBLANK(M964),"""",M964*GOOGLEFINANCE(""USDGBP""))"),"")</f>
        <v/>
      </c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</row>
    <row r="965">
      <c r="A965" s="8" t="str">
        <f>IFERROR(__xludf.DUMMYFUNCTION("""COMPUTED_VALUE"""),"112422020180600750")</f>
        <v>112422020180600750</v>
      </c>
      <c r="B965" s="9" t="str">
        <f>IFERROR(__xludf.DUMMYFUNCTION("""COMPUTED_VALUE"""),"France")</f>
        <v>France</v>
      </c>
      <c r="C965" s="9" t="str">
        <f>IFERROR(__xludf.DUMMYFUNCTION("""COMPUTED_VALUE"""),"burgundy")</f>
        <v>burgundy</v>
      </c>
      <c r="D965" s="9" t="str">
        <f>IFERROR(__xludf.DUMMYFUNCTION("""COMPUTED_VALUE"""),"Domaine Meo Camuzet, Corton Grand Cru, Les Perrieres")</f>
        <v>Domaine Meo Camuzet, Corton Grand Cru, Les Perrieres</v>
      </c>
      <c r="E965" s="9">
        <f>IFERROR(__xludf.DUMMYFUNCTION("""COMPUTED_VALUE"""),2018.0)</f>
        <v>2018</v>
      </c>
      <c r="F965" s="9">
        <f>IFERROR(__xludf.DUMMYFUNCTION("""COMPUTED_VALUE"""),750.0)</f>
        <v>750</v>
      </c>
      <c r="G965" s="9">
        <f>IFERROR(__xludf.DUMMYFUNCTION("""COMPUTED_VALUE"""),6.0)</f>
        <v>6</v>
      </c>
      <c r="H965" s="10">
        <f>IFERROR(__xludf.DUMMYFUNCTION("""COMPUTED_VALUE"""),1.0)</f>
        <v>1</v>
      </c>
      <c r="I965" s="11">
        <f>IFERROR(__xludf.DUMMYFUNCTION("""COMPUTED_VALUE"""),1396.0)</f>
        <v>1396</v>
      </c>
      <c r="J965" s="9" t="str">
        <f>IFERROR(__xludf.DUMMYFUNCTION("""COMPUTED_VALUE"""),"UK")</f>
        <v>UK</v>
      </c>
      <c r="K965" s="8"/>
      <c r="L965" s="12"/>
      <c r="M965" s="13"/>
      <c r="N965" s="13" t="str">
        <f>IFERROR(__xludf.DUMMYFUNCTION("IF(ISBLANK(M965),"""",M965*GOOGLEFINANCE(""USDGBP""))"),"")</f>
        <v/>
      </c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</row>
    <row r="966">
      <c r="A966" s="8" t="str">
        <f>IFERROR(__xludf.DUMMYFUNCTION("""COMPUTED_VALUE"""),"104682720180600750")</f>
        <v>104682720180600750</v>
      </c>
      <c r="B966" s="9" t="str">
        <f>IFERROR(__xludf.DUMMYFUNCTION("""COMPUTED_VALUE"""),"France")</f>
        <v>France</v>
      </c>
      <c r="C966" s="9" t="str">
        <f>IFERROR(__xludf.DUMMYFUNCTION("""COMPUTED_VALUE"""),"burgundy")</f>
        <v>burgundy</v>
      </c>
      <c r="D966" s="9" t="str">
        <f>IFERROR(__xludf.DUMMYFUNCTION("""COMPUTED_VALUE"""),"Domaine Meo Camuzet, Nuits-Saint-Georges Premier Cru, Aux Boudots")</f>
        <v>Domaine Meo Camuzet, Nuits-Saint-Georges Premier Cru, Aux Boudots</v>
      </c>
      <c r="E966" s="9">
        <f>IFERROR(__xludf.DUMMYFUNCTION("""COMPUTED_VALUE"""),2018.0)</f>
        <v>2018</v>
      </c>
      <c r="F966" s="9">
        <f>IFERROR(__xludf.DUMMYFUNCTION("""COMPUTED_VALUE"""),750.0)</f>
        <v>750</v>
      </c>
      <c r="G966" s="9">
        <f>IFERROR(__xludf.DUMMYFUNCTION("""COMPUTED_VALUE"""),6.0)</f>
        <v>6</v>
      </c>
      <c r="H966" s="10">
        <f>IFERROR(__xludf.DUMMYFUNCTION("""COMPUTED_VALUE"""),1.0)</f>
        <v>1</v>
      </c>
      <c r="I966" s="11">
        <f>IFERROR(__xludf.DUMMYFUNCTION("""COMPUTED_VALUE"""),991.0)</f>
        <v>991</v>
      </c>
      <c r="J966" s="9" t="str">
        <f>IFERROR(__xludf.DUMMYFUNCTION("""COMPUTED_VALUE"""),"UK")</f>
        <v>UK</v>
      </c>
      <c r="K966" s="8"/>
      <c r="L966" s="12"/>
      <c r="M966" s="13"/>
      <c r="N966" s="13" t="str">
        <f>IFERROR(__xludf.DUMMYFUNCTION("IF(ISBLANK(M966),"""",M966*GOOGLEFINANCE(""USDGBP""))"),"")</f>
        <v/>
      </c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</row>
    <row r="967">
      <c r="A967" s="8" t="str">
        <f>IFERROR(__xludf.DUMMYFUNCTION("""COMPUTED_VALUE"""),"104683020190600750")</f>
        <v>104683020190600750</v>
      </c>
      <c r="B967" s="9" t="str">
        <f>IFERROR(__xludf.DUMMYFUNCTION("""COMPUTED_VALUE"""),"France")</f>
        <v>France</v>
      </c>
      <c r="C967" s="9" t="str">
        <f>IFERROR(__xludf.DUMMYFUNCTION("""COMPUTED_VALUE"""),"burgundy")</f>
        <v>burgundy</v>
      </c>
      <c r="D967" s="9" t="str">
        <f>IFERROR(__xludf.DUMMYFUNCTION("""COMPUTED_VALUE"""),"Domaine Meo Camuzet, Nuits-Saint-Georges Premier Cru, Aux Murgers")</f>
        <v>Domaine Meo Camuzet, Nuits-Saint-Georges Premier Cru, Aux Murgers</v>
      </c>
      <c r="E967" s="9">
        <f>IFERROR(__xludf.DUMMYFUNCTION("""COMPUTED_VALUE"""),2019.0)</f>
        <v>2019</v>
      </c>
      <c r="F967" s="9">
        <f>IFERROR(__xludf.DUMMYFUNCTION("""COMPUTED_VALUE"""),750.0)</f>
        <v>750</v>
      </c>
      <c r="G967" s="9">
        <f>IFERROR(__xludf.DUMMYFUNCTION("""COMPUTED_VALUE"""),6.0)</f>
        <v>6</v>
      </c>
      <c r="H967" s="10">
        <f>IFERROR(__xludf.DUMMYFUNCTION("""COMPUTED_VALUE"""),1.0)</f>
        <v>1</v>
      </c>
      <c r="I967" s="11">
        <f>IFERROR(__xludf.DUMMYFUNCTION("""COMPUTED_VALUE"""),1028.0)</f>
        <v>1028</v>
      </c>
      <c r="J967" s="9" t="str">
        <f>IFERROR(__xludf.DUMMYFUNCTION("""COMPUTED_VALUE"""),"UK")</f>
        <v>UK</v>
      </c>
      <c r="K967" s="8"/>
      <c r="L967" s="12"/>
      <c r="M967" s="13"/>
      <c r="N967" s="13" t="str">
        <f>IFERROR(__xludf.DUMMYFUNCTION("IF(ISBLANK(M967),"""",M967*GOOGLEFINANCE(""USDGBP""))"),"")</f>
        <v/>
      </c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</row>
    <row r="968">
      <c r="A968" s="8" t="str">
        <f>IFERROR(__xludf.DUMMYFUNCTION("""COMPUTED_VALUE"""),"104690220170600750")</f>
        <v>104690220170600750</v>
      </c>
      <c r="B968" s="9" t="str">
        <f>IFERROR(__xludf.DUMMYFUNCTION("""COMPUTED_VALUE"""),"France")</f>
        <v>France</v>
      </c>
      <c r="C968" s="9" t="str">
        <f>IFERROR(__xludf.DUMMYFUNCTION("""COMPUTED_VALUE"""),"burgundy")</f>
        <v>burgundy</v>
      </c>
      <c r="D968" s="9" t="str">
        <f>IFERROR(__xludf.DUMMYFUNCTION("""COMPUTED_VALUE"""),"Domaine Meo Camuzet, Vosne-Romanee Premier Cru, Aux Brulees")</f>
        <v>Domaine Meo Camuzet, Vosne-Romanee Premier Cru, Aux Brulees</v>
      </c>
      <c r="E968" s="9">
        <f>IFERROR(__xludf.DUMMYFUNCTION("""COMPUTED_VALUE"""),2017.0)</f>
        <v>2017</v>
      </c>
      <c r="F968" s="9">
        <f>IFERROR(__xludf.DUMMYFUNCTION("""COMPUTED_VALUE"""),750.0)</f>
        <v>750</v>
      </c>
      <c r="G968" s="9">
        <f>IFERROR(__xludf.DUMMYFUNCTION("""COMPUTED_VALUE"""),6.0)</f>
        <v>6</v>
      </c>
      <c r="H968" s="10">
        <f>IFERROR(__xludf.DUMMYFUNCTION("""COMPUTED_VALUE"""),1.0)</f>
        <v>1</v>
      </c>
      <c r="I968" s="11">
        <f>IFERROR(__xludf.DUMMYFUNCTION("""COMPUTED_VALUE"""),3617.0)</f>
        <v>3617</v>
      </c>
      <c r="J968" s="9" t="str">
        <f>IFERROR(__xludf.DUMMYFUNCTION("""COMPUTED_VALUE"""),"UK")</f>
        <v>UK</v>
      </c>
      <c r="K968" s="8"/>
      <c r="L968" s="12"/>
      <c r="M968" s="13"/>
      <c r="N968" s="13" t="str">
        <f>IFERROR(__xludf.DUMMYFUNCTION("IF(ISBLANK(M968),"""",M968*GOOGLEFINANCE(""USDGBP""))"),"")</f>
        <v/>
      </c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</row>
    <row r="969">
      <c r="A969" s="8" t="str">
        <f>IFERROR(__xludf.DUMMYFUNCTION("""COMPUTED_VALUE"""),"104690220180300750")</f>
        <v>104690220180300750</v>
      </c>
      <c r="B969" s="9" t="str">
        <f>IFERROR(__xludf.DUMMYFUNCTION("""COMPUTED_VALUE"""),"France")</f>
        <v>France</v>
      </c>
      <c r="C969" s="9" t="str">
        <f>IFERROR(__xludf.DUMMYFUNCTION("""COMPUTED_VALUE"""),"burgundy")</f>
        <v>burgundy</v>
      </c>
      <c r="D969" s="9" t="str">
        <f>IFERROR(__xludf.DUMMYFUNCTION("""COMPUTED_VALUE"""),"Domaine Meo Camuzet, Vosne-Romanee Premier Cru, Aux Brulees")</f>
        <v>Domaine Meo Camuzet, Vosne-Romanee Premier Cru, Aux Brulees</v>
      </c>
      <c r="E969" s="9">
        <f>IFERROR(__xludf.DUMMYFUNCTION("""COMPUTED_VALUE"""),2018.0)</f>
        <v>2018</v>
      </c>
      <c r="F969" s="9">
        <f>IFERROR(__xludf.DUMMYFUNCTION("""COMPUTED_VALUE"""),750.0)</f>
        <v>750</v>
      </c>
      <c r="G969" s="9">
        <f>IFERROR(__xludf.DUMMYFUNCTION("""COMPUTED_VALUE"""),3.0)</f>
        <v>3</v>
      </c>
      <c r="H969" s="10">
        <f>IFERROR(__xludf.DUMMYFUNCTION("""COMPUTED_VALUE"""),1.0)</f>
        <v>1</v>
      </c>
      <c r="I969" s="11">
        <f>IFERROR(__xludf.DUMMYFUNCTION("""COMPUTED_VALUE"""),1721.0)</f>
        <v>1721</v>
      </c>
      <c r="J969" s="9" t="str">
        <f>IFERROR(__xludf.DUMMYFUNCTION("""COMPUTED_VALUE"""),"UK")</f>
        <v>UK</v>
      </c>
      <c r="K969" s="8"/>
      <c r="L969" s="12"/>
      <c r="M969" s="13"/>
      <c r="N969" s="13" t="str">
        <f>IFERROR(__xludf.DUMMYFUNCTION("IF(ISBLANK(M969),"""",M969*GOOGLEFINANCE(""USDGBP""))"),"")</f>
        <v/>
      </c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</row>
    <row r="970">
      <c r="A970" s="8" t="str">
        <f>IFERROR(__xludf.DUMMYFUNCTION("""COMPUTED_VALUE"""),"112482620190600750")</f>
        <v>112482620190600750</v>
      </c>
      <c r="B970" s="9" t="str">
        <f>IFERROR(__xludf.DUMMYFUNCTION("""COMPUTED_VALUE"""),"France")</f>
        <v>France</v>
      </c>
      <c r="C970" s="9" t="str">
        <f>IFERROR(__xludf.DUMMYFUNCTION("""COMPUTED_VALUE"""),"burgundy")</f>
        <v>burgundy</v>
      </c>
      <c r="D970" s="9" t="str">
        <f>IFERROR(__xludf.DUMMYFUNCTION("""COMPUTED_VALUE"""),"Domaine Michel Gros, Nuits-Saint-Georges Premier Cru")</f>
        <v>Domaine Michel Gros, Nuits-Saint-Georges Premier Cru</v>
      </c>
      <c r="E970" s="9">
        <f>IFERROR(__xludf.DUMMYFUNCTION("""COMPUTED_VALUE"""),2019.0)</f>
        <v>2019</v>
      </c>
      <c r="F970" s="9">
        <f>IFERROR(__xludf.DUMMYFUNCTION("""COMPUTED_VALUE"""),750.0)</f>
        <v>750</v>
      </c>
      <c r="G970" s="9">
        <f>IFERROR(__xludf.DUMMYFUNCTION("""COMPUTED_VALUE"""),6.0)</f>
        <v>6</v>
      </c>
      <c r="H970" s="10">
        <f>IFERROR(__xludf.DUMMYFUNCTION("""COMPUTED_VALUE"""),1.0)</f>
        <v>1</v>
      </c>
      <c r="I970" s="11">
        <f>IFERROR(__xludf.DUMMYFUNCTION("""COMPUTED_VALUE"""),780.0)</f>
        <v>780</v>
      </c>
      <c r="J970" s="9" t="str">
        <f>IFERROR(__xludf.DUMMYFUNCTION("""COMPUTED_VALUE"""),"UK")</f>
        <v>UK</v>
      </c>
      <c r="K970" s="8"/>
      <c r="L970" s="12"/>
      <c r="M970" s="13"/>
      <c r="N970" s="13" t="str">
        <f>IFERROR(__xludf.DUMMYFUNCTION("IF(ISBLANK(M970),"""",M970*GOOGLEFINANCE(""USDGBP""))"),"")</f>
        <v/>
      </c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</row>
    <row r="971">
      <c r="A971" s="8" t="str">
        <f>IFERROR(__xludf.DUMMYFUNCTION("""COMPUTED_VALUE"""),"103656120161200750")</f>
        <v>103656120161200750</v>
      </c>
      <c r="B971" s="9" t="str">
        <f>IFERROR(__xludf.DUMMYFUNCTION("""COMPUTED_VALUE"""),"France")</f>
        <v>France</v>
      </c>
      <c r="C971" s="9" t="str">
        <f>IFERROR(__xludf.DUMMYFUNCTION("""COMPUTED_VALUE"""),"burgundy")</f>
        <v>burgundy</v>
      </c>
      <c r="D971" s="9" t="str">
        <f>IFERROR(__xludf.DUMMYFUNCTION("""COMPUTED_VALUE"""),"Domaine Michel Gros, Vosne-Romanee Premier Cru, Clos des Reas")</f>
        <v>Domaine Michel Gros, Vosne-Romanee Premier Cru, Clos des Reas</v>
      </c>
      <c r="E971" s="9">
        <f>IFERROR(__xludf.DUMMYFUNCTION("""COMPUTED_VALUE"""),2016.0)</f>
        <v>2016</v>
      </c>
      <c r="F971" s="9">
        <f>IFERROR(__xludf.DUMMYFUNCTION("""COMPUTED_VALUE"""),750.0)</f>
        <v>750</v>
      </c>
      <c r="G971" s="9">
        <f>IFERROR(__xludf.DUMMYFUNCTION("""COMPUTED_VALUE"""),12.0)</f>
        <v>12</v>
      </c>
      <c r="H971" s="10">
        <f>IFERROR(__xludf.DUMMYFUNCTION("""COMPUTED_VALUE"""),1.0)</f>
        <v>1</v>
      </c>
      <c r="I971" s="11">
        <f>IFERROR(__xludf.DUMMYFUNCTION("""COMPUTED_VALUE"""),1724.0)</f>
        <v>1724</v>
      </c>
      <c r="J971" s="9" t="str">
        <f>IFERROR(__xludf.DUMMYFUNCTION("""COMPUTED_VALUE"""),"UK")</f>
        <v>UK</v>
      </c>
      <c r="K971" s="8"/>
      <c r="L971" s="12"/>
      <c r="M971" s="13"/>
      <c r="N971" s="13" t="str">
        <f>IFERROR(__xludf.DUMMYFUNCTION("IF(ISBLANK(M971),"""",M971*GOOGLEFINANCE(""USDGBP""))"),"")</f>
        <v/>
      </c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</row>
    <row r="972">
      <c r="A972" s="8" t="str">
        <f>IFERROR(__xludf.DUMMYFUNCTION("""COMPUTED_VALUE"""),"103656120170600750")</f>
        <v>103656120170600750</v>
      </c>
      <c r="B972" s="9" t="str">
        <f>IFERROR(__xludf.DUMMYFUNCTION("""COMPUTED_VALUE"""),"France")</f>
        <v>France</v>
      </c>
      <c r="C972" s="9" t="str">
        <f>IFERROR(__xludf.DUMMYFUNCTION("""COMPUTED_VALUE"""),"burgundy")</f>
        <v>burgundy</v>
      </c>
      <c r="D972" s="9" t="str">
        <f>IFERROR(__xludf.DUMMYFUNCTION("""COMPUTED_VALUE"""),"Domaine Michel Gros, Vosne-Romanee Premier Cru, Clos des Reas")</f>
        <v>Domaine Michel Gros, Vosne-Romanee Premier Cru, Clos des Reas</v>
      </c>
      <c r="E972" s="9">
        <f>IFERROR(__xludf.DUMMYFUNCTION("""COMPUTED_VALUE"""),2017.0)</f>
        <v>2017</v>
      </c>
      <c r="F972" s="9">
        <f>IFERROR(__xludf.DUMMYFUNCTION("""COMPUTED_VALUE"""),750.0)</f>
        <v>750</v>
      </c>
      <c r="G972" s="9">
        <f>IFERROR(__xludf.DUMMYFUNCTION("""COMPUTED_VALUE"""),6.0)</f>
        <v>6</v>
      </c>
      <c r="H972" s="10">
        <f>IFERROR(__xludf.DUMMYFUNCTION("""COMPUTED_VALUE"""),2.0)</f>
        <v>2</v>
      </c>
      <c r="I972" s="11">
        <f>IFERROR(__xludf.DUMMYFUNCTION("""COMPUTED_VALUE"""),690.0)</f>
        <v>690</v>
      </c>
      <c r="J972" s="9" t="str">
        <f>IFERROR(__xludf.DUMMYFUNCTION("""COMPUTED_VALUE"""),"UK")</f>
        <v>UK</v>
      </c>
      <c r="K972" s="8"/>
      <c r="L972" s="12"/>
      <c r="M972" s="13"/>
      <c r="N972" s="13" t="str">
        <f>IFERROR(__xludf.DUMMYFUNCTION("IF(ISBLANK(M972),"""",M972*GOOGLEFINANCE(""USDGBP""))"),"")</f>
        <v/>
      </c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</row>
    <row r="973">
      <c r="A973" s="8" t="str">
        <f>IFERROR(__xludf.DUMMYFUNCTION("""COMPUTED_VALUE"""),"103656120180600750")</f>
        <v>103656120180600750</v>
      </c>
      <c r="B973" s="9" t="str">
        <f>IFERROR(__xludf.DUMMYFUNCTION("""COMPUTED_VALUE"""),"France")</f>
        <v>France</v>
      </c>
      <c r="C973" s="9" t="str">
        <f>IFERROR(__xludf.DUMMYFUNCTION("""COMPUTED_VALUE"""),"burgundy")</f>
        <v>burgundy</v>
      </c>
      <c r="D973" s="9" t="str">
        <f>IFERROR(__xludf.DUMMYFUNCTION("""COMPUTED_VALUE"""),"Domaine Michel Gros, Vosne-Romanee Premier Cru, Clos des Reas")</f>
        <v>Domaine Michel Gros, Vosne-Romanee Premier Cru, Clos des Reas</v>
      </c>
      <c r="E973" s="9">
        <f>IFERROR(__xludf.DUMMYFUNCTION("""COMPUTED_VALUE"""),2018.0)</f>
        <v>2018</v>
      </c>
      <c r="F973" s="9">
        <f>IFERROR(__xludf.DUMMYFUNCTION("""COMPUTED_VALUE"""),750.0)</f>
        <v>750</v>
      </c>
      <c r="G973" s="9">
        <f>IFERROR(__xludf.DUMMYFUNCTION("""COMPUTED_VALUE"""),6.0)</f>
        <v>6</v>
      </c>
      <c r="H973" s="10">
        <f>IFERROR(__xludf.DUMMYFUNCTION("""COMPUTED_VALUE"""),2.0)</f>
        <v>2</v>
      </c>
      <c r="I973" s="11">
        <f>IFERROR(__xludf.DUMMYFUNCTION("""COMPUTED_VALUE"""),749.0)</f>
        <v>749</v>
      </c>
      <c r="J973" s="9" t="str">
        <f>IFERROR(__xludf.DUMMYFUNCTION("""COMPUTED_VALUE"""),"UK")</f>
        <v>UK</v>
      </c>
      <c r="K973" s="8"/>
      <c r="L973" s="12"/>
      <c r="M973" s="13"/>
      <c r="N973" s="13" t="str">
        <f>IFERROR(__xludf.DUMMYFUNCTION("IF(ISBLANK(M973),"""",M973*GOOGLEFINANCE(""USDGBP""))"),"")</f>
        <v/>
      </c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</row>
    <row r="974">
      <c r="A974" s="8" t="str">
        <f>IFERROR(__xludf.DUMMYFUNCTION("""COMPUTED_VALUE"""),"103986520160600750")</f>
        <v>103986520160600750</v>
      </c>
      <c r="B974" s="9" t="str">
        <f>IFERROR(__xludf.DUMMYFUNCTION("""COMPUTED_VALUE"""),"France")</f>
        <v>France</v>
      </c>
      <c r="C974" s="9" t="str">
        <f>IFERROR(__xludf.DUMMYFUNCTION("""COMPUTED_VALUE"""),"burgundy")</f>
        <v>burgundy</v>
      </c>
      <c r="D974" s="9" t="str">
        <f>IFERROR(__xludf.DUMMYFUNCTION("""COMPUTED_VALUE"""),"Domaine Michel Lafarge, Beaune Premier Cru, Les Aigrots Rouge")</f>
        <v>Domaine Michel Lafarge, Beaune Premier Cru, Les Aigrots Rouge</v>
      </c>
      <c r="E974" s="9">
        <f>IFERROR(__xludf.DUMMYFUNCTION("""COMPUTED_VALUE"""),2016.0)</f>
        <v>2016</v>
      </c>
      <c r="F974" s="9">
        <f>IFERROR(__xludf.DUMMYFUNCTION("""COMPUTED_VALUE"""),750.0)</f>
        <v>750</v>
      </c>
      <c r="G974" s="9">
        <f>IFERROR(__xludf.DUMMYFUNCTION("""COMPUTED_VALUE"""),6.0)</f>
        <v>6</v>
      </c>
      <c r="H974" s="10">
        <f>IFERROR(__xludf.DUMMYFUNCTION("""COMPUTED_VALUE"""),1.0)</f>
        <v>1</v>
      </c>
      <c r="I974" s="11">
        <f>IFERROR(__xludf.DUMMYFUNCTION("""COMPUTED_VALUE"""),363.0)</f>
        <v>363</v>
      </c>
      <c r="J974" s="9" t="str">
        <f>IFERROR(__xludf.DUMMYFUNCTION("""COMPUTED_VALUE"""),"UK")</f>
        <v>UK</v>
      </c>
      <c r="K974" s="8"/>
      <c r="L974" s="12"/>
      <c r="M974" s="13"/>
      <c r="N974" s="13" t="str">
        <f>IFERROR(__xludf.DUMMYFUNCTION("IF(ISBLANK(M974),"""",M974*GOOGLEFINANCE(""USDGBP""))"),"")</f>
        <v/>
      </c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</row>
    <row r="975">
      <c r="A975" s="8" t="str">
        <f>IFERROR(__xludf.DUMMYFUNCTION("""COMPUTED_VALUE"""),"104000120141200750")</f>
        <v>104000120141200750</v>
      </c>
      <c r="B975" s="9" t="str">
        <f>IFERROR(__xludf.DUMMYFUNCTION("""COMPUTED_VALUE"""),"France")</f>
        <v>France</v>
      </c>
      <c r="C975" s="9" t="str">
        <f>IFERROR(__xludf.DUMMYFUNCTION("""COMPUTED_VALUE"""),"burgundy")</f>
        <v>burgundy</v>
      </c>
      <c r="D975" s="9" t="str">
        <f>IFERROR(__xludf.DUMMYFUNCTION("""COMPUTED_VALUE"""),"Domaine Michel Lafarge, Volnay, Vendanges Selectionnees")</f>
        <v>Domaine Michel Lafarge, Volnay, Vendanges Selectionnees</v>
      </c>
      <c r="E975" s="9">
        <f>IFERROR(__xludf.DUMMYFUNCTION("""COMPUTED_VALUE"""),2014.0)</f>
        <v>2014</v>
      </c>
      <c r="F975" s="9">
        <f>IFERROR(__xludf.DUMMYFUNCTION("""COMPUTED_VALUE"""),750.0)</f>
        <v>750</v>
      </c>
      <c r="G975" s="9">
        <f>IFERROR(__xludf.DUMMYFUNCTION("""COMPUTED_VALUE"""),12.0)</f>
        <v>12</v>
      </c>
      <c r="H975" s="10">
        <f>IFERROR(__xludf.DUMMYFUNCTION("""COMPUTED_VALUE"""),1.0)</f>
        <v>1</v>
      </c>
      <c r="I975" s="11">
        <f>IFERROR(__xludf.DUMMYFUNCTION("""COMPUTED_VALUE"""),815.0)</f>
        <v>815</v>
      </c>
      <c r="J975" s="9" t="str">
        <f>IFERROR(__xludf.DUMMYFUNCTION("""COMPUTED_VALUE"""),"UK")</f>
        <v>UK</v>
      </c>
      <c r="K975" s="8"/>
      <c r="L975" s="12"/>
      <c r="M975" s="13"/>
      <c r="N975" s="13" t="str">
        <f>IFERROR(__xludf.DUMMYFUNCTION("IF(ISBLANK(M975),"""",M975*GOOGLEFINANCE(""USDGBP""))"),"")</f>
        <v/>
      </c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</row>
    <row r="976">
      <c r="A976" s="8" t="str">
        <f>IFERROR(__xludf.DUMMYFUNCTION("""COMPUTED_VALUE"""),"104591820210600750")</f>
        <v>104591820210600750</v>
      </c>
      <c r="B976" s="9" t="str">
        <f>IFERROR(__xludf.DUMMYFUNCTION("""COMPUTED_VALUE"""),"France")</f>
        <v>France</v>
      </c>
      <c r="C976" s="9" t="str">
        <f>IFERROR(__xludf.DUMMYFUNCTION("""COMPUTED_VALUE"""),"burgundy")</f>
        <v>burgundy</v>
      </c>
      <c r="D976" s="9" t="str">
        <f>IFERROR(__xludf.DUMMYFUNCTION("""COMPUTED_VALUE"""),"Domaine Michel Magnien, Charmes-Chambertin Grand Cru")</f>
        <v>Domaine Michel Magnien, Charmes-Chambertin Grand Cru</v>
      </c>
      <c r="E976" s="9">
        <f>IFERROR(__xludf.DUMMYFUNCTION("""COMPUTED_VALUE"""),2021.0)</f>
        <v>2021</v>
      </c>
      <c r="F976" s="9">
        <f>IFERROR(__xludf.DUMMYFUNCTION("""COMPUTED_VALUE"""),750.0)</f>
        <v>750</v>
      </c>
      <c r="G976" s="9">
        <f>IFERROR(__xludf.DUMMYFUNCTION("""COMPUTED_VALUE"""),6.0)</f>
        <v>6</v>
      </c>
      <c r="H976" s="10">
        <f>IFERROR(__xludf.DUMMYFUNCTION("""COMPUTED_VALUE"""),1.0)</f>
        <v>1</v>
      </c>
      <c r="I976" s="11">
        <f>IFERROR(__xludf.DUMMYFUNCTION("""COMPUTED_VALUE"""),1237.0)</f>
        <v>1237</v>
      </c>
      <c r="J976" s="9" t="str">
        <f>IFERROR(__xludf.DUMMYFUNCTION("""COMPUTED_VALUE"""),"UK")</f>
        <v>UK</v>
      </c>
      <c r="K976" s="8"/>
      <c r="L976" s="12"/>
      <c r="M976" s="13"/>
      <c r="N976" s="13" t="str">
        <f>IFERROR(__xludf.DUMMYFUNCTION("IF(ISBLANK(M976),"""",M976*GOOGLEFINANCE(""USDGBP""))"),"")</f>
        <v/>
      </c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</row>
    <row r="977">
      <c r="A977" s="8" t="str">
        <f>IFERROR(__xludf.DUMMYFUNCTION("""COMPUTED_VALUE"""),"104593420190600750")</f>
        <v>104593420190600750</v>
      </c>
      <c r="B977" s="9" t="str">
        <f>IFERROR(__xludf.DUMMYFUNCTION("""COMPUTED_VALUE"""),"France")</f>
        <v>France</v>
      </c>
      <c r="C977" s="9" t="str">
        <f>IFERROR(__xludf.DUMMYFUNCTION("""COMPUTED_VALUE"""),"burgundy")</f>
        <v>burgundy</v>
      </c>
      <c r="D977" s="9" t="str">
        <f>IFERROR(__xludf.DUMMYFUNCTION("""COMPUTED_VALUE"""),"Domaine Michel Magnien, Clos de la Roche Grand Cru")</f>
        <v>Domaine Michel Magnien, Clos de la Roche Grand Cru</v>
      </c>
      <c r="E977" s="9">
        <f>IFERROR(__xludf.DUMMYFUNCTION("""COMPUTED_VALUE"""),2019.0)</f>
        <v>2019</v>
      </c>
      <c r="F977" s="9">
        <f>IFERROR(__xludf.DUMMYFUNCTION("""COMPUTED_VALUE"""),750.0)</f>
        <v>750</v>
      </c>
      <c r="G977" s="9">
        <f>IFERROR(__xludf.DUMMYFUNCTION("""COMPUTED_VALUE"""),6.0)</f>
        <v>6</v>
      </c>
      <c r="H977" s="10">
        <f>IFERROR(__xludf.DUMMYFUNCTION("""COMPUTED_VALUE"""),1.0)</f>
        <v>1</v>
      </c>
      <c r="I977" s="11">
        <f>IFERROR(__xludf.DUMMYFUNCTION("""COMPUTED_VALUE"""),1024.0)</f>
        <v>1024</v>
      </c>
      <c r="J977" s="9" t="str">
        <f>IFERROR(__xludf.DUMMYFUNCTION("""COMPUTED_VALUE"""),"UK")</f>
        <v>UK</v>
      </c>
      <c r="K977" s="8"/>
      <c r="L977" s="12"/>
      <c r="M977" s="13"/>
      <c r="N977" s="13" t="str">
        <f>IFERROR(__xludf.DUMMYFUNCTION("IF(ISBLANK(M977),"""",M977*GOOGLEFINANCE(""USDGBP""))"),"")</f>
        <v/>
      </c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</row>
    <row r="978">
      <c r="A978" s="8" t="str">
        <f>IFERROR(__xludf.DUMMYFUNCTION("""COMPUTED_VALUE"""),"104593420220600750")</f>
        <v>104593420220600750</v>
      </c>
      <c r="B978" s="9" t="str">
        <f>IFERROR(__xludf.DUMMYFUNCTION("""COMPUTED_VALUE"""),"France")</f>
        <v>France</v>
      </c>
      <c r="C978" s="9" t="str">
        <f>IFERROR(__xludf.DUMMYFUNCTION("""COMPUTED_VALUE"""),"burgundy")</f>
        <v>burgundy</v>
      </c>
      <c r="D978" s="9" t="str">
        <f>IFERROR(__xludf.DUMMYFUNCTION("""COMPUTED_VALUE"""),"Domaine Michel Magnien, Clos de la Roche Grand Cru")</f>
        <v>Domaine Michel Magnien, Clos de la Roche Grand Cru</v>
      </c>
      <c r="E978" s="9">
        <f>IFERROR(__xludf.DUMMYFUNCTION("""COMPUTED_VALUE"""),2022.0)</f>
        <v>2022</v>
      </c>
      <c r="F978" s="9">
        <f>IFERROR(__xludf.DUMMYFUNCTION("""COMPUTED_VALUE"""),750.0)</f>
        <v>750</v>
      </c>
      <c r="G978" s="9">
        <f>IFERROR(__xludf.DUMMYFUNCTION("""COMPUTED_VALUE"""),6.0)</f>
        <v>6</v>
      </c>
      <c r="H978" s="10">
        <f>IFERROR(__xludf.DUMMYFUNCTION("""COMPUTED_VALUE"""),1.0)</f>
        <v>1</v>
      </c>
      <c r="I978" s="11">
        <f>IFERROR(__xludf.DUMMYFUNCTION("""COMPUTED_VALUE"""),1067.0)</f>
        <v>1067</v>
      </c>
      <c r="J978" s="9" t="str">
        <f>IFERROR(__xludf.DUMMYFUNCTION("""COMPUTED_VALUE"""),"UK")</f>
        <v>UK</v>
      </c>
      <c r="K978" s="8"/>
      <c r="L978" s="12"/>
      <c r="M978" s="13"/>
      <c r="N978" s="13" t="str">
        <f>IFERROR(__xludf.DUMMYFUNCTION("IF(ISBLANK(M978),"""",M978*GOOGLEFINANCE(""USDGBP""))"),"")</f>
        <v/>
      </c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</row>
    <row r="979">
      <c r="A979" s="8" t="str">
        <f>IFERROR(__xludf.DUMMYFUNCTION("""COMPUTED_VALUE"""),"122979420171200750")</f>
        <v>122979420171200750</v>
      </c>
      <c r="B979" s="9" t="str">
        <f>IFERROR(__xludf.DUMMYFUNCTION("""COMPUTED_VALUE"""),"France")</f>
        <v>France</v>
      </c>
      <c r="C979" s="9" t="str">
        <f>IFERROR(__xludf.DUMMYFUNCTION("""COMPUTED_VALUE"""),"burgundy")</f>
        <v>burgundy</v>
      </c>
      <c r="D979" s="9" t="str">
        <f>IFERROR(__xludf.DUMMYFUNCTION("""COMPUTED_VALUE"""),"Domaine Michel Niellon, Chassagne-Montrachet Premier Cru, La Maltroie Rouge")</f>
        <v>Domaine Michel Niellon, Chassagne-Montrachet Premier Cru, La Maltroie Rouge</v>
      </c>
      <c r="E979" s="9">
        <f>IFERROR(__xludf.DUMMYFUNCTION("""COMPUTED_VALUE"""),2017.0)</f>
        <v>2017</v>
      </c>
      <c r="F979" s="9">
        <f>IFERROR(__xludf.DUMMYFUNCTION("""COMPUTED_VALUE"""),750.0)</f>
        <v>750</v>
      </c>
      <c r="G979" s="9">
        <f>IFERROR(__xludf.DUMMYFUNCTION("""COMPUTED_VALUE"""),12.0)</f>
        <v>12</v>
      </c>
      <c r="H979" s="10">
        <f>IFERROR(__xludf.DUMMYFUNCTION("""COMPUTED_VALUE"""),3.0)</f>
        <v>3</v>
      </c>
      <c r="I979" s="11">
        <f>IFERROR(__xludf.DUMMYFUNCTION("""COMPUTED_VALUE"""),1037.0)</f>
        <v>1037</v>
      </c>
      <c r="J979" s="9" t="str">
        <f>IFERROR(__xludf.DUMMYFUNCTION("""COMPUTED_VALUE"""),"UK")</f>
        <v>UK</v>
      </c>
      <c r="K979" s="8"/>
      <c r="L979" s="12"/>
      <c r="M979" s="13"/>
      <c r="N979" s="13" t="str">
        <f>IFERROR(__xludf.DUMMYFUNCTION("IF(ISBLANK(M979),"""",M979*GOOGLEFINANCE(""USDGBP""))"),"")</f>
        <v/>
      </c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</row>
    <row r="980">
      <c r="A980" s="8" t="str">
        <f>IFERROR(__xludf.DUMMYFUNCTION("""COMPUTED_VALUE"""),"122979420181200750")</f>
        <v>122979420181200750</v>
      </c>
      <c r="B980" s="9" t="str">
        <f>IFERROR(__xludf.DUMMYFUNCTION("""COMPUTED_VALUE"""),"France")</f>
        <v>France</v>
      </c>
      <c r="C980" s="9" t="str">
        <f>IFERROR(__xludf.DUMMYFUNCTION("""COMPUTED_VALUE"""),"burgundy")</f>
        <v>burgundy</v>
      </c>
      <c r="D980" s="9" t="str">
        <f>IFERROR(__xludf.DUMMYFUNCTION("""COMPUTED_VALUE"""),"Domaine Michel Niellon, Chassagne-Montrachet Premier Cru, La Maltroie Rouge")</f>
        <v>Domaine Michel Niellon, Chassagne-Montrachet Premier Cru, La Maltroie Rouge</v>
      </c>
      <c r="E980" s="9">
        <f>IFERROR(__xludf.DUMMYFUNCTION("""COMPUTED_VALUE"""),2018.0)</f>
        <v>2018</v>
      </c>
      <c r="F980" s="9">
        <f>IFERROR(__xludf.DUMMYFUNCTION("""COMPUTED_VALUE"""),750.0)</f>
        <v>750</v>
      </c>
      <c r="G980" s="9">
        <f>IFERROR(__xludf.DUMMYFUNCTION("""COMPUTED_VALUE"""),12.0)</f>
        <v>12</v>
      </c>
      <c r="H980" s="10">
        <f>IFERROR(__xludf.DUMMYFUNCTION("""COMPUTED_VALUE"""),6.0)</f>
        <v>6</v>
      </c>
      <c r="I980" s="11">
        <f>IFERROR(__xludf.DUMMYFUNCTION("""COMPUTED_VALUE"""),683.0)</f>
        <v>683</v>
      </c>
      <c r="J980" s="9" t="str">
        <f>IFERROR(__xludf.DUMMYFUNCTION("""COMPUTED_VALUE"""),"UK")</f>
        <v>UK</v>
      </c>
      <c r="K980" s="8"/>
      <c r="L980" s="12"/>
      <c r="M980" s="13"/>
      <c r="N980" s="13" t="str">
        <f>IFERROR(__xludf.DUMMYFUNCTION("IF(ISBLANK(M980),"""",M980*GOOGLEFINANCE(""USDGBP""))"),"")</f>
        <v/>
      </c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</row>
    <row r="981">
      <c r="A981" s="8" t="str">
        <f>IFERROR(__xludf.DUMMYFUNCTION("""COMPUTED_VALUE"""),"104015720160600750")</f>
        <v>104015720160600750</v>
      </c>
      <c r="B981" s="9" t="str">
        <f>IFERROR(__xludf.DUMMYFUNCTION("""COMPUTED_VALUE"""),"France")</f>
        <v>France</v>
      </c>
      <c r="C981" s="9" t="str">
        <f>IFERROR(__xludf.DUMMYFUNCTION("""COMPUTED_VALUE"""),"burgundy")</f>
        <v>burgundy</v>
      </c>
      <c r="D981" s="9" t="str">
        <f>IFERROR(__xludf.DUMMYFUNCTION("""COMPUTED_VALUE"""),"Domaine Nicole Lamarche, Clos de Vougeot Grand Cru")</f>
        <v>Domaine Nicole Lamarche, Clos de Vougeot Grand Cru</v>
      </c>
      <c r="E981" s="9">
        <f>IFERROR(__xludf.DUMMYFUNCTION("""COMPUTED_VALUE"""),2016.0)</f>
        <v>2016</v>
      </c>
      <c r="F981" s="9">
        <f>IFERROR(__xludf.DUMMYFUNCTION("""COMPUTED_VALUE"""),750.0)</f>
        <v>750</v>
      </c>
      <c r="G981" s="9">
        <f>IFERROR(__xludf.DUMMYFUNCTION("""COMPUTED_VALUE"""),6.0)</f>
        <v>6</v>
      </c>
      <c r="H981" s="10">
        <f>IFERROR(__xludf.DUMMYFUNCTION("""COMPUTED_VALUE"""),1.0)</f>
        <v>1</v>
      </c>
      <c r="I981" s="11">
        <f>IFERROR(__xludf.DUMMYFUNCTION("""COMPUTED_VALUE"""),941.0)</f>
        <v>941</v>
      </c>
      <c r="J981" s="9" t="str">
        <f>IFERROR(__xludf.DUMMYFUNCTION("""COMPUTED_VALUE"""),"UK")</f>
        <v>UK</v>
      </c>
      <c r="K981" s="8"/>
      <c r="L981" s="12"/>
      <c r="M981" s="13"/>
      <c r="N981" s="13" t="str">
        <f>IFERROR(__xludf.DUMMYFUNCTION("IF(ISBLANK(M981),"""",M981*GOOGLEFINANCE(""USDGBP""))"),"")</f>
        <v/>
      </c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</row>
    <row r="982">
      <c r="A982" s="8" t="str">
        <f>IFERROR(__xludf.DUMMYFUNCTION("""COMPUTED_VALUE"""),"104016020180600750")</f>
        <v>104016020180600750</v>
      </c>
      <c r="B982" s="9" t="str">
        <f>IFERROR(__xludf.DUMMYFUNCTION("""COMPUTED_VALUE"""),"France")</f>
        <v>France</v>
      </c>
      <c r="C982" s="9" t="str">
        <f>IFERROR(__xludf.DUMMYFUNCTION("""COMPUTED_VALUE"""),"burgundy")</f>
        <v>burgundy</v>
      </c>
      <c r="D982" s="9" t="str">
        <f>IFERROR(__xludf.DUMMYFUNCTION("""COMPUTED_VALUE"""),"Domaine Nicole Lamarche, Echezeaux Grand Cru")</f>
        <v>Domaine Nicole Lamarche, Echezeaux Grand Cru</v>
      </c>
      <c r="E982" s="9">
        <f>IFERROR(__xludf.DUMMYFUNCTION("""COMPUTED_VALUE"""),2018.0)</f>
        <v>2018</v>
      </c>
      <c r="F982" s="9">
        <f>IFERROR(__xludf.DUMMYFUNCTION("""COMPUTED_VALUE"""),750.0)</f>
        <v>750</v>
      </c>
      <c r="G982" s="9">
        <f>IFERROR(__xludf.DUMMYFUNCTION("""COMPUTED_VALUE"""),6.0)</f>
        <v>6</v>
      </c>
      <c r="H982" s="10">
        <f>IFERROR(__xludf.DUMMYFUNCTION("""COMPUTED_VALUE"""),1.0)</f>
        <v>1</v>
      </c>
      <c r="I982" s="11">
        <f>IFERROR(__xludf.DUMMYFUNCTION("""COMPUTED_VALUE"""),1075.0)</f>
        <v>1075</v>
      </c>
      <c r="J982" s="9" t="str">
        <f>IFERROR(__xludf.DUMMYFUNCTION("""COMPUTED_VALUE"""),"UK")</f>
        <v>UK</v>
      </c>
      <c r="K982" s="8"/>
      <c r="L982" s="12"/>
      <c r="M982" s="13"/>
      <c r="N982" s="13" t="str">
        <f>IFERROR(__xludf.DUMMYFUNCTION("IF(ISBLANK(M982),"""",M982*GOOGLEFINANCE(""USDGBP""))"),"")</f>
        <v/>
      </c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</row>
    <row r="983">
      <c r="A983" s="8" t="str">
        <f>IFERROR(__xludf.DUMMYFUNCTION("""COMPUTED_VALUE"""),"104018620180300750")</f>
        <v>104018620180300750</v>
      </c>
      <c r="B983" s="9" t="str">
        <f>IFERROR(__xludf.DUMMYFUNCTION("""COMPUTED_VALUE"""),"France")</f>
        <v>France</v>
      </c>
      <c r="C983" s="9" t="str">
        <f>IFERROR(__xludf.DUMMYFUNCTION("""COMPUTED_VALUE"""),"burgundy")</f>
        <v>burgundy</v>
      </c>
      <c r="D983" s="9" t="str">
        <f>IFERROR(__xludf.DUMMYFUNCTION("""COMPUTED_VALUE"""),"Domaine Nicole Lamarche, Grands Echezeaux Grand Cru")</f>
        <v>Domaine Nicole Lamarche, Grands Echezeaux Grand Cru</v>
      </c>
      <c r="E983" s="9">
        <f>IFERROR(__xludf.DUMMYFUNCTION("""COMPUTED_VALUE"""),2018.0)</f>
        <v>2018</v>
      </c>
      <c r="F983" s="9">
        <f>IFERROR(__xludf.DUMMYFUNCTION("""COMPUTED_VALUE"""),750.0)</f>
        <v>750</v>
      </c>
      <c r="G983" s="9">
        <f>IFERROR(__xludf.DUMMYFUNCTION("""COMPUTED_VALUE"""),3.0)</f>
        <v>3</v>
      </c>
      <c r="H983" s="10">
        <f>IFERROR(__xludf.DUMMYFUNCTION("""COMPUTED_VALUE"""),1.0)</f>
        <v>1</v>
      </c>
      <c r="I983" s="11">
        <f>IFERROR(__xludf.DUMMYFUNCTION("""COMPUTED_VALUE"""),948.0)</f>
        <v>948</v>
      </c>
      <c r="J983" s="9" t="str">
        <f>IFERROR(__xludf.DUMMYFUNCTION("""COMPUTED_VALUE"""),"UK")</f>
        <v>UK</v>
      </c>
      <c r="K983" s="8"/>
      <c r="L983" s="12"/>
      <c r="M983" s="13"/>
      <c r="N983" s="13" t="str">
        <f>IFERROR(__xludf.DUMMYFUNCTION("IF(ISBLANK(M983),"""",M983*GOOGLEFINANCE(""USDGBP""))"),"")</f>
        <v/>
      </c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</row>
    <row r="984">
      <c r="A984" s="8" t="str">
        <f>IFERROR(__xludf.DUMMYFUNCTION("""COMPUTED_VALUE"""),"104025820150600750")</f>
        <v>104025820150600750</v>
      </c>
      <c r="B984" s="9" t="str">
        <f>IFERROR(__xludf.DUMMYFUNCTION("""COMPUTED_VALUE"""),"France")</f>
        <v>France</v>
      </c>
      <c r="C984" s="9" t="str">
        <f>IFERROR(__xludf.DUMMYFUNCTION("""COMPUTED_VALUE"""),"burgundy")</f>
        <v>burgundy</v>
      </c>
      <c r="D984" s="9" t="str">
        <f>IFERROR(__xludf.DUMMYFUNCTION("""COMPUTED_VALUE"""),"Domaine Nicole Lamarche, La Grande Rue Grand Cru")</f>
        <v>Domaine Nicole Lamarche, La Grande Rue Grand Cru</v>
      </c>
      <c r="E984" s="9">
        <f>IFERROR(__xludf.DUMMYFUNCTION("""COMPUTED_VALUE"""),2015.0)</f>
        <v>2015</v>
      </c>
      <c r="F984" s="9">
        <f>IFERROR(__xludf.DUMMYFUNCTION("""COMPUTED_VALUE"""),750.0)</f>
        <v>750</v>
      </c>
      <c r="G984" s="9">
        <f>IFERROR(__xludf.DUMMYFUNCTION("""COMPUTED_VALUE"""),6.0)</f>
        <v>6</v>
      </c>
      <c r="H984" s="10">
        <f>IFERROR(__xludf.DUMMYFUNCTION("""COMPUTED_VALUE"""),1.0)</f>
        <v>1</v>
      </c>
      <c r="I984" s="11">
        <f>IFERROR(__xludf.DUMMYFUNCTION("""COMPUTED_VALUE"""),2431.0)</f>
        <v>2431</v>
      </c>
      <c r="J984" s="9" t="str">
        <f>IFERROR(__xludf.DUMMYFUNCTION("""COMPUTED_VALUE"""),"UK")</f>
        <v>UK</v>
      </c>
      <c r="K984" s="8"/>
      <c r="L984" s="12"/>
      <c r="M984" s="13"/>
      <c r="N984" s="13" t="str">
        <f>IFERROR(__xludf.DUMMYFUNCTION("IF(ISBLANK(M984),"""",M984*GOOGLEFINANCE(""USDGBP""))"),"")</f>
        <v/>
      </c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</row>
    <row r="985">
      <c r="A985" s="8" t="str">
        <f>IFERROR(__xludf.DUMMYFUNCTION("""COMPUTED_VALUE"""),"104025820161200750")</f>
        <v>104025820161200750</v>
      </c>
      <c r="B985" s="9" t="str">
        <f>IFERROR(__xludf.DUMMYFUNCTION("""COMPUTED_VALUE"""),"France")</f>
        <v>France</v>
      </c>
      <c r="C985" s="9" t="str">
        <f>IFERROR(__xludf.DUMMYFUNCTION("""COMPUTED_VALUE"""),"burgundy")</f>
        <v>burgundy</v>
      </c>
      <c r="D985" s="9" t="str">
        <f>IFERROR(__xludf.DUMMYFUNCTION("""COMPUTED_VALUE"""),"Domaine Nicole Lamarche, La Grande Rue Grand Cru")</f>
        <v>Domaine Nicole Lamarche, La Grande Rue Grand Cru</v>
      </c>
      <c r="E985" s="9">
        <f>IFERROR(__xludf.DUMMYFUNCTION("""COMPUTED_VALUE"""),2016.0)</f>
        <v>2016</v>
      </c>
      <c r="F985" s="9">
        <f>IFERROR(__xludf.DUMMYFUNCTION("""COMPUTED_VALUE"""),750.0)</f>
        <v>750</v>
      </c>
      <c r="G985" s="9">
        <f>IFERROR(__xludf.DUMMYFUNCTION("""COMPUTED_VALUE"""),12.0)</f>
        <v>12</v>
      </c>
      <c r="H985" s="10">
        <f>IFERROR(__xludf.DUMMYFUNCTION("""COMPUTED_VALUE"""),2.0)</f>
        <v>2</v>
      </c>
      <c r="I985" s="11">
        <f>IFERROR(__xludf.DUMMYFUNCTION("""COMPUTED_VALUE"""),5238.0)</f>
        <v>5238</v>
      </c>
      <c r="J985" s="9" t="str">
        <f>IFERROR(__xludf.DUMMYFUNCTION("""COMPUTED_VALUE"""),"UK")</f>
        <v>UK</v>
      </c>
      <c r="K985" s="8"/>
      <c r="L985" s="12"/>
      <c r="M985" s="13"/>
      <c r="N985" s="13" t="str">
        <f>IFERROR(__xludf.DUMMYFUNCTION("IF(ISBLANK(M985),"""",M985*GOOGLEFINANCE(""USDGBP""))"),"")</f>
        <v/>
      </c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</row>
    <row r="986">
      <c r="A986" s="8" t="str">
        <f>IFERROR(__xludf.DUMMYFUNCTION("""COMPUTED_VALUE"""),"104025820170600750")</f>
        <v>104025820170600750</v>
      </c>
      <c r="B986" s="9" t="str">
        <f>IFERROR(__xludf.DUMMYFUNCTION("""COMPUTED_VALUE"""),"France")</f>
        <v>France</v>
      </c>
      <c r="C986" s="9" t="str">
        <f>IFERROR(__xludf.DUMMYFUNCTION("""COMPUTED_VALUE"""),"burgundy")</f>
        <v>burgundy</v>
      </c>
      <c r="D986" s="9" t="str">
        <f>IFERROR(__xludf.DUMMYFUNCTION("""COMPUTED_VALUE"""),"Domaine Nicole Lamarche, La Grande Rue Grand Cru")</f>
        <v>Domaine Nicole Lamarche, La Grande Rue Grand Cru</v>
      </c>
      <c r="E986" s="9">
        <f>IFERROR(__xludf.DUMMYFUNCTION("""COMPUTED_VALUE"""),2017.0)</f>
        <v>2017</v>
      </c>
      <c r="F986" s="9">
        <f>IFERROR(__xludf.DUMMYFUNCTION("""COMPUTED_VALUE"""),750.0)</f>
        <v>750</v>
      </c>
      <c r="G986" s="9">
        <f>IFERROR(__xludf.DUMMYFUNCTION("""COMPUTED_VALUE"""),6.0)</f>
        <v>6</v>
      </c>
      <c r="H986" s="10">
        <f>IFERROR(__xludf.DUMMYFUNCTION("""COMPUTED_VALUE"""),1.0)</f>
        <v>1</v>
      </c>
      <c r="I986" s="11">
        <f>IFERROR(__xludf.DUMMYFUNCTION("""COMPUTED_VALUE"""),2328.0)</f>
        <v>2328</v>
      </c>
      <c r="J986" s="9" t="str">
        <f>IFERROR(__xludf.DUMMYFUNCTION("""COMPUTED_VALUE"""),"UK")</f>
        <v>UK</v>
      </c>
      <c r="K986" s="8"/>
      <c r="L986" s="12"/>
      <c r="M986" s="13"/>
      <c r="N986" s="13" t="str">
        <f>IFERROR(__xludf.DUMMYFUNCTION("IF(ISBLANK(M986),"""",M986*GOOGLEFINANCE(""USDGBP""))"),"")</f>
        <v/>
      </c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</row>
    <row r="987">
      <c r="A987" s="8" t="str">
        <f>IFERROR(__xludf.DUMMYFUNCTION("""COMPUTED_VALUE"""),"104019920181200750")</f>
        <v>104019920181200750</v>
      </c>
      <c r="B987" s="9" t="str">
        <f>IFERROR(__xludf.DUMMYFUNCTION("""COMPUTED_VALUE"""),"France")</f>
        <v>France</v>
      </c>
      <c r="C987" s="9" t="str">
        <f>IFERROR(__xludf.DUMMYFUNCTION("""COMPUTED_VALUE"""),"burgundy")</f>
        <v>burgundy</v>
      </c>
      <c r="D987" s="9" t="str">
        <f>IFERROR(__xludf.DUMMYFUNCTION("""COMPUTED_VALUE"""),"Domaine Nicole Lamarche, Vosne-Romanee")</f>
        <v>Domaine Nicole Lamarche, Vosne-Romanee</v>
      </c>
      <c r="E987" s="9">
        <f>IFERROR(__xludf.DUMMYFUNCTION("""COMPUTED_VALUE"""),2018.0)</f>
        <v>2018</v>
      </c>
      <c r="F987" s="9">
        <f>IFERROR(__xludf.DUMMYFUNCTION("""COMPUTED_VALUE"""),750.0)</f>
        <v>750</v>
      </c>
      <c r="G987" s="9">
        <f>IFERROR(__xludf.DUMMYFUNCTION("""COMPUTED_VALUE"""),12.0)</f>
        <v>12</v>
      </c>
      <c r="H987" s="10">
        <f>IFERROR(__xludf.DUMMYFUNCTION("""COMPUTED_VALUE"""),1.0)</f>
        <v>1</v>
      </c>
      <c r="I987" s="11">
        <f>IFERROR(__xludf.DUMMYFUNCTION("""COMPUTED_VALUE"""),1489.0)</f>
        <v>1489</v>
      </c>
      <c r="J987" s="9" t="str">
        <f>IFERROR(__xludf.DUMMYFUNCTION("""COMPUTED_VALUE"""),"UK")</f>
        <v>UK</v>
      </c>
      <c r="K987" s="8"/>
      <c r="L987" s="12"/>
      <c r="M987" s="13"/>
      <c r="N987" s="13" t="str">
        <f>IFERROR(__xludf.DUMMYFUNCTION("IF(ISBLANK(M987),"""",M987*GOOGLEFINANCE(""USDGBP""))"),"")</f>
        <v/>
      </c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</row>
    <row r="988">
      <c r="A988" s="8" t="str">
        <f>IFERROR(__xludf.DUMMYFUNCTION("""COMPUTED_VALUE"""),"104027420180600750")</f>
        <v>104027420180600750</v>
      </c>
      <c r="B988" s="9" t="str">
        <f>IFERROR(__xludf.DUMMYFUNCTION("""COMPUTED_VALUE"""),"France")</f>
        <v>France</v>
      </c>
      <c r="C988" s="9" t="str">
        <f>IFERROR(__xludf.DUMMYFUNCTION("""COMPUTED_VALUE"""),"burgundy")</f>
        <v>burgundy</v>
      </c>
      <c r="D988" s="9" t="str">
        <f>IFERROR(__xludf.DUMMYFUNCTION("""COMPUTED_VALUE"""),"Domaine Nicole Lamarche, Vosne-Romanee Premier Cru, Les Suchots")</f>
        <v>Domaine Nicole Lamarche, Vosne-Romanee Premier Cru, Les Suchots</v>
      </c>
      <c r="E988" s="9">
        <f>IFERROR(__xludf.DUMMYFUNCTION("""COMPUTED_VALUE"""),2018.0)</f>
        <v>2018</v>
      </c>
      <c r="F988" s="9">
        <f>IFERROR(__xludf.DUMMYFUNCTION("""COMPUTED_VALUE"""),750.0)</f>
        <v>750</v>
      </c>
      <c r="G988" s="9">
        <f>IFERROR(__xludf.DUMMYFUNCTION("""COMPUTED_VALUE"""),6.0)</f>
        <v>6</v>
      </c>
      <c r="H988" s="10">
        <f>IFERROR(__xludf.DUMMYFUNCTION("""COMPUTED_VALUE"""),1.0)</f>
        <v>1</v>
      </c>
      <c r="I988" s="11">
        <f>IFERROR(__xludf.DUMMYFUNCTION("""COMPUTED_VALUE"""),812.0)</f>
        <v>812</v>
      </c>
      <c r="J988" s="9" t="str">
        <f>IFERROR(__xludf.DUMMYFUNCTION("""COMPUTED_VALUE"""),"UK")</f>
        <v>UK</v>
      </c>
      <c r="K988" s="8"/>
      <c r="L988" s="12"/>
      <c r="M988" s="13"/>
      <c r="N988" s="13" t="str">
        <f>IFERROR(__xludf.DUMMYFUNCTION("IF(ISBLANK(M988),"""",M988*GOOGLEFINANCE(""USDGBP""))"),"")</f>
        <v/>
      </c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</row>
    <row r="989">
      <c r="A989" s="8" t="str">
        <f>IFERROR(__xludf.DUMMYFUNCTION("""COMPUTED_VALUE"""),"115038620140600750")</f>
        <v>115038620140600750</v>
      </c>
      <c r="B989" s="9" t="str">
        <f>IFERROR(__xludf.DUMMYFUNCTION("""COMPUTED_VALUE"""),"France")</f>
        <v>France</v>
      </c>
      <c r="C989" s="9" t="str">
        <f>IFERROR(__xludf.DUMMYFUNCTION("""COMPUTED_VALUE"""),"burgundy")</f>
        <v>burgundy</v>
      </c>
      <c r="D989" s="9" t="str">
        <f>IFERROR(__xludf.DUMMYFUNCTION("""COMPUTED_VALUE"""),"Domaine Ponsot, Chambertin-Clos de Beze Grand Cru")</f>
        <v>Domaine Ponsot, Chambertin-Clos de Beze Grand Cru</v>
      </c>
      <c r="E989" s="9">
        <f>IFERROR(__xludf.DUMMYFUNCTION("""COMPUTED_VALUE"""),2014.0)</f>
        <v>2014</v>
      </c>
      <c r="F989" s="9">
        <f>IFERROR(__xludf.DUMMYFUNCTION("""COMPUTED_VALUE"""),750.0)</f>
        <v>750</v>
      </c>
      <c r="G989" s="9">
        <f>IFERROR(__xludf.DUMMYFUNCTION("""COMPUTED_VALUE"""),6.0)</f>
        <v>6</v>
      </c>
      <c r="H989" s="10">
        <f>IFERROR(__xludf.DUMMYFUNCTION("""COMPUTED_VALUE"""),1.0)</f>
        <v>1</v>
      </c>
      <c r="I989" s="11">
        <f>IFERROR(__xludf.DUMMYFUNCTION("""COMPUTED_VALUE"""),2110.0)</f>
        <v>2110</v>
      </c>
      <c r="J989" s="9" t="str">
        <f>IFERROR(__xludf.DUMMYFUNCTION("""COMPUTED_VALUE"""),"UK")</f>
        <v>UK</v>
      </c>
      <c r="K989" s="8"/>
      <c r="L989" s="12"/>
      <c r="M989" s="13"/>
      <c r="N989" s="13" t="str">
        <f>IFERROR(__xludf.DUMMYFUNCTION("IF(ISBLANK(M989),"""",M989*GOOGLEFINANCE(""USDGBP""))"),"")</f>
        <v/>
      </c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</row>
    <row r="990">
      <c r="A990" s="8" t="str">
        <f>IFERROR(__xludf.DUMMYFUNCTION("""COMPUTED_VALUE"""),"105145220110600750")</f>
        <v>105145220110600750</v>
      </c>
      <c r="B990" s="9" t="str">
        <f>IFERROR(__xludf.DUMMYFUNCTION("""COMPUTED_VALUE"""),"France")</f>
        <v>France</v>
      </c>
      <c r="C990" s="9" t="str">
        <f>IFERROR(__xludf.DUMMYFUNCTION("""COMPUTED_VALUE"""),"burgundy")</f>
        <v>burgundy</v>
      </c>
      <c r="D990" s="9" t="str">
        <f>IFERROR(__xludf.DUMMYFUNCTION("""COMPUTED_VALUE"""),"Domaine Ponsot, Chambolle-Musigny Premier Cru, Les Charmes")</f>
        <v>Domaine Ponsot, Chambolle-Musigny Premier Cru, Les Charmes</v>
      </c>
      <c r="E990" s="9">
        <f>IFERROR(__xludf.DUMMYFUNCTION("""COMPUTED_VALUE"""),2011.0)</f>
        <v>2011</v>
      </c>
      <c r="F990" s="9">
        <f>IFERROR(__xludf.DUMMYFUNCTION("""COMPUTED_VALUE"""),750.0)</f>
        <v>750</v>
      </c>
      <c r="G990" s="9">
        <f>IFERROR(__xludf.DUMMYFUNCTION("""COMPUTED_VALUE"""),6.0)</f>
        <v>6</v>
      </c>
      <c r="H990" s="10">
        <f>IFERROR(__xludf.DUMMYFUNCTION("""COMPUTED_VALUE"""),1.0)</f>
        <v>1</v>
      </c>
      <c r="I990" s="11">
        <f>IFERROR(__xludf.DUMMYFUNCTION("""COMPUTED_VALUE"""),946.0)</f>
        <v>946</v>
      </c>
      <c r="J990" s="9" t="str">
        <f>IFERROR(__xludf.DUMMYFUNCTION("""COMPUTED_VALUE"""),"UK")</f>
        <v>UK</v>
      </c>
      <c r="K990" s="8"/>
      <c r="L990" s="12"/>
      <c r="M990" s="13"/>
      <c r="N990" s="13" t="str">
        <f>IFERROR(__xludf.DUMMYFUNCTION("IF(ISBLANK(M990),"""",M990*GOOGLEFINANCE(""USDGBP""))"),"")</f>
        <v/>
      </c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</row>
    <row r="991">
      <c r="A991" s="8" t="str">
        <f>IFERROR(__xludf.DUMMYFUNCTION("""COMPUTED_VALUE"""),"105145220120600750")</f>
        <v>105145220120600750</v>
      </c>
      <c r="B991" s="9" t="str">
        <f>IFERROR(__xludf.DUMMYFUNCTION("""COMPUTED_VALUE"""),"France")</f>
        <v>France</v>
      </c>
      <c r="C991" s="9" t="str">
        <f>IFERROR(__xludf.DUMMYFUNCTION("""COMPUTED_VALUE"""),"burgundy")</f>
        <v>burgundy</v>
      </c>
      <c r="D991" s="9" t="str">
        <f>IFERROR(__xludf.DUMMYFUNCTION("""COMPUTED_VALUE"""),"Domaine Ponsot, Chambolle-Musigny Premier Cru, Les Charmes")</f>
        <v>Domaine Ponsot, Chambolle-Musigny Premier Cru, Les Charmes</v>
      </c>
      <c r="E991" s="9">
        <f>IFERROR(__xludf.DUMMYFUNCTION("""COMPUTED_VALUE"""),2012.0)</f>
        <v>2012</v>
      </c>
      <c r="F991" s="9">
        <f>IFERROR(__xludf.DUMMYFUNCTION("""COMPUTED_VALUE"""),750.0)</f>
        <v>750</v>
      </c>
      <c r="G991" s="9">
        <f>IFERROR(__xludf.DUMMYFUNCTION("""COMPUTED_VALUE"""),6.0)</f>
        <v>6</v>
      </c>
      <c r="H991" s="10">
        <f>IFERROR(__xludf.DUMMYFUNCTION("""COMPUTED_VALUE"""),1.0)</f>
        <v>1</v>
      </c>
      <c r="I991" s="11">
        <f>IFERROR(__xludf.DUMMYFUNCTION("""COMPUTED_VALUE"""),887.0)</f>
        <v>887</v>
      </c>
      <c r="J991" s="9" t="str">
        <f>IFERROR(__xludf.DUMMYFUNCTION("""COMPUTED_VALUE"""),"UK")</f>
        <v>UK</v>
      </c>
      <c r="K991" s="8"/>
      <c r="L991" s="12"/>
      <c r="M991" s="13"/>
      <c r="N991" s="13" t="str">
        <f>IFERROR(__xludf.DUMMYFUNCTION("IF(ISBLANK(M991),"""",M991*GOOGLEFINANCE(""USDGBP""))"),"")</f>
        <v/>
      </c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</row>
    <row r="992">
      <c r="A992" s="8" t="str">
        <f>IFERROR(__xludf.DUMMYFUNCTION("""COMPUTED_VALUE"""),"105145220130600750")</f>
        <v>105145220130600750</v>
      </c>
      <c r="B992" s="9" t="str">
        <f>IFERROR(__xludf.DUMMYFUNCTION("""COMPUTED_VALUE"""),"France")</f>
        <v>France</v>
      </c>
      <c r="C992" s="9" t="str">
        <f>IFERROR(__xludf.DUMMYFUNCTION("""COMPUTED_VALUE"""),"burgundy")</f>
        <v>burgundy</v>
      </c>
      <c r="D992" s="9" t="str">
        <f>IFERROR(__xludf.DUMMYFUNCTION("""COMPUTED_VALUE"""),"Domaine Ponsot, Chambolle-Musigny Premier Cru, Les Charmes")</f>
        <v>Domaine Ponsot, Chambolle-Musigny Premier Cru, Les Charmes</v>
      </c>
      <c r="E992" s="9">
        <f>IFERROR(__xludf.DUMMYFUNCTION("""COMPUTED_VALUE"""),2013.0)</f>
        <v>2013</v>
      </c>
      <c r="F992" s="9">
        <f>IFERROR(__xludf.DUMMYFUNCTION("""COMPUTED_VALUE"""),750.0)</f>
        <v>750</v>
      </c>
      <c r="G992" s="9">
        <f>IFERROR(__xludf.DUMMYFUNCTION("""COMPUTED_VALUE"""),6.0)</f>
        <v>6</v>
      </c>
      <c r="H992" s="10">
        <f>IFERROR(__xludf.DUMMYFUNCTION("""COMPUTED_VALUE"""),2.0)</f>
        <v>2</v>
      </c>
      <c r="I992" s="11">
        <f>IFERROR(__xludf.DUMMYFUNCTION("""COMPUTED_VALUE"""),940.0)</f>
        <v>940</v>
      </c>
      <c r="J992" s="9" t="str">
        <f>IFERROR(__xludf.DUMMYFUNCTION("""COMPUTED_VALUE"""),"UK")</f>
        <v>UK</v>
      </c>
      <c r="K992" s="8"/>
      <c r="L992" s="12"/>
      <c r="M992" s="13"/>
      <c r="N992" s="13" t="str">
        <f>IFERROR(__xludf.DUMMYFUNCTION("IF(ISBLANK(M992),"""",M992*GOOGLEFINANCE(""USDGBP""))"),"")</f>
        <v/>
      </c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</row>
    <row r="993">
      <c r="A993" s="8" t="str">
        <f>IFERROR(__xludf.DUMMYFUNCTION("""COMPUTED_VALUE"""),"105145220140600750")</f>
        <v>105145220140600750</v>
      </c>
      <c r="B993" s="9" t="str">
        <f>IFERROR(__xludf.DUMMYFUNCTION("""COMPUTED_VALUE"""),"France")</f>
        <v>France</v>
      </c>
      <c r="C993" s="9" t="str">
        <f>IFERROR(__xludf.DUMMYFUNCTION("""COMPUTED_VALUE"""),"burgundy")</f>
        <v>burgundy</v>
      </c>
      <c r="D993" s="9" t="str">
        <f>IFERROR(__xludf.DUMMYFUNCTION("""COMPUTED_VALUE"""),"Domaine Ponsot, Chambolle-Musigny Premier Cru, Les Charmes")</f>
        <v>Domaine Ponsot, Chambolle-Musigny Premier Cru, Les Charmes</v>
      </c>
      <c r="E993" s="9">
        <f>IFERROR(__xludf.DUMMYFUNCTION("""COMPUTED_VALUE"""),2014.0)</f>
        <v>2014</v>
      </c>
      <c r="F993" s="9">
        <f>IFERROR(__xludf.DUMMYFUNCTION("""COMPUTED_VALUE"""),750.0)</f>
        <v>750</v>
      </c>
      <c r="G993" s="9">
        <f>IFERROR(__xludf.DUMMYFUNCTION("""COMPUTED_VALUE"""),6.0)</f>
        <v>6</v>
      </c>
      <c r="H993" s="10">
        <f>IFERROR(__xludf.DUMMYFUNCTION("""COMPUTED_VALUE"""),3.0)</f>
        <v>3</v>
      </c>
      <c r="I993" s="11">
        <f>IFERROR(__xludf.DUMMYFUNCTION("""COMPUTED_VALUE"""),946.0)</f>
        <v>946</v>
      </c>
      <c r="J993" s="9" t="str">
        <f>IFERROR(__xludf.DUMMYFUNCTION("""COMPUTED_VALUE"""),"UK")</f>
        <v>UK</v>
      </c>
      <c r="K993" s="8"/>
      <c r="L993" s="12"/>
      <c r="M993" s="13"/>
      <c r="N993" s="13" t="str">
        <f>IFERROR(__xludf.DUMMYFUNCTION("IF(ISBLANK(M993),"""",M993*GOOGLEFINANCE(""USDGBP""))"),"")</f>
        <v/>
      </c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</row>
    <row r="994">
      <c r="A994" s="8" t="str">
        <f>IFERROR(__xludf.DUMMYFUNCTION("""COMPUTED_VALUE"""),"105147820160600750")</f>
        <v>105147820160600750</v>
      </c>
      <c r="B994" s="9" t="str">
        <f>IFERROR(__xludf.DUMMYFUNCTION("""COMPUTED_VALUE"""),"France")</f>
        <v>France</v>
      </c>
      <c r="C994" s="9" t="str">
        <f>IFERROR(__xludf.DUMMYFUNCTION("""COMPUTED_VALUE"""),"burgundy")</f>
        <v>burgundy</v>
      </c>
      <c r="D994" s="9" t="str">
        <f>IFERROR(__xludf.DUMMYFUNCTION("""COMPUTED_VALUE"""),"Domaine Ponsot, Chapelle-Chambertin Grand Cru")</f>
        <v>Domaine Ponsot, Chapelle-Chambertin Grand Cru</v>
      </c>
      <c r="E994" s="9">
        <f>IFERROR(__xludf.DUMMYFUNCTION("""COMPUTED_VALUE"""),2016.0)</f>
        <v>2016</v>
      </c>
      <c r="F994" s="9">
        <f>IFERROR(__xludf.DUMMYFUNCTION("""COMPUTED_VALUE"""),750.0)</f>
        <v>750</v>
      </c>
      <c r="G994" s="9">
        <f>IFERROR(__xludf.DUMMYFUNCTION("""COMPUTED_VALUE"""),6.0)</f>
        <v>6</v>
      </c>
      <c r="H994" s="10">
        <f>IFERROR(__xludf.DUMMYFUNCTION("""COMPUTED_VALUE"""),1.0)</f>
        <v>1</v>
      </c>
      <c r="I994" s="11">
        <f>IFERROR(__xludf.DUMMYFUNCTION("""COMPUTED_VALUE"""),1875.0)</f>
        <v>1875</v>
      </c>
      <c r="J994" s="9" t="str">
        <f>IFERROR(__xludf.DUMMYFUNCTION("""COMPUTED_VALUE"""),"UK")</f>
        <v>UK</v>
      </c>
      <c r="K994" s="8"/>
      <c r="L994" s="12"/>
      <c r="M994" s="13"/>
      <c r="N994" s="13" t="str">
        <f>IFERROR(__xludf.DUMMYFUNCTION("IF(ISBLANK(M994),"""",M994*GOOGLEFINANCE(""USDGBP""))"),"")</f>
        <v/>
      </c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</row>
    <row r="995">
      <c r="A995" s="8" t="str">
        <f>IFERROR(__xludf.DUMMYFUNCTION("""COMPUTED_VALUE"""),"125661320160600750")</f>
        <v>125661320160600750</v>
      </c>
      <c r="B995" s="9" t="str">
        <f>IFERROR(__xludf.DUMMYFUNCTION("""COMPUTED_VALUE"""),"France")</f>
        <v>France</v>
      </c>
      <c r="C995" s="9" t="str">
        <f>IFERROR(__xludf.DUMMYFUNCTION("""COMPUTED_VALUE"""),"burgundy")</f>
        <v>burgundy</v>
      </c>
      <c r="D995" s="9" t="str">
        <f>IFERROR(__xludf.DUMMYFUNCTION("""COMPUTED_VALUE"""),"Domaine Ponsot, Charmes-Chambertin Grand Cru, Cuvee des Merles")</f>
        <v>Domaine Ponsot, Charmes-Chambertin Grand Cru, Cuvee des Merles</v>
      </c>
      <c r="E995" s="9">
        <f>IFERROR(__xludf.DUMMYFUNCTION("""COMPUTED_VALUE"""),2016.0)</f>
        <v>2016</v>
      </c>
      <c r="F995" s="9">
        <f>IFERROR(__xludf.DUMMYFUNCTION("""COMPUTED_VALUE"""),750.0)</f>
        <v>750</v>
      </c>
      <c r="G995" s="9">
        <f>IFERROR(__xludf.DUMMYFUNCTION("""COMPUTED_VALUE"""),6.0)</f>
        <v>6</v>
      </c>
      <c r="H995" s="10">
        <f>IFERROR(__xludf.DUMMYFUNCTION("""COMPUTED_VALUE"""),1.0)</f>
        <v>1</v>
      </c>
      <c r="I995" s="11">
        <f>IFERROR(__xludf.DUMMYFUNCTION("""COMPUTED_VALUE"""),1786.0)</f>
        <v>1786</v>
      </c>
      <c r="J995" s="9" t="str">
        <f>IFERROR(__xludf.DUMMYFUNCTION("""COMPUTED_VALUE"""),"UK")</f>
        <v>UK</v>
      </c>
      <c r="K995" s="8"/>
      <c r="L995" s="12"/>
      <c r="M995" s="13"/>
      <c r="N995" s="13" t="str">
        <f>IFERROR(__xludf.DUMMYFUNCTION("IF(ISBLANK(M995),"""",M995*GOOGLEFINANCE(""USDGBP""))"),"")</f>
        <v/>
      </c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</row>
    <row r="996">
      <c r="A996" s="8" t="str">
        <f>IFERROR(__xludf.DUMMYFUNCTION("""COMPUTED_VALUE"""),"125661320170600750")</f>
        <v>125661320170600750</v>
      </c>
      <c r="B996" s="9" t="str">
        <f>IFERROR(__xludf.DUMMYFUNCTION("""COMPUTED_VALUE"""),"France")</f>
        <v>France</v>
      </c>
      <c r="C996" s="9" t="str">
        <f>IFERROR(__xludf.DUMMYFUNCTION("""COMPUTED_VALUE"""),"burgundy")</f>
        <v>burgundy</v>
      </c>
      <c r="D996" s="9" t="str">
        <f>IFERROR(__xludf.DUMMYFUNCTION("""COMPUTED_VALUE"""),"Domaine Ponsot, Charmes-Chambertin Grand Cru, Cuvee des Merles")</f>
        <v>Domaine Ponsot, Charmes-Chambertin Grand Cru, Cuvee des Merles</v>
      </c>
      <c r="E996" s="9">
        <f>IFERROR(__xludf.DUMMYFUNCTION("""COMPUTED_VALUE"""),2017.0)</f>
        <v>2017</v>
      </c>
      <c r="F996" s="9">
        <f>IFERROR(__xludf.DUMMYFUNCTION("""COMPUTED_VALUE"""),750.0)</f>
        <v>750</v>
      </c>
      <c r="G996" s="9">
        <f>IFERROR(__xludf.DUMMYFUNCTION("""COMPUTED_VALUE"""),6.0)</f>
        <v>6</v>
      </c>
      <c r="H996" s="10">
        <f>IFERROR(__xludf.DUMMYFUNCTION("""COMPUTED_VALUE"""),2.0)</f>
        <v>2</v>
      </c>
      <c r="I996" s="11">
        <f>IFERROR(__xludf.DUMMYFUNCTION("""COMPUTED_VALUE"""),1638.0)</f>
        <v>1638</v>
      </c>
      <c r="J996" s="9" t="str">
        <f>IFERROR(__xludf.DUMMYFUNCTION("""COMPUTED_VALUE"""),"UK")</f>
        <v>UK</v>
      </c>
      <c r="K996" s="8"/>
      <c r="L996" s="12"/>
      <c r="M996" s="13"/>
      <c r="N996" s="13" t="str">
        <f>IFERROR(__xludf.DUMMYFUNCTION("IF(ISBLANK(M996),"""",M996*GOOGLEFINANCE(""USDGBP""))"),"")</f>
        <v/>
      </c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</row>
    <row r="997">
      <c r="A997" s="8" t="str">
        <f>IFERROR(__xludf.DUMMYFUNCTION("""COMPUTED_VALUE"""),"125661320180600750")</f>
        <v>125661320180600750</v>
      </c>
      <c r="B997" s="9" t="str">
        <f>IFERROR(__xludf.DUMMYFUNCTION("""COMPUTED_VALUE"""),"France")</f>
        <v>France</v>
      </c>
      <c r="C997" s="9" t="str">
        <f>IFERROR(__xludf.DUMMYFUNCTION("""COMPUTED_VALUE"""),"burgundy")</f>
        <v>burgundy</v>
      </c>
      <c r="D997" s="9" t="str">
        <f>IFERROR(__xludf.DUMMYFUNCTION("""COMPUTED_VALUE"""),"Domaine Ponsot, Charmes-Chambertin Grand Cru, Cuvee des Merles")</f>
        <v>Domaine Ponsot, Charmes-Chambertin Grand Cru, Cuvee des Merles</v>
      </c>
      <c r="E997" s="9">
        <f>IFERROR(__xludf.DUMMYFUNCTION("""COMPUTED_VALUE"""),2018.0)</f>
        <v>2018</v>
      </c>
      <c r="F997" s="9">
        <f>IFERROR(__xludf.DUMMYFUNCTION("""COMPUTED_VALUE"""),750.0)</f>
        <v>750</v>
      </c>
      <c r="G997" s="9">
        <f>IFERROR(__xludf.DUMMYFUNCTION("""COMPUTED_VALUE"""),6.0)</f>
        <v>6</v>
      </c>
      <c r="H997" s="10">
        <f>IFERROR(__xludf.DUMMYFUNCTION("""COMPUTED_VALUE"""),1.0)</f>
        <v>1</v>
      </c>
      <c r="I997" s="11">
        <f>IFERROR(__xludf.DUMMYFUNCTION("""COMPUTED_VALUE"""),1556.0)</f>
        <v>1556</v>
      </c>
      <c r="J997" s="9" t="str">
        <f>IFERROR(__xludf.DUMMYFUNCTION("""COMPUTED_VALUE"""),"UK")</f>
        <v>UK</v>
      </c>
      <c r="K997" s="8"/>
      <c r="L997" s="12"/>
      <c r="M997" s="13"/>
      <c r="N997" s="13" t="str">
        <f>IFERROR(__xludf.DUMMYFUNCTION("IF(ISBLANK(M997),"""",M997*GOOGLEFINANCE(""USDGBP""))"),"")</f>
        <v/>
      </c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</row>
    <row r="998">
      <c r="A998" s="8" t="str">
        <f>IFERROR(__xludf.DUMMYFUNCTION("""COMPUTED_VALUE"""),"105155320140600750")</f>
        <v>105155320140600750</v>
      </c>
      <c r="B998" s="9" t="str">
        <f>IFERROR(__xludf.DUMMYFUNCTION("""COMPUTED_VALUE"""),"France")</f>
        <v>France</v>
      </c>
      <c r="C998" s="9" t="str">
        <f>IFERROR(__xludf.DUMMYFUNCTION("""COMPUTED_VALUE"""),"burgundy")</f>
        <v>burgundy</v>
      </c>
      <c r="D998" s="9" t="str">
        <f>IFERROR(__xludf.DUMMYFUNCTION("""COMPUTED_VALUE"""),"Domaine Ponsot, Clos de Vougeot Grand Cru, Cuvee Vieilles Vignes")</f>
        <v>Domaine Ponsot, Clos de Vougeot Grand Cru, Cuvee Vieilles Vignes</v>
      </c>
      <c r="E998" s="9">
        <f>IFERROR(__xludf.DUMMYFUNCTION("""COMPUTED_VALUE"""),2014.0)</f>
        <v>2014</v>
      </c>
      <c r="F998" s="9">
        <f>IFERROR(__xludf.DUMMYFUNCTION("""COMPUTED_VALUE"""),750.0)</f>
        <v>750</v>
      </c>
      <c r="G998" s="9">
        <f>IFERROR(__xludf.DUMMYFUNCTION("""COMPUTED_VALUE"""),6.0)</f>
        <v>6</v>
      </c>
      <c r="H998" s="10">
        <f>IFERROR(__xludf.DUMMYFUNCTION("""COMPUTED_VALUE"""),2.0)</f>
        <v>2</v>
      </c>
      <c r="I998" s="11">
        <f>IFERROR(__xludf.DUMMYFUNCTION("""COMPUTED_VALUE"""),1601.0)</f>
        <v>1601</v>
      </c>
      <c r="J998" s="9" t="str">
        <f>IFERROR(__xludf.DUMMYFUNCTION("""COMPUTED_VALUE"""),"UK")</f>
        <v>UK</v>
      </c>
      <c r="K998" s="8"/>
      <c r="L998" s="12"/>
      <c r="M998" s="13"/>
      <c r="N998" s="13" t="str">
        <f>IFERROR(__xludf.DUMMYFUNCTION("IF(ISBLANK(M998),"""",M998*GOOGLEFINANCE(""USDGBP""))"),"")</f>
        <v/>
      </c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</row>
    <row r="999">
      <c r="A999" s="8" t="str">
        <f>IFERROR(__xludf.DUMMYFUNCTION("""COMPUTED_VALUE"""),"105155320160600750")</f>
        <v>105155320160600750</v>
      </c>
      <c r="B999" s="9" t="str">
        <f>IFERROR(__xludf.DUMMYFUNCTION("""COMPUTED_VALUE"""),"France")</f>
        <v>France</v>
      </c>
      <c r="C999" s="9" t="str">
        <f>IFERROR(__xludf.DUMMYFUNCTION("""COMPUTED_VALUE"""),"burgundy")</f>
        <v>burgundy</v>
      </c>
      <c r="D999" s="9" t="str">
        <f>IFERROR(__xludf.DUMMYFUNCTION("""COMPUTED_VALUE"""),"Domaine Ponsot, Clos de Vougeot Grand Cru, Cuvee Vieilles Vignes")</f>
        <v>Domaine Ponsot, Clos de Vougeot Grand Cru, Cuvee Vieilles Vignes</v>
      </c>
      <c r="E999" s="9">
        <f>IFERROR(__xludf.DUMMYFUNCTION("""COMPUTED_VALUE"""),2016.0)</f>
        <v>2016</v>
      </c>
      <c r="F999" s="9">
        <f>IFERROR(__xludf.DUMMYFUNCTION("""COMPUTED_VALUE"""),750.0)</f>
        <v>750</v>
      </c>
      <c r="G999" s="9">
        <f>IFERROR(__xludf.DUMMYFUNCTION("""COMPUTED_VALUE"""),6.0)</f>
        <v>6</v>
      </c>
      <c r="H999" s="10">
        <f>IFERROR(__xludf.DUMMYFUNCTION("""COMPUTED_VALUE"""),3.0)</f>
        <v>3</v>
      </c>
      <c r="I999" s="11">
        <f>IFERROR(__xludf.DUMMYFUNCTION("""COMPUTED_VALUE"""),1743.0)</f>
        <v>1743</v>
      </c>
      <c r="J999" s="9" t="str">
        <f>IFERROR(__xludf.DUMMYFUNCTION("""COMPUTED_VALUE"""),"UK")</f>
        <v>UK</v>
      </c>
      <c r="K999" s="8"/>
      <c r="L999" s="12"/>
      <c r="M999" s="13"/>
      <c r="N999" s="13" t="str">
        <f>IFERROR(__xludf.DUMMYFUNCTION("IF(ISBLANK(M999),"""",M999*GOOGLEFINANCE(""USDGBP""))"),"")</f>
        <v/>
      </c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</row>
    <row r="1000">
      <c r="A1000" s="8" t="str">
        <f>IFERROR(__xludf.DUMMYFUNCTION("""COMPUTED_VALUE"""),"105155320170600750")</f>
        <v>105155320170600750</v>
      </c>
      <c r="B1000" s="9" t="str">
        <f>IFERROR(__xludf.DUMMYFUNCTION("""COMPUTED_VALUE"""),"France")</f>
        <v>France</v>
      </c>
      <c r="C1000" s="9" t="str">
        <f>IFERROR(__xludf.DUMMYFUNCTION("""COMPUTED_VALUE"""),"burgundy")</f>
        <v>burgundy</v>
      </c>
      <c r="D1000" s="9" t="str">
        <f>IFERROR(__xludf.DUMMYFUNCTION("""COMPUTED_VALUE"""),"Domaine Ponsot, Clos de Vougeot Grand Cru, Cuvee Vieilles Vignes")</f>
        <v>Domaine Ponsot, Clos de Vougeot Grand Cru, Cuvee Vieilles Vignes</v>
      </c>
      <c r="E1000" s="9">
        <f>IFERROR(__xludf.DUMMYFUNCTION("""COMPUTED_VALUE"""),2017.0)</f>
        <v>2017</v>
      </c>
      <c r="F1000" s="9">
        <f>IFERROR(__xludf.DUMMYFUNCTION("""COMPUTED_VALUE"""),750.0)</f>
        <v>750</v>
      </c>
      <c r="G1000" s="9">
        <f>IFERROR(__xludf.DUMMYFUNCTION("""COMPUTED_VALUE"""),6.0)</f>
        <v>6</v>
      </c>
      <c r="H1000" s="10">
        <f>IFERROR(__xludf.DUMMYFUNCTION("""COMPUTED_VALUE"""),2.0)</f>
        <v>2</v>
      </c>
      <c r="I1000" s="11">
        <f>IFERROR(__xludf.DUMMYFUNCTION("""COMPUTED_VALUE"""),1743.0)</f>
        <v>1743</v>
      </c>
      <c r="J1000" s="9" t="str">
        <f>IFERROR(__xludf.DUMMYFUNCTION("""COMPUTED_VALUE"""),"UK")</f>
        <v>UK</v>
      </c>
      <c r="K1000" s="8"/>
      <c r="L1000" s="12"/>
      <c r="M1000" s="13"/>
      <c r="N1000" s="13" t="str">
        <f>IFERROR(__xludf.DUMMYFUNCTION("IF(ISBLANK(M1000),"""",M1000*GOOGLEFINANCE(""USDGBP""))"),"")</f>
        <v/>
      </c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</row>
    <row r="1001">
      <c r="A1001" s="8" t="str">
        <f>IFERROR(__xludf.DUMMYFUNCTION("""COMPUTED_VALUE"""),"105155320180600750")</f>
        <v>105155320180600750</v>
      </c>
      <c r="B1001" s="9" t="str">
        <f>IFERROR(__xludf.DUMMYFUNCTION("""COMPUTED_VALUE"""),"France")</f>
        <v>France</v>
      </c>
      <c r="C1001" s="9" t="str">
        <f>IFERROR(__xludf.DUMMYFUNCTION("""COMPUTED_VALUE"""),"burgundy")</f>
        <v>burgundy</v>
      </c>
      <c r="D1001" s="9" t="str">
        <f>IFERROR(__xludf.DUMMYFUNCTION("""COMPUTED_VALUE"""),"Domaine Ponsot, Clos de Vougeot Grand Cru, Cuvee Vieilles Vignes")</f>
        <v>Domaine Ponsot, Clos de Vougeot Grand Cru, Cuvee Vieilles Vignes</v>
      </c>
      <c r="E1001" s="9">
        <f>IFERROR(__xludf.DUMMYFUNCTION("""COMPUTED_VALUE"""),2018.0)</f>
        <v>2018</v>
      </c>
      <c r="F1001" s="9">
        <f>IFERROR(__xludf.DUMMYFUNCTION("""COMPUTED_VALUE"""),750.0)</f>
        <v>750</v>
      </c>
      <c r="G1001" s="9">
        <f>IFERROR(__xludf.DUMMYFUNCTION("""COMPUTED_VALUE"""),6.0)</f>
        <v>6</v>
      </c>
      <c r="H1001" s="10">
        <f>IFERROR(__xludf.DUMMYFUNCTION("""COMPUTED_VALUE"""),2.0)</f>
        <v>2</v>
      </c>
      <c r="I1001" s="11">
        <f>IFERROR(__xludf.DUMMYFUNCTION("""COMPUTED_VALUE"""),1539.0)</f>
        <v>1539</v>
      </c>
      <c r="J1001" s="9" t="str">
        <f>IFERROR(__xludf.DUMMYFUNCTION("""COMPUTED_VALUE"""),"UK")</f>
        <v>UK</v>
      </c>
      <c r="K1001" s="8"/>
      <c r="L1001" s="12"/>
      <c r="M1001" s="13"/>
      <c r="N1001" s="13" t="str">
        <f>IFERROR(__xludf.DUMMYFUNCTION("IF(ISBLANK(M1001),"""",M1001*GOOGLEFINANCE(""USDGBP""))"),"")</f>
        <v/>
      </c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</row>
    <row r="1002">
      <c r="A1002" s="8" t="str">
        <f>IFERROR(__xludf.DUMMYFUNCTION("""COMPUTED_VALUE"""),"105155320190600750")</f>
        <v>105155320190600750</v>
      </c>
      <c r="B1002" s="9" t="str">
        <f>IFERROR(__xludf.DUMMYFUNCTION("""COMPUTED_VALUE"""),"France")</f>
        <v>France</v>
      </c>
      <c r="C1002" s="9" t="str">
        <f>IFERROR(__xludf.DUMMYFUNCTION("""COMPUTED_VALUE"""),"burgundy")</f>
        <v>burgundy</v>
      </c>
      <c r="D1002" s="9" t="str">
        <f>IFERROR(__xludf.DUMMYFUNCTION("""COMPUTED_VALUE"""),"Domaine Ponsot, Clos de Vougeot Grand Cru, Cuvee Vieilles Vignes")</f>
        <v>Domaine Ponsot, Clos de Vougeot Grand Cru, Cuvee Vieilles Vignes</v>
      </c>
      <c r="E1002" s="9">
        <f>IFERROR(__xludf.DUMMYFUNCTION("""COMPUTED_VALUE"""),2019.0)</f>
        <v>2019</v>
      </c>
      <c r="F1002" s="9">
        <f>IFERROR(__xludf.DUMMYFUNCTION("""COMPUTED_VALUE"""),750.0)</f>
        <v>750</v>
      </c>
      <c r="G1002" s="9">
        <f>IFERROR(__xludf.DUMMYFUNCTION("""COMPUTED_VALUE"""),6.0)</f>
        <v>6</v>
      </c>
      <c r="H1002" s="10">
        <f>IFERROR(__xludf.DUMMYFUNCTION("""COMPUTED_VALUE"""),1.0)</f>
        <v>1</v>
      </c>
      <c r="I1002" s="11">
        <f>IFERROR(__xludf.DUMMYFUNCTION("""COMPUTED_VALUE"""),1763.0)</f>
        <v>1763</v>
      </c>
      <c r="J1002" s="9" t="str">
        <f>IFERROR(__xludf.DUMMYFUNCTION("""COMPUTED_VALUE"""),"UK")</f>
        <v>UK</v>
      </c>
      <c r="K1002" s="8"/>
      <c r="L1002" s="12"/>
      <c r="M1002" s="13"/>
      <c r="N1002" s="13" t="str">
        <f>IFERROR(__xludf.DUMMYFUNCTION("IF(ISBLANK(M1002),"""",M1002*GOOGLEFINANCE(""USDGBP""))"),"")</f>
        <v/>
      </c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</row>
    <row r="1003">
      <c r="A1003" s="8" t="str">
        <f>IFERROR(__xludf.DUMMYFUNCTION("""COMPUTED_VALUE"""),"105150820170301500")</f>
        <v>105150820170301500</v>
      </c>
      <c r="B1003" s="9" t="str">
        <f>IFERROR(__xludf.DUMMYFUNCTION("""COMPUTED_VALUE"""),"France")</f>
        <v>France</v>
      </c>
      <c r="C1003" s="9" t="str">
        <f>IFERROR(__xludf.DUMMYFUNCTION("""COMPUTED_VALUE"""),"burgundy")</f>
        <v>burgundy</v>
      </c>
      <c r="D1003" s="9" t="str">
        <f>IFERROR(__xludf.DUMMYFUNCTION("""COMPUTED_VALUE"""),"Domaine Ponsot, Clos de la Roche Grand Cru, Cuvee Vieilles Vignes")</f>
        <v>Domaine Ponsot, Clos de la Roche Grand Cru, Cuvee Vieilles Vignes</v>
      </c>
      <c r="E1003" s="9">
        <f>IFERROR(__xludf.DUMMYFUNCTION("""COMPUTED_VALUE"""),2017.0)</f>
        <v>2017</v>
      </c>
      <c r="F1003" s="9">
        <f>IFERROR(__xludf.DUMMYFUNCTION("""COMPUTED_VALUE"""),1500.0)</f>
        <v>1500</v>
      </c>
      <c r="G1003" s="9">
        <f>IFERROR(__xludf.DUMMYFUNCTION("""COMPUTED_VALUE"""),3.0)</f>
        <v>3</v>
      </c>
      <c r="H1003" s="10">
        <f>IFERROR(__xludf.DUMMYFUNCTION("""COMPUTED_VALUE"""),1.0)</f>
        <v>1</v>
      </c>
      <c r="I1003" s="11">
        <f>IFERROR(__xludf.DUMMYFUNCTION("""COMPUTED_VALUE"""),1847.0)</f>
        <v>1847</v>
      </c>
      <c r="J1003" s="9" t="str">
        <f>IFERROR(__xludf.DUMMYFUNCTION("""COMPUTED_VALUE"""),"UK")</f>
        <v>UK</v>
      </c>
      <c r="K1003" s="8"/>
      <c r="L1003" s="12"/>
      <c r="M1003" s="13"/>
      <c r="N1003" s="13" t="str">
        <f>IFERROR(__xludf.DUMMYFUNCTION("IF(ISBLANK(M1003),"""",M1003*GOOGLEFINANCE(""USDGBP""))"),"")</f>
        <v/>
      </c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</row>
    <row r="1004">
      <c r="A1004" s="8" t="str">
        <f>IFERROR(__xludf.DUMMYFUNCTION("""COMPUTED_VALUE"""),"105150820190600750")</f>
        <v>105150820190600750</v>
      </c>
      <c r="B1004" s="9" t="str">
        <f>IFERROR(__xludf.DUMMYFUNCTION("""COMPUTED_VALUE"""),"France")</f>
        <v>France</v>
      </c>
      <c r="C1004" s="9" t="str">
        <f>IFERROR(__xludf.DUMMYFUNCTION("""COMPUTED_VALUE"""),"burgundy")</f>
        <v>burgundy</v>
      </c>
      <c r="D1004" s="9" t="str">
        <f>IFERROR(__xludf.DUMMYFUNCTION("""COMPUTED_VALUE"""),"Domaine Ponsot, Clos de la Roche Grand Cru, Cuvee Vieilles Vignes")</f>
        <v>Domaine Ponsot, Clos de la Roche Grand Cru, Cuvee Vieilles Vignes</v>
      </c>
      <c r="E1004" s="9">
        <f>IFERROR(__xludf.DUMMYFUNCTION("""COMPUTED_VALUE"""),2019.0)</f>
        <v>2019</v>
      </c>
      <c r="F1004" s="9">
        <f>IFERROR(__xludf.DUMMYFUNCTION("""COMPUTED_VALUE"""),750.0)</f>
        <v>750</v>
      </c>
      <c r="G1004" s="9">
        <f>IFERROR(__xludf.DUMMYFUNCTION("""COMPUTED_VALUE"""),6.0)</f>
        <v>6</v>
      </c>
      <c r="H1004" s="10">
        <f>IFERROR(__xludf.DUMMYFUNCTION("""COMPUTED_VALUE"""),2.0)</f>
        <v>2</v>
      </c>
      <c r="I1004" s="11">
        <f>IFERROR(__xludf.DUMMYFUNCTION("""COMPUTED_VALUE"""),2421.0)</f>
        <v>2421</v>
      </c>
      <c r="J1004" s="9" t="str">
        <f>IFERROR(__xludf.DUMMYFUNCTION("""COMPUTED_VALUE"""),"UK")</f>
        <v>UK</v>
      </c>
      <c r="K1004" s="8"/>
      <c r="L1004" s="12"/>
      <c r="M1004" s="13"/>
      <c r="N1004" s="13" t="str">
        <f>IFERROR(__xludf.DUMMYFUNCTION("IF(ISBLANK(M1004),"""",M1004*GOOGLEFINANCE(""USDGBP""))"),"")</f>
        <v/>
      </c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</row>
    <row r="1005">
      <c r="A1005" s="8" t="str">
        <f>IFERROR(__xludf.DUMMYFUNCTION("""COMPUTED_VALUE"""),"113632020120600750")</f>
        <v>113632020120600750</v>
      </c>
      <c r="B1005" s="9" t="str">
        <f>IFERROR(__xludf.DUMMYFUNCTION("""COMPUTED_VALUE"""),"France")</f>
        <v>France</v>
      </c>
      <c r="C1005" s="9" t="str">
        <f>IFERROR(__xludf.DUMMYFUNCTION("""COMPUTED_VALUE"""),"burgundy")</f>
        <v>burgundy</v>
      </c>
      <c r="D1005" s="9" t="str">
        <f>IFERROR(__xludf.DUMMYFUNCTION("""COMPUTED_VALUE"""),"Domaine Ponsot, Corton Grand Cru, Cuvee du Bourdon")</f>
        <v>Domaine Ponsot, Corton Grand Cru, Cuvee du Bourdon</v>
      </c>
      <c r="E1005" s="9">
        <f>IFERROR(__xludf.DUMMYFUNCTION("""COMPUTED_VALUE"""),2012.0)</f>
        <v>2012</v>
      </c>
      <c r="F1005" s="9">
        <f>IFERROR(__xludf.DUMMYFUNCTION("""COMPUTED_VALUE"""),750.0)</f>
        <v>750</v>
      </c>
      <c r="G1005" s="9">
        <f>IFERROR(__xludf.DUMMYFUNCTION("""COMPUTED_VALUE"""),6.0)</f>
        <v>6</v>
      </c>
      <c r="H1005" s="10">
        <f>IFERROR(__xludf.DUMMYFUNCTION("""COMPUTED_VALUE"""),2.0)</f>
        <v>2</v>
      </c>
      <c r="I1005" s="11">
        <f>IFERROR(__xludf.DUMMYFUNCTION("""COMPUTED_VALUE"""),1035.0)</f>
        <v>1035</v>
      </c>
      <c r="J1005" s="9" t="str">
        <f>IFERROR(__xludf.DUMMYFUNCTION("""COMPUTED_VALUE"""),"UK")</f>
        <v>UK</v>
      </c>
      <c r="K1005" s="8"/>
      <c r="L1005" s="12"/>
      <c r="M1005" s="13"/>
      <c r="N1005" s="13" t="str">
        <f>IFERROR(__xludf.DUMMYFUNCTION("IF(ISBLANK(M1005),"""",M1005*GOOGLEFINANCE(""USDGBP""))"),"")</f>
        <v/>
      </c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</row>
    <row r="1006">
      <c r="A1006" s="8" t="str">
        <f>IFERROR(__xludf.DUMMYFUNCTION("""COMPUTED_VALUE"""),"113632020160600750")</f>
        <v>113632020160600750</v>
      </c>
      <c r="B1006" s="9" t="str">
        <f>IFERROR(__xludf.DUMMYFUNCTION("""COMPUTED_VALUE"""),"France")</f>
        <v>France</v>
      </c>
      <c r="C1006" s="9" t="str">
        <f>IFERROR(__xludf.DUMMYFUNCTION("""COMPUTED_VALUE"""),"burgundy")</f>
        <v>burgundy</v>
      </c>
      <c r="D1006" s="9" t="str">
        <f>IFERROR(__xludf.DUMMYFUNCTION("""COMPUTED_VALUE"""),"Domaine Ponsot, Corton Grand Cru, Cuvee du Bourdon")</f>
        <v>Domaine Ponsot, Corton Grand Cru, Cuvee du Bourdon</v>
      </c>
      <c r="E1006" s="9">
        <f>IFERROR(__xludf.DUMMYFUNCTION("""COMPUTED_VALUE"""),2016.0)</f>
        <v>2016</v>
      </c>
      <c r="F1006" s="9">
        <f>IFERROR(__xludf.DUMMYFUNCTION("""COMPUTED_VALUE"""),750.0)</f>
        <v>750</v>
      </c>
      <c r="G1006" s="9">
        <f>IFERROR(__xludf.DUMMYFUNCTION("""COMPUTED_VALUE"""),6.0)</f>
        <v>6</v>
      </c>
      <c r="H1006" s="10">
        <f>IFERROR(__xludf.DUMMYFUNCTION("""COMPUTED_VALUE"""),2.0)</f>
        <v>2</v>
      </c>
      <c r="I1006" s="11">
        <f>IFERROR(__xludf.DUMMYFUNCTION("""COMPUTED_VALUE"""),862.0)</f>
        <v>862</v>
      </c>
      <c r="J1006" s="9" t="str">
        <f>IFERROR(__xludf.DUMMYFUNCTION("""COMPUTED_VALUE"""),"UK")</f>
        <v>UK</v>
      </c>
      <c r="K1006" s="8"/>
      <c r="L1006" s="12"/>
      <c r="M1006" s="13"/>
      <c r="N1006" s="13" t="str">
        <f>IFERROR(__xludf.DUMMYFUNCTION("IF(ISBLANK(M1006),"""",M1006*GOOGLEFINANCE(""USDGBP""))"),"")</f>
        <v/>
      </c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</row>
    <row r="1007">
      <c r="A1007" s="8" t="str">
        <f>IFERROR(__xludf.DUMMYFUNCTION("""COMPUTED_VALUE"""),"113632020180600750")</f>
        <v>113632020180600750</v>
      </c>
      <c r="B1007" s="9" t="str">
        <f>IFERROR(__xludf.DUMMYFUNCTION("""COMPUTED_VALUE"""),"France")</f>
        <v>France</v>
      </c>
      <c r="C1007" s="9" t="str">
        <f>IFERROR(__xludf.DUMMYFUNCTION("""COMPUTED_VALUE"""),"burgundy")</f>
        <v>burgundy</v>
      </c>
      <c r="D1007" s="9" t="str">
        <f>IFERROR(__xludf.DUMMYFUNCTION("""COMPUTED_VALUE"""),"Domaine Ponsot, Corton Grand Cru, Cuvee du Bourdon")</f>
        <v>Domaine Ponsot, Corton Grand Cru, Cuvee du Bourdon</v>
      </c>
      <c r="E1007" s="9">
        <f>IFERROR(__xludf.DUMMYFUNCTION("""COMPUTED_VALUE"""),2018.0)</f>
        <v>2018</v>
      </c>
      <c r="F1007" s="9">
        <f>IFERROR(__xludf.DUMMYFUNCTION("""COMPUTED_VALUE"""),750.0)</f>
        <v>750</v>
      </c>
      <c r="G1007" s="9">
        <f>IFERROR(__xludf.DUMMYFUNCTION("""COMPUTED_VALUE"""),6.0)</f>
        <v>6</v>
      </c>
      <c r="H1007" s="10">
        <f>IFERROR(__xludf.DUMMYFUNCTION("""COMPUTED_VALUE"""),1.0)</f>
        <v>1</v>
      </c>
      <c r="I1007" s="11">
        <f>IFERROR(__xludf.DUMMYFUNCTION("""COMPUTED_VALUE"""),1251.0)</f>
        <v>1251</v>
      </c>
      <c r="J1007" s="9" t="str">
        <f>IFERROR(__xludf.DUMMYFUNCTION("""COMPUTED_VALUE"""),"UK")</f>
        <v>UK</v>
      </c>
      <c r="K1007" s="8"/>
      <c r="L1007" s="12"/>
      <c r="M1007" s="13"/>
      <c r="N1007" s="13" t="str">
        <f>IFERROR(__xludf.DUMMYFUNCTION("IF(ISBLANK(M1007),"""",M1007*GOOGLEFINANCE(""USDGBP""))"),"")</f>
        <v/>
      </c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</row>
    <row r="1008">
      <c r="A1008" s="8" t="str">
        <f>IFERROR(__xludf.DUMMYFUNCTION("""COMPUTED_VALUE"""),"113631720110600750")</f>
        <v>113631720110600750</v>
      </c>
      <c r="B1008" s="9" t="str">
        <f>IFERROR(__xludf.DUMMYFUNCTION("""COMPUTED_VALUE"""),"France")</f>
        <v>France</v>
      </c>
      <c r="C1008" s="9" t="str">
        <f>IFERROR(__xludf.DUMMYFUNCTION("""COMPUTED_VALUE"""),"burgundy")</f>
        <v>burgundy</v>
      </c>
      <c r="D1008" s="9" t="str">
        <f>IFERROR(__xludf.DUMMYFUNCTION("""COMPUTED_VALUE"""),"Domaine Ponsot, Corton Grand Cru, Les Bressandes")</f>
        <v>Domaine Ponsot, Corton Grand Cru, Les Bressandes</v>
      </c>
      <c r="E1008" s="9">
        <f>IFERROR(__xludf.DUMMYFUNCTION("""COMPUTED_VALUE"""),2011.0)</f>
        <v>2011</v>
      </c>
      <c r="F1008" s="9">
        <f>IFERROR(__xludf.DUMMYFUNCTION("""COMPUTED_VALUE"""),750.0)</f>
        <v>750</v>
      </c>
      <c r="G1008" s="9">
        <f>IFERROR(__xludf.DUMMYFUNCTION("""COMPUTED_VALUE"""),6.0)</f>
        <v>6</v>
      </c>
      <c r="H1008" s="10">
        <f>IFERROR(__xludf.DUMMYFUNCTION("""COMPUTED_VALUE"""),2.0)</f>
        <v>2</v>
      </c>
      <c r="I1008" s="11">
        <f>IFERROR(__xludf.DUMMYFUNCTION("""COMPUTED_VALUE"""),1215.0)</f>
        <v>1215</v>
      </c>
      <c r="J1008" s="9" t="str">
        <f>IFERROR(__xludf.DUMMYFUNCTION("""COMPUTED_VALUE"""),"UK")</f>
        <v>UK</v>
      </c>
      <c r="K1008" s="8"/>
      <c r="L1008" s="12"/>
      <c r="M1008" s="13"/>
      <c r="N1008" s="13" t="str">
        <f>IFERROR(__xludf.DUMMYFUNCTION("IF(ISBLANK(M1008),"""",M1008*GOOGLEFINANCE(""USDGBP""))"),"")</f>
        <v/>
      </c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</row>
    <row r="1009">
      <c r="A1009" s="8" t="str">
        <f>IFERROR(__xludf.DUMMYFUNCTION("""COMPUTED_VALUE"""),"113631720130600750")</f>
        <v>113631720130600750</v>
      </c>
      <c r="B1009" s="9" t="str">
        <f>IFERROR(__xludf.DUMMYFUNCTION("""COMPUTED_VALUE"""),"France")</f>
        <v>France</v>
      </c>
      <c r="C1009" s="9" t="str">
        <f>IFERROR(__xludf.DUMMYFUNCTION("""COMPUTED_VALUE"""),"burgundy")</f>
        <v>burgundy</v>
      </c>
      <c r="D1009" s="9" t="str">
        <f>IFERROR(__xludf.DUMMYFUNCTION("""COMPUTED_VALUE"""),"Domaine Ponsot, Corton Grand Cru, Les Bressandes")</f>
        <v>Domaine Ponsot, Corton Grand Cru, Les Bressandes</v>
      </c>
      <c r="E1009" s="9">
        <f>IFERROR(__xludf.DUMMYFUNCTION("""COMPUTED_VALUE"""),2013.0)</f>
        <v>2013</v>
      </c>
      <c r="F1009" s="9">
        <f>IFERROR(__xludf.DUMMYFUNCTION("""COMPUTED_VALUE"""),750.0)</f>
        <v>750</v>
      </c>
      <c r="G1009" s="9">
        <f>IFERROR(__xludf.DUMMYFUNCTION("""COMPUTED_VALUE"""),6.0)</f>
        <v>6</v>
      </c>
      <c r="H1009" s="10">
        <f>IFERROR(__xludf.DUMMYFUNCTION("""COMPUTED_VALUE"""),4.0)</f>
        <v>4</v>
      </c>
      <c r="I1009" s="11">
        <f>IFERROR(__xludf.DUMMYFUNCTION("""COMPUTED_VALUE"""),940.0)</f>
        <v>940</v>
      </c>
      <c r="J1009" s="9" t="str">
        <f>IFERROR(__xludf.DUMMYFUNCTION("""COMPUTED_VALUE"""),"UK")</f>
        <v>UK</v>
      </c>
      <c r="K1009" s="8"/>
      <c r="L1009" s="12"/>
      <c r="M1009" s="13"/>
      <c r="N1009" s="13" t="str">
        <f>IFERROR(__xludf.DUMMYFUNCTION("IF(ISBLANK(M1009),"""",M1009*GOOGLEFINANCE(""USDGBP""))"),"")</f>
        <v/>
      </c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</row>
    <row r="1010">
      <c r="A1010" s="8" t="str">
        <f>IFERROR(__xludf.DUMMYFUNCTION("""COMPUTED_VALUE"""),"105159520120600750")</f>
        <v>105159520120600750</v>
      </c>
      <c r="B1010" s="9" t="str">
        <f>IFERROR(__xludf.DUMMYFUNCTION("""COMPUTED_VALUE"""),"France")</f>
        <v>France</v>
      </c>
      <c r="C1010" s="9" t="str">
        <f>IFERROR(__xludf.DUMMYFUNCTION("""COMPUTED_VALUE"""),"burgundy")</f>
        <v>burgundy</v>
      </c>
      <c r="D1010" s="9" t="str">
        <f>IFERROR(__xludf.DUMMYFUNCTION("""COMPUTED_VALUE"""),"Domaine Ponsot, Griotte-Chambertin Grand Cru")</f>
        <v>Domaine Ponsot, Griotte-Chambertin Grand Cru</v>
      </c>
      <c r="E1010" s="9">
        <f>IFERROR(__xludf.DUMMYFUNCTION("""COMPUTED_VALUE"""),2012.0)</f>
        <v>2012</v>
      </c>
      <c r="F1010" s="9">
        <f>IFERROR(__xludf.DUMMYFUNCTION("""COMPUTED_VALUE"""),750.0)</f>
        <v>750</v>
      </c>
      <c r="G1010" s="9">
        <f>IFERROR(__xludf.DUMMYFUNCTION("""COMPUTED_VALUE"""),6.0)</f>
        <v>6</v>
      </c>
      <c r="H1010" s="10">
        <f>IFERROR(__xludf.DUMMYFUNCTION("""COMPUTED_VALUE"""),1.0)</f>
        <v>1</v>
      </c>
      <c r="I1010" s="11">
        <f>IFERROR(__xludf.DUMMYFUNCTION("""COMPUTED_VALUE"""),1876.0)</f>
        <v>1876</v>
      </c>
      <c r="J1010" s="9" t="str">
        <f>IFERROR(__xludf.DUMMYFUNCTION("""COMPUTED_VALUE"""),"UK")</f>
        <v>UK</v>
      </c>
      <c r="K1010" s="8"/>
      <c r="L1010" s="12"/>
      <c r="M1010" s="13"/>
      <c r="N1010" s="13" t="str">
        <f>IFERROR(__xludf.DUMMYFUNCTION("IF(ISBLANK(M1010),"""",M1010*GOOGLEFINANCE(""USDGBP""))"),"")</f>
        <v/>
      </c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</row>
    <row r="1011">
      <c r="A1011" s="8" t="str">
        <f>IFERROR(__xludf.DUMMYFUNCTION("""COMPUTED_VALUE"""),"105159520140600750")</f>
        <v>105159520140600750</v>
      </c>
      <c r="B1011" s="9" t="str">
        <f>IFERROR(__xludf.DUMMYFUNCTION("""COMPUTED_VALUE"""),"France")</f>
        <v>France</v>
      </c>
      <c r="C1011" s="9" t="str">
        <f>IFERROR(__xludf.DUMMYFUNCTION("""COMPUTED_VALUE"""),"burgundy")</f>
        <v>burgundy</v>
      </c>
      <c r="D1011" s="9" t="str">
        <f>IFERROR(__xludf.DUMMYFUNCTION("""COMPUTED_VALUE"""),"Domaine Ponsot, Griotte-Chambertin Grand Cru")</f>
        <v>Domaine Ponsot, Griotte-Chambertin Grand Cru</v>
      </c>
      <c r="E1011" s="9">
        <f>IFERROR(__xludf.DUMMYFUNCTION("""COMPUTED_VALUE"""),2014.0)</f>
        <v>2014</v>
      </c>
      <c r="F1011" s="9">
        <f>IFERROR(__xludf.DUMMYFUNCTION("""COMPUTED_VALUE"""),750.0)</f>
        <v>750</v>
      </c>
      <c r="G1011" s="9">
        <f>IFERROR(__xludf.DUMMYFUNCTION("""COMPUTED_VALUE"""),6.0)</f>
        <v>6</v>
      </c>
      <c r="H1011" s="10">
        <f>IFERROR(__xludf.DUMMYFUNCTION("""COMPUTED_VALUE"""),1.0)</f>
        <v>1</v>
      </c>
      <c r="I1011" s="11">
        <f>IFERROR(__xludf.DUMMYFUNCTION("""COMPUTED_VALUE"""),2043.0)</f>
        <v>2043</v>
      </c>
      <c r="J1011" s="9" t="str">
        <f>IFERROR(__xludf.DUMMYFUNCTION("""COMPUTED_VALUE"""),"UK")</f>
        <v>UK</v>
      </c>
      <c r="K1011" s="8"/>
      <c r="L1011" s="12"/>
      <c r="M1011" s="13"/>
      <c r="N1011" s="13" t="str">
        <f>IFERROR(__xludf.DUMMYFUNCTION("IF(ISBLANK(M1011),"""",M1011*GOOGLEFINANCE(""USDGBP""))"),"")</f>
        <v/>
      </c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</row>
    <row r="1012">
      <c r="A1012" s="8" t="str">
        <f>IFERROR(__xludf.DUMMYFUNCTION("""COMPUTED_VALUE"""),"105159520150600750")</f>
        <v>105159520150600750</v>
      </c>
      <c r="B1012" s="9" t="str">
        <f>IFERROR(__xludf.DUMMYFUNCTION("""COMPUTED_VALUE"""),"France")</f>
        <v>France</v>
      </c>
      <c r="C1012" s="9" t="str">
        <f>IFERROR(__xludf.DUMMYFUNCTION("""COMPUTED_VALUE"""),"burgundy")</f>
        <v>burgundy</v>
      </c>
      <c r="D1012" s="9" t="str">
        <f>IFERROR(__xludf.DUMMYFUNCTION("""COMPUTED_VALUE"""),"Domaine Ponsot, Griotte-Chambertin Grand Cru")</f>
        <v>Domaine Ponsot, Griotte-Chambertin Grand Cru</v>
      </c>
      <c r="E1012" s="9">
        <f>IFERROR(__xludf.DUMMYFUNCTION("""COMPUTED_VALUE"""),2015.0)</f>
        <v>2015</v>
      </c>
      <c r="F1012" s="9">
        <f>IFERROR(__xludf.DUMMYFUNCTION("""COMPUTED_VALUE"""),750.0)</f>
        <v>750</v>
      </c>
      <c r="G1012" s="9">
        <f>IFERROR(__xludf.DUMMYFUNCTION("""COMPUTED_VALUE"""),6.0)</f>
        <v>6</v>
      </c>
      <c r="H1012" s="10">
        <f>IFERROR(__xludf.DUMMYFUNCTION("""COMPUTED_VALUE"""),2.0)</f>
        <v>2</v>
      </c>
      <c r="I1012" s="11">
        <f>IFERROR(__xludf.DUMMYFUNCTION("""COMPUTED_VALUE"""),2533.0)</f>
        <v>2533</v>
      </c>
      <c r="J1012" s="9" t="str">
        <f>IFERROR(__xludf.DUMMYFUNCTION("""COMPUTED_VALUE"""),"UK")</f>
        <v>UK</v>
      </c>
      <c r="K1012" s="8"/>
      <c r="L1012" s="12"/>
      <c r="M1012" s="13"/>
      <c r="N1012" s="13" t="str">
        <f>IFERROR(__xludf.DUMMYFUNCTION("IF(ISBLANK(M1012),"""",M1012*GOOGLEFINANCE(""USDGBP""))"),"")</f>
        <v/>
      </c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</row>
    <row r="1013">
      <c r="A1013" s="8" t="str">
        <f>IFERROR(__xludf.DUMMYFUNCTION("""COMPUTED_VALUE"""),"114363020110600750")</f>
        <v>114363020110600750</v>
      </c>
      <c r="B1013" s="9" t="str">
        <f>IFERROR(__xludf.DUMMYFUNCTION("""COMPUTED_VALUE"""),"France")</f>
        <v>France</v>
      </c>
      <c r="C1013" s="9" t="str">
        <f>IFERROR(__xludf.DUMMYFUNCTION("""COMPUTED_VALUE"""),"burgundy")</f>
        <v>burgundy</v>
      </c>
      <c r="D1013" s="9" t="str">
        <f>IFERROR(__xludf.DUMMYFUNCTION("""COMPUTED_VALUE"""),"Domaine Ponsot, Morey-Saint-Denis Premier Cru, Alouettes")</f>
        <v>Domaine Ponsot, Morey-Saint-Denis Premier Cru, Alouettes</v>
      </c>
      <c r="E1013" s="9">
        <f>IFERROR(__xludf.DUMMYFUNCTION("""COMPUTED_VALUE"""),2011.0)</f>
        <v>2011</v>
      </c>
      <c r="F1013" s="9">
        <f>IFERROR(__xludf.DUMMYFUNCTION("""COMPUTED_VALUE"""),750.0)</f>
        <v>750</v>
      </c>
      <c r="G1013" s="9">
        <f>IFERROR(__xludf.DUMMYFUNCTION("""COMPUTED_VALUE"""),6.0)</f>
        <v>6</v>
      </c>
      <c r="H1013" s="10">
        <f>IFERROR(__xludf.DUMMYFUNCTION("""COMPUTED_VALUE"""),3.0)</f>
        <v>3</v>
      </c>
      <c r="I1013" s="11">
        <f>IFERROR(__xludf.DUMMYFUNCTION("""COMPUTED_VALUE"""),685.0)</f>
        <v>685</v>
      </c>
      <c r="J1013" s="9" t="str">
        <f>IFERROR(__xludf.DUMMYFUNCTION("""COMPUTED_VALUE"""),"UK")</f>
        <v>UK</v>
      </c>
      <c r="K1013" s="8"/>
      <c r="L1013" s="12"/>
      <c r="M1013" s="13"/>
      <c r="N1013" s="13" t="str">
        <f>IFERROR(__xludf.DUMMYFUNCTION("IF(ISBLANK(M1013),"""",M1013*GOOGLEFINANCE(""USDGBP""))"),"")</f>
        <v/>
      </c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</row>
    <row r="1014">
      <c r="A1014" s="8" t="str">
        <f>IFERROR(__xludf.DUMMYFUNCTION("""COMPUTED_VALUE"""),"114363020120600750")</f>
        <v>114363020120600750</v>
      </c>
      <c r="B1014" s="9" t="str">
        <f>IFERROR(__xludf.DUMMYFUNCTION("""COMPUTED_VALUE"""),"France")</f>
        <v>France</v>
      </c>
      <c r="C1014" s="9" t="str">
        <f>IFERROR(__xludf.DUMMYFUNCTION("""COMPUTED_VALUE"""),"burgundy")</f>
        <v>burgundy</v>
      </c>
      <c r="D1014" s="9" t="str">
        <f>IFERROR(__xludf.DUMMYFUNCTION("""COMPUTED_VALUE"""),"Domaine Ponsot, Morey-Saint-Denis Premier Cru, Alouettes")</f>
        <v>Domaine Ponsot, Morey-Saint-Denis Premier Cru, Alouettes</v>
      </c>
      <c r="E1014" s="9">
        <f>IFERROR(__xludf.DUMMYFUNCTION("""COMPUTED_VALUE"""),2012.0)</f>
        <v>2012</v>
      </c>
      <c r="F1014" s="9">
        <f>IFERROR(__xludf.DUMMYFUNCTION("""COMPUTED_VALUE"""),750.0)</f>
        <v>750</v>
      </c>
      <c r="G1014" s="9">
        <f>IFERROR(__xludf.DUMMYFUNCTION("""COMPUTED_VALUE"""),6.0)</f>
        <v>6</v>
      </c>
      <c r="H1014" s="10">
        <f>IFERROR(__xludf.DUMMYFUNCTION("""COMPUTED_VALUE"""),1.0)</f>
        <v>1</v>
      </c>
      <c r="I1014" s="11">
        <f>IFERROR(__xludf.DUMMYFUNCTION("""COMPUTED_VALUE"""),756.0)</f>
        <v>756</v>
      </c>
      <c r="J1014" s="9" t="str">
        <f>IFERROR(__xludf.DUMMYFUNCTION("""COMPUTED_VALUE"""),"UK")</f>
        <v>UK</v>
      </c>
      <c r="K1014" s="8"/>
      <c r="L1014" s="12"/>
      <c r="M1014" s="13"/>
      <c r="N1014" s="13" t="str">
        <f>IFERROR(__xludf.DUMMYFUNCTION("IF(ISBLANK(M1014),"""",M1014*GOOGLEFINANCE(""USDGBP""))"),"")</f>
        <v/>
      </c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</row>
    <row r="1015">
      <c r="A1015" s="8" t="str">
        <f>IFERROR(__xludf.DUMMYFUNCTION("""COMPUTED_VALUE"""),"114363020140600750")</f>
        <v>114363020140600750</v>
      </c>
      <c r="B1015" s="9" t="str">
        <f>IFERROR(__xludf.DUMMYFUNCTION("""COMPUTED_VALUE"""),"France")</f>
        <v>France</v>
      </c>
      <c r="C1015" s="9" t="str">
        <f>IFERROR(__xludf.DUMMYFUNCTION("""COMPUTED_VALUE"""),"burgundy")</f>
        <v>burgundy</v>
      </c>
      <c r="D1015" s="9" t="str">
        <f>IFERROR(__xludf.DUMMYFUNCTION("""COMPUTED_VALUE"""),"Domaine Ponsot, Morey-Saint-Denis Premier Cru, Alouettes")</f>
        <v>Domaine Ponsot, Morey-Saint-Denis Premier Cru, Alouettes</v>
      </c>
      <c r="E1015" s="9">
        <f>IFERROR(__xludf.DUMMYFUNCTION("""COMPUTED_VALUE"""),2014.0)</f>
        <v>2014</v>
      </c>
      <c r="F1015" s="9">
        <f>IFERROR(__xludf.DUMMYFUNCTION("""COMPUTED_VALUE"""),750.0)</f>
        <v>750</v>
      </c>
      <c r="G1015" s="9">
        <f>IFERROR(__xludf.DUMMYFUNCTION("""COMPUTED_VALUE"""),6.0)</f>
        <v>6</v>
      </c>
      <c r="H1015" s="10">
        <f>IFERROR(__xludf.DUMMYFUNCTION("""COMPUTED_VALUE"""),4.0)</f>
        <v>4</v>
      </c>
      <c r="I1015" s="11">
        <f>IFERROR(__xludf.DUMMYFUNCTION("""COMPUTED_VALUE"""),624.0)</f>
        <v>624</v>
      </c>
      <c r="J1015" s="9" t="str">
        <f>IFERROR(__xludf.DUMMYFUNCTION("""COMPUTED_VALUE"""),"UK")</f>
        <v>UK</v>
      </c>
      <c r="K1015" s="8"/>
      <c r="L1015" s="12"/>
      <c r="M1015" s="13"/>
      <c r="N1015" s="13" t="str">
        <f>IFERROR(__xludf.DUMMYFUNCTION("IF(ISBLANK(M1015),"""",M1015*GOOGLEFINANCE(""USDGBP""))"),"")</f>
        <v/>
      </c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</row>
    <row r="1016">
      <c r="A1016" s="8" t="str">
        <f>IFERROR(__xludf.DUMMYFUNCTION("""COMPUTED_VALUE"""),"114363020160600750")</f>
        <v>114363020160600750</v>
      </c>
      <c r="B1016" s="9" t="str">
        <f>IFERROR(__xludf.DUMMYFUNCTION("""COMPUTED_VALUE"""),"France")</f>
        <v>France</v>
      </c>
      <c r="C1016" s="9" t="str">
        <f>IFERROR(__xludf.DUMMYFUNCTION("""COMPUTED_VALUE"""),"burgundy")</f>
        <v>burgundy</v>
      </c>
      <c r="D1016" s="9" t="str">
        <f>IFERROR(__xludf.DUMMYFUNCTION("""COMPUTED_VALUE"""),"Domaine Ponsot, Morey-Saint-Denis Premier Cru, Alouettes")</f>
        <v>Domaine Ponsot, Morey-Saint-Denis Premier Cru, Alouettes</v>
      </c>
      <c r="E1016" s="9">
        <f>IFERROR(__xludf.DUMMYFUNCTION("""COMPUTED_VALUE"""),2016.0)</f>
        <v>2016</v>
      </c>
      <c r="F1016" s="9">
        <f>IFERROR(__xludf.DUMMYFUNCTION("""COMPUTED_VALUE"""),750.0)</f>
        <v>750</v>
      </c>
      <c r="G1016" s="9">
        <f>IFERROR(__xludf.DUMMYFUNCTION("""COMPUTED_VALUE"""),6.0)</f>
        <v>6</v>
      </c>
      <c r="H1016" s="10">
        <f>IFERROR(__xludf.DUMMYFUNCTION("""COMPUTED_VALUE"""),11.0)</f>
        <v>11</v>
      </c>
      <c r="I1016" s="11">
        <f>IFERROR(__xludf.DUMMYFUNCTION("""COMPUTED_VALUE"""),694.0)</f>
        <v>694</v>
      </c>
      <c r="J1016" s="9" t="str">
        <f>IFERROR(__xludf.DUMMYFUNCTION("""COMPUTED_VALUE"""),"UK")</f>
        <v>UK</v>
      </c>
      <c r="K1016" s="8"/>
      <c r="L1016" s="12"/>
      <c r="M1016" s="13"/>
      <c r="N1016" s="13" t="str">
        <f>IFERROR(__xludf.DUMMYFUNCTION("IF(ISBLANK(M1016),"""",M1016*GOOGLEFINANCE(""USDGBP""))"),"")</f>
        <v/>
      </c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</row>
    <row r="1017">
      <c r="A1017" s="8" t="str">
        <f>IFERROR(__xludf.DUMMYFUNCTION("""COMPUTED_VALUE"""),"114363020170600750")</f>
        <v>114363020170600750</v>
      </c>
      <c r="B1017" s="9" t="str">
        <f>IFERROR(__xludf.DUMMYFUNCTION("""COMPUTED_VALUE"""),"France")</f>
        <v>France</v>
      </c>
      <c r="C1017" s="9" t="str">
        <f>IFERROR(__xludf.DUMMYFUNCTION("""COMPUTED_VALUE"""),"burgundy")</f>
        <v>burgundy</v>
      </c>
      <c r="D1017" s="9" t="str">
        <f>IFERROR(__xludf.DUMMYFUNCTION("""COMPUTED_VALUE"""),"Domaine Ponsot, Morey-Saint-Denis Premier Cru, Alouettes")</f>
        <v>Domaine Ponsot, Morey-Saint-Denis Premier Cru, Alouettes</v>
      </c>
      <c r="E1017" s="9">
        <f>IFERROR(__xludf.DUMMYFUNCTION("""COMPUTED_VALUE"""),2017.0)</f>
        <v>2017</v>
      </c>
      <c r="F1017" s="9">
        <f>IFERROR(__xludf.DUMMYFUNCTION("""COMPUTED_VALUE"""),750.0)</f>
        <v>750</v>
      </c>
      <c r="G1017" s="9">
        <f>IFERROR(__xludf.DUMMYFUNCTION("""COMPUTED_VALUE"""),6.0)</f>
        <v>6</v>
      </c>
      <c r="H1017" s="10">
        <f>IFERROR(__xludf.DUMMYFUNCTION("""COMPUTED_VALUE"""),5.0)</f>
        <v>5</v>
      </c>
      <c r="I1017" s="11">
        <f>IFERROR(__xludf.DUMMYFUNCTION("""COMPUTED_VALUE"""),707.0)</f>
        <v>707</v>
      </c>
      <c r="J1017" s="9" t="str">
        <f>IFERROR(__xludf.DUMMYFUNCTION("""COMPUTED_VALUE"""),"UK")</f>
        <v>UK</v>
      </c>
      <c r="K1017" s="8"/>
      <c r="L1017" s="12"/>
      <c r="M1017" s="13"/>
      <c r="N1017" s="13" t="str">
        <f>IFERROR(__xludf.DUMMYFUNCTION("IF(ISBLANK(M1017),"""",M1017*GOOGLEFINANCE(""USDGBP""))"),"")</f>
        <v/>
      </c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</row>
    <row r="1018">
      <c r="A1018" s="8" t="str">
        <f>IFERROR(__xludf.DUMMYFUNCTION("""COMPUTED_VALUE"""),"114363020180600750")</f>
        <v>114363020180600750</v>
      </c>
      <c r="B1018" s="9" t="str">
        <f>IFERROR(__xludf.DUMMYFUNCTION("""COMPUTED_VALUE"""),"France")</f>
        <v>France</v>
      </c>
      <c r="C1018" s="9" t="str">
        <f>IFERROR(__xludf.DUMMYFUNCTION("""COMPUTED_VALUE"""),"burgundy")</f>
        <v>burgundy</v>
      </c>
      <c r="D1018" s="9" t="str">
        <f>IFERROR(__xludf.DUMMYFUNCTION("""COMPUTED_VALUE"""),"Domaine Ponsot, Morey-Saint-Denis Premier Cru, Alouettes")</f>
        <v>Domaine Ponsot, Morey-Saint-Denis Premier Cru, Alouettes</v>
      </c>
      <c r="E1018" s="9">
        <f>IFERROR(__xludf.DUMMYFUNCTION("""COMPUTED_VALUE"""),2018.0)</f>
        <v>2018</v>
      </c>
      <c r="F1018" s="9">
        <f>IFERROR(__xludf.DUMMYFUNCTION("""COMPUTED_VALUE"""),750.0)</f>
        <v>750</v>
      </c>
      <c r="G1018" s="9">
        <f>IFERROR(__xludf.DUMMYFUNCTION("""COMPUTED_VALUE"""),6.0)</f>
        <v>6</v>
      </c>
      <c r="H1018" s="10">
        <f>IFERROR(__xludf.DUMMYFUNCTION("""COMPUTED_VALUE"""),9.0)</f>
        <v>9</v>
      </c>
      <c r="I1018" s="11">
        <f>IFERROR(__xludf.DUMMYFUNCTION("""COMPUTED_VALUE"""),641.0)</f>
        <v>641</v>
      </c>
      <c r="J1018" s="9" t="str">
        <f>IFERROR(__xludf.DUMMYFUNCTION("""COMPUTED_VALUE"""),"UK")</f>
        <v>UK</v>
      </c>
      <c r="K1018" s="8"/>
      <c r="L1018" s="12"/>
      <c r="M1018" s="13"/>
      <c r="N1018" s="13" t="str">
        <f>IFERROR(__xludf.DUMMYFUNCTION("IF(ISBLANK(M1018),"""",M1018*GOOGLEFINANCE(""USDGBP""))"),"")</f>
        <v/>
      </c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</row>
    <row r="1019">
      <c r="A1019" s="8" t="str">
        <f>IFERROR(__xludf.DUMMYFUNCTION("""COMPUTED_VALUE"""),"102516520181200750")</f>
        <v>102516520181200750</v>
      </c>
      <c r="B1019" s="9" t="str">
        <f>IFERROR(__xludf.DUMMYFUNCTION("""COMPUTED_VALUE"""),"France")</f>
        <v>France</v>
      </c>
      <c r="C1019" s="9" t="str">
        <f>IFERROR(__xludf.DUMMYFUNCTION("""COMPUTED_VALUE"""),"burgundy")</f>
        <v>burgundy</v>
      </c>
      <c r="D1019" s="9" t="str">
        <f>IFERROR(__xludf.DUMMYFUNCTION("""COMPUTED_VALUE"""),"Domaine Robert Chevillon, Nuits-Saint-Georges Premier Cru, Les Cailles")</f>
        <v>Domaine Robert Chevillon, Nuits-Saint-Georges Premier Cru, Les Cailles</v>
      </c>
      <c r="E1019" s="9">
        <f>IFERROR(__xludf.DUMMYFUNCTION("""COMPUTED_VALUE"""),2018.0)</f>
        <v>2018</v>
      </c>
      <c r="F1019" s="9">
        <f>IFERROR(__xludf.DUMMYFUNCTION("""COMPUTED_VALUE"""),750.0)</f>
        <v>750</v>
      </c>
      <c r="G1019" s="9">
        <f>IFERROR(__xludf.DUMMYFUNCTION("""COMPUTED_VALUE"""),12.0)</f>
        <v>12</v>
      </c>
      <c r="H1019" s="10">
        <f>IFERROR(__xludf.DUMMYFUNCTION("""COMPUTED_VALUE"""),1.0)</f>
        <v>1</v>
      </c>
      <c r="I1019" s="11">
        <f>IFERROR(__xludf.DUMMYFUNCTION("""COMPUTED_VALUE"""),1047.0)</f>
        <v>1047</v>
      </c>
      <c r="J1019" s="9" t="str">
        <f>IFERROR(__xludf.DUMMYFUNCTION("""COMPUTED_VALUE"""),"UK")</f>
        <v>UK</v>
      </c>
      <c r="K1019" s="8"/>
      <c r="L1019" s="12"/>
      <c r="M1019" s="13"/>
      <c r="N1019" s="13" t="str">
        <f>IFERROR(__xludf.DUMMYFUNCTION("IF(ISBLANK(M1019),"""",M1019*GOOGLEFINANCE(""USDGBP""))"),"")</f>
        <v/>
      </c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</row>
    <row r="1020">
      <c r="A1020" s="8" t="str">
        <f>IFERROR(__xludf.DUMMYFUNCTION("""COMPUTED_VALUE"""),"102516520180600750")</f>
        <v>102516520180600750</v>
      </c>
      <c r="B1020" s="9" t="str">
        <f>IFERROR(__xludf.DUMMYFUNCTION("""COMPUTED_VALUE"""),"France")</f>
        <v>France</v>
      </c>
      <c r="C1020" s="9" t="str">
        <f>IFERROR(__xludf.DUMMYFUNCTION("""COMPUTED_VALUE"""),"burgundy")</f>
        <v>burgundy</v>
      </c>
      <c r="D1020" s="9" t="str">
        <f>IFERROR(__xludf.DUMMYFUNCTION("""COMPUTED_VALUE"""),"Domaine Robert Chevillon, Nuits-Saint-Georges Premier Cru, Les Cailles")</f>
        <v>Domaine Robert Chevillon, Nuits-Saint-Georges Premier Cru, Les Cailles</v>
      </c>
      <c r="E1020" s="9">
        <f>IFERROR(__xludf.DUMMYFUNCTION("""COMPUTED_VALUE"""),2018.0)</f>
        <v>2018</v>
      </c>
      <c r="F1020" s="9">
        <f>IFERROR(__xludf.DUMMYFUNCTION("""COMPUTED_VALUE"""),750.0)</f>
        <v>750</v>
      </c>
      <c r="G1020" s="9">
        <f>IFERROR(__xludf.DUMMYFUNCTION("""COMPUTED_VALUE"""),6.0)</f>
        <v>6</v>
      </c>
      <c r="H1020" s="10">
        <f>IFERROR(__xludf.DUMMYFUNCTION("""COMPUTED_VALUE"""),1.0)</f>
        <v>1</v>
      </c>
      <c r="I1020" s="11">
        <f>IFERROR(__xludf.DUMMYFUNCTION("""COMPUTED_VALUE"""),524.0)</f>
        <v>524</v>
      </c>
      <c r="J1020" s="9" t="str">
        <f>IFERROR(__xludf.DUMMYFUNCTION("""COMPUTED_VALUE"""),"UK")</f>
        <v>UK</v>
      </c>
      <c r="K1020" s="8"/>
      <c r="L1020" s="12"/>
      <c r="M1020" s="13"/>
      <c r="N1020" s="13" t="str">
        <f>IFERROR(__xludf.DUMMYFUNCTION("IF(ISBLANK(M1020),"""",M1020*GOOGLEFINANCE(""USDGBP""))"),"")</f>
        <v/>
      </c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</row>
    <row r="1021">
      <c r="A1021" s="8" t="str">
        <f>IFERROR(__xludf.DUMMYFUNCTION("""COMPUTED_VALUE"""),"102522420171200750")</f>
        <v>102522420171200750</v>
      </c>
      <c r="B1021" s="9" t="str">
        <f>IFERROR(__xludf.DUMMYFUNCTION("""COMPUTED_VALUE"""),"France")</f>
        <v>France</v>
      </c>
      <c r="C1021" s="9" t="str">
        <f>IFERROR(__xludf.DUMMYFUNCTION("""COMPUTED_VALUE"""),"burgundy")</f>
        <v>burgundy</v>
      </c>
      <c r="D1021" s="9" t="str">
        <f>IFERROR(__xludf.DUMMYFUNCTION("""COMPUTED_VALUE"""),"Domaine Robert Chevillon, Nuits-Saint-Georges Premier Cru, Les Roncieres")</f>
        <v>Domaine Robert Chevillon, Nuits-Saint-Georges Premier Cru, Les Roncieres</v>
      </c>
      <c r="E1021" s="9">
        <f>IFERROR(__xludf.DUMMYFUNCTION("""COMPUTED_VALUE"""),2017.0)</f>
        <v>2017</v>
      </c>
      <c r="F1021" s="9">
        <f>IFERROR(__xludf.DUMMYFUNCTION("""COMPUTED_VALUE"""),750.0)</f>
        <v>750</v>
      </c>
      <c r="G1021" s="9">
        <f>IFERROR(__xludf.DUMMYFUNCTION("""COMPUTED_VALUE"""),12.0)</f>
        <v>12</v>
      </c>
      <c r="H1021" s="10">
        <f>IFERROR(__xludf.DUMMYFUNCTION("""COMPUTED_VALUE"""),3.0)</f>
        <v>3</v>
      </c>
      <c r="I1021" s="11">
        <f>IFERROR(__xludf.DUMMYFUNCTION("""COMPUTED_VALUE"""),1229.0)</f>
        <v>1229</v>
      </c>
      <c r="J1021" s="9" t="str">
        <f>IFERROR(__xludf.DUMMYFUNCTION("""COMPUTED_VALUE"""),"UK")</f>
        <v>UK</v>
      </c>
      <c r="K1021" s="8"/>
      <c r="L1021" s="12"/>
      <c r="M1021" s="13"/>
      <c r="N1021" s="13" t="str">
        <f>IFERROR(__xludf.DUMMYFUNCTION("IF(ISBLANK(M1021),"""",M1021*GOOGLEFINANCE(""USDGBP""))"),"")</f>
        <v/>
      </c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</row>
    <row r="1022">
      <c r="A1022" s="8" t="str">
        <f>IFERROR(__xludf.DUMMYFUNCTION("""COMPUTED_VALUE"""),"102525320171200750")</f>
        <v>102525320171200750</v>
      </c>
      <c r="B1022" s="9" t="str">
        <f>IFERROR(__xludf.DUMMYFUNCTION("""COMPUTED_VALUE"""),"France")</f>
        <v>France</v>
      </c>
      <c r="C1022" s="9" t="str">
        <f>IFERROR(__xludf.DUMMYFUNCTION("""COMPUTED_VALUE"""),"burgundy")</f>
        <v>burgundy</v>
      </c>
      <c r="D1022" s="9" t="str">
        <f>IFERROR(__xludf.DUMMYFUNCTION("""COMPUTED_VALUE"""),"Domaine Robert Chevillon, Nuits-Saint-Georges, Vieilles Vignes")</f>
        <v>Domaine Robert Chevillon, Nuits-Saint-Georges, Vieilles Vignes</v>
      </c>
      <c r="E1022" s="9">
        <f>IFERROR(__xludf.DUMMYFUNCTION("""COMPUTED_VALUE"""),2017.0)</f>
        <v>2017</v>
      </c>
      <c r="F1022" s="9">
        <f>IFERROR(__xludf.DUMMYFUNCTION("""COMPUTED_VALUE"""),750.0)</f>
        <v>750</v>
      </c>
      <c r="G1022" s="9">
        <f>IFERROR(__xludf.DUMMYFUNCTION("""COMPUTED_VALUE"""),12.0)</f>
        <v>12</v>
      </c>
      <c r="H1022" s="10">
        <f>IFERROR(__xludf.DUMMYFUNCTION("""COMPUTED_VALUE"""),1.0)</f>
        <v>1</v>
      </c>
      <c r="I1022" s="11">
        <f>IFERROR(__xludf.DUMMYFUNCTION("""COMPUTED_VALUE"""),601.0)</f>
        <v>601</v>
      </c>
      <c r="J1022" s="9" t="str">
        <f>IFERROR(__xludf.DUMMYFUNCTION("""COMPUTED_VALUE"""),"UK")</f>
        <v>UK</v>
      </c>
      <c r="K1022" s="8"/>
      <c r="L1022" s="12"/>
      <c r="M1022" s="13"/>
      <c r="N1022" s="13" t="str">
        <f>IFERROR(__xludf.DUMMYFUNCTION("IF(ISBLANK(M1022),"""",M1022*GOOGLEFINANCE(""USDGBP""))"),"")</f>
        <v/>
      </c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</row>
    <row r="1023">
      <c r="A1023" s="8" t="str">
        <f>IFERROR(__xludf.DUMMYFUNCTION("""COMPUTED_VALUE"""),"105588320181200750")</f>
        <v>105588320181200750</v>
      </c>
      <c r="B1023" s="9" t="str">
        <f>IFERROR(__xludf.DUMMYFUNCTION("""COMPUTED_VALUE"""),"France")</f>
        <v>France</v>
      </c>
      <c r="C1023" s="9" t="str">
        <f>IFERROR(__xludf.DUMMYFUNCTION("""COMPUTED_VALUE"""),"burgundy")</f>
        <v>burgundy</v>
      </c>
      <c r="D1023" s="9" t="str">
        <f>IFERROR(__xludf.DUMMYFUNCTION("""COMPUTED_VALUE"""),"Domaine Rossignol-Trapet, Chapelle-Chambertin Grand Cru")</f>
        <v>Domaine Rossignol-Trapet, Chapelle-Chambertin Grand Cru</v>
      </c>
      <c r="E1023" s="9">
        <f>IFERROR(__xludf.DUMMYFUNCTION("""COMPUTED_VALUE"""),2018.0)</f>
        <v>2018</v>
      </c>
      <c r="F1023" s="9">
        <f>IFERROR(__xludf.DUMMYFUNCTION("""COMPUTED_VALUE"""),750.0)</f>
        <v>750</v>
      </c>
      <c r="G1023" s="9">
        <f>IFERROR(__xludf.DUMMYFUNCTION("""COMPUTED_VALUE"""),12.0)</f>
        <v>12</v>
      </c>
      <c r="H1023" s="10">
        <f>IFERROR(__xludf.DUMMYFUNCTION("""COMPUTED_VALUE"""),1.0)</f>
        <v>1</v>
      </c>
      <c r="I1023" s="11">
        <f>IFERROR(__xludf.DUMMYFUNCTION("""COMPUTED_VALUE"""),1724.0)</f>
        <v>1724</v>
      </c>
      <c r="J1023" s="9" t="str">
        <f>IFERROR(__xludf.DUMMYFUNCTION("""COMPUTED_VALUE"""),"UK")</f>
        <v>UK</v>
      </c>
      <c r="K1023" s="8"/>
      <c r="L1023" s="12"/>
      <c r="M1023" s="13"/>
      <c r="N1023" s="13" t="str">
        <f>IFERROR(__xludf.DUMMYFUNCTION("IF(ISBLANK(M1023),"""",M1023*GOOGLEFINANCE(""USDGBP""))"),"")</f>
        <v/>
      </c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</row>
    <row r="1024">
      <c r="A1024" s="8" t="str">
        <f>IFERROR(__xludf.DUMMYFUNCTION("""COMPUTED_VALUE"""),"105596820111200750")</f>
        <v>105596820111200750</v>
      </c>
      <c r="B1024" s="9" t="str">
        <f>IFERROR(__xludf.DUMMYFUNCTION("""COMPUTED_VALUE"""),"France")</f>
        <v>France</v>
      </c>
      <c r="C1024" s="9" t="str">
        <f>IFERROR(__xludf.DUMMYFUNCTION("""COMPUTED_VALUE"""),"burgundy")</f>
        <v>burgundy</v>
      </c>
      <c r="D1024" s="9" t="str">
        <f>IFERROR(__xludf.DUMMYFUNCTION("""COMPUTED_VALUE"""),"Domaine Rossignol-Trapet, Gevrey-Chambertin, Vieilles Vignes")</f>
        <v>Domaine Rossignol-Trapet, Gevrey-Chambertin, Vieilles Vignes</v>
      </c>
      <c r="E1024" s="9">
        <f>IFERROR(__xludf.DUMMYFUNCTION("""COMPUTED_VALUE"""),2011.0)</f>
        <v>2011</v>
      </c>
      <c r="F1024" s="9">
        <f>IFERROR(__xludf.DUMMYFUNCTION("""COMPUTED_VALUE"""),750.0)</f>
        <v>750</v>
      </c>
      <c r="G1024" s="9">
        <f>IFERROR(__xludf.DUMMYFUNCTION("""COMPUTED_VALUE"""),12.0)</f>
        <v>12</v>
      </c>
      <c r="H1024" s="10">
        <f>IFERROR(__xludf.DUMMYFUNCTION("""COMPUTED_VALUE"""),1.0)</f>
        <v>1</v>
      </c>
      <c r="I1024" s="11">
        <f>IFERROR(__xludf.DUMMYFUNCTION("""COMPUTED_VALUE"""),537.0)</f>
        <v>537</v>
      </c>
      <c r="J1024" s="9" t="str">
        <f>IFERROR(__xludf.DUMMYFUNCTION("""COMPUTED_VALUE"""),"UK")</f>
        <v>UK</v>
      </c>
      <c r="K1024" s="8"/>
      <c r="L1024" s="12"/>
      <c r="M1024" s="13"/>
      <c r="N1024" s="13" t="str">
        <f>IFERROR(__xludf.DUMMYFUNCTION("IF(ISBLANK(M1024),"""",M1024*GOOGLEFINANCE(""USDGBP""))"),"")</f>
        <v/>
      </c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</row>
    <row r="1025">
      <c r="A1025" s="8" t="str">
        <f>IFERROR(__xludf.DUMMYFUNCTION("""COMPUTED_VALUE"""),"102356520180600750")</f>
        <v>102356520180600750</v>
      </c>
      <c r="B1025" s="9" t="str">
        <f>IFERROR(__xludf.DUMMYFUNCTION("""COMPUTED_VALUE"""),"France")</f>
        <v>France</v>
      </c>
      <c r="C1025" s="9" t="str">
        <f>IFERROR(__xludf.DUMMYFUNCTION("""COMPUTED_VALUE"""),"burgundy")</f>
        <v>burgundy</v>
      </c>
      <c r="D1025" s="9" t="str">
        <f>IFERROR(__xludf.DUMMYFUNCTION("""COMPUTED_VALUE"""),"Domaine Sylvain Cathiard, Chambolle-Musigny, Les Clos de l'Orme")</f>
        <v>Domaine Sylvain Cathiard, Chambolle-Musigny, Les Clos de l'Orme</v>
      </c>
      <c r="E1025" s="9">
        <f>IFERROR(__xludf.DUMMYFUNCTION("""COMPUTED_VALUE"""),2018.0)</f>
        <v>2018</v>
      </c>
      <c r="F1025" s="9">
        <f>IFERROR(__xludf.DUMMYFUNCTION("""COMPUTED_VALUE"""),750.0)</f>
        <v>750</v>
      </c>
      <c r="G1025" s="9">
        <f>IFERROR(__xludf.DUMMYFUNCTION("""COMPUTED_VALUE"""),6.0)</f>
        <v>6</v>
      </c>
      <c r="H1025" s="10">
        <f>IFERROR(__xludf.DUMMYFUNCTION("""COMPUTED_VALUE"""),1.0)</f>
        <v>1</v>
      </c>
      <c r="I1025" s="11">
        <f>IFERROR(__xludf.DUMMYFUNCTION("""COMPUTED_VALUE"""),1930.0)</f>
        <v>1930</v>
      </c>
      <c r="J1025" s="9" t="str">
        <f>IFERROR(__xludf.DUMMYFUNCTION("""COMPUTED_VALUE"""),"UK")</f>
        <v>UK</v>
      </c>
      <c r="K1025" s="8"/>
      <c r="L1025" s="12"/>
      <c r="M1025" s="13"/>
      <c r="N1025" s="13" t="str">
        <f>IFERROR(__xludf.DUMMYFUNCTION("IF(ISBLANK(M1025),"""",M1025*GOOGLEFINANCE(""USDGBP""))"),"")</f>
        <v/>
      </c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</row>
    <row r="1026">
      <c r="A1026" s="8" t="str">
        <f>IFERROR(__xludf.DUMMYFUNCTION("""COMPUTED_VALUE"""),"102358120170600750")</f>
        <v>102358120170600750</v>
      </c>
      <c r="B1026" s="9" t="str">
        <f>IFERROR(__xludf.DUMMYFUNCTION("""COMPUTED_VALUE"""),"France")</f>
        <v>France</v>
      </c>
      <c r="C1026" s="9" t="str">
        <f>IFERROR(__xludf.DUMMYFUNCTION("""COMPUTED_VALUE"""),"burgundy")</f>
        <v>burgundy</v>
      </c>
      <c r="D1026" s="9" t="str">
        <f>IFERROR(__xludf.DUMMYFUNCTION("""COMPUTED_VALUE"""),"Domaine Sylvain Cathiard, Nuits-Saint-Georges Premier Cru, Aux Murgers")</f>
        <v>Domaine Sylvain Cathiard, Nuits-Saint-Georges Premier Cru, Aux Murgers</v>
      </c>
      <c r="E1026" s="9">
        <f>IFERROR(__xludf.DUMMYFUNCTION("""COMPUTED_VALUE"""),2017.0)</f>
        <v>2017</v>
      </c>
      <c r="F1026" s="9">
        <f>IFERROR(__xludf.DUMMYFUNCTION("""COMPUTED_VALUE"""),750.0)</f>
        <v>750</v>
      </c>
      <c r="G1026" s="9">
        <f>IFERROR(__xludf.DUMMYFUNCTION("""COMPUTED_VALUE"""),6.0)</f>
        <v>6</v>
      </c>
      <c r="H1026" s="10">
        <f>IFERROR(__xludf.DUMMYFUNCTION("""COMPUTED_VALUE"""),1.0)</f>
        <v>1</v>
      </c>
      <c r="I1026" s="11">
        <f>IFERROR(__xludf.DUMMYFUNCTION("""COMPUTED_VALUE"""),1735.0)</f>
        <v>1735</v>
      </c>
      <c r="J1026" s="9" t="str">
        <f>IFERROR(__xludf.DUMMYFUNCTION("""COMPUTED_VALUE"""),"UK")</f>
        <v>UK</v>
      </c>
      <c r="K1026" s="8"/>
      <c r="L1026" s="12"/>
      <c r="M1026" s="13"/>
      <c r="N1026" s="13" t="str">
        <f>IFERROR(__xludf.DUMMYFUNCTION("IF(ISBLANK(M1026),"""",M1026*GOOGLEFINANCE(""USDGBP""))"),"")</f>
        <v/>
      </c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</row>
    <row r="1027">
      <c r="A1027" s="8" t="str">
        <f>IFERROR(__xludf.DUMMYFUNCTION("""COMPUTED_VALUE"""),"102360820180600750")</f>
        <v>102360820180600750</v>
      </c>
      <c r="B1027" s="9" t="str">
        <f>IFERROR(__xludf.DUMMYFUNCTION("""COMPUTED_VALUE"""),"France")</f>
        <v>France</v>
      </c>
      <c r="C1027" s="9" t="str">
        <f>IFERROR(__xludf.DUMMYFUNCTION("""COMPUTED_VALUE"""),"burgundy")</f>
        <v>burgundy</v>
      </c>
      <c r="D1027" s="9" t="str">
        <f>IFERROR(__xludf.DUMMYFUNCTION("""COMPUTED_VALUE"""),"Domaine Sylvain Cathiard, Nuits-Saint-Georges Premier Cru, Aux Thorey")</f>
        <v>Domaine Sylvain Cathiard, Nuits-Saint-Georges Premier Cru, Aux Thorey</v>
      </c>
      <c r="E1027" s="9">
        <f>IFERROR(__xludf.DUMMYFUNCTION("""COMPUTED_VALUE"""),2018.0)</f>
        <v>2018</v>
      </c>
      <c r="F1027" s="9">
        <f>IFERROR(__xludf.DUMMYFUNCTION("""COMPUTED_VALUE"""),750.0)</f>
        <v>750</v>
      </c>
      <c r="G1027" s="9">
        <f>IFERROR(__xludf.DUMMYFUNCTION("""COMPUTED_VALUE"""),6.0)</f>
        <v>6</v>
      </c>
      <c r="H1027" s="10">
        <f>IFERROR(__xludf.DUMMYFUNCTION("""COMPUTED_VALUE"""),1.0)</f>
        <v>1</v>
      </c>
      <c r="I1027" s="11">
        <f>IFERROR(__xludf.DUMMYFUNCTION("""COMPUTED_VALUE"""),1740.0)</f>
        <v>1740</v>
      </c>
      <c r="J1027" s="9" t="str">
        <f>IFERROR(__xludf.DUMMYFUNCTION("""COMPUTED_VALUE"""),"UK")</f>
        <v>UK</v>
      </c>
      <c r="K1027" s="8"/>
      <c r="L1027" s="12"/>
      <c r="M1027" s="13"/>
      <c r="N1027" s="13" t="str">
        <f>IFERROR(__xludf.DUMMYFUNCTION("IF(ISBLANK(M1027),"""",M1027*GOOGLEFINANCE(""USDGBP""))"),"")</f>
        <v/>
      </c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</row>
    <row r="1028">
      <c r="A1028" s="8" t="str">
        <f>IFERROR(__xludf.DUMMYFUNCTION("""COMPUTED_VALUE"""),"102357820150600750")</f>
        <v>102357820150600750</v>
      </c>
      <c r="B1028" s="9" t="str">
        <f>IFERROR(__xludf.DUMMYFUNCTION("""COMPUTED_VALUE"""),"France")</f>
        <v>France</v>
      </c>
      <c r="C1028" s="9" t="str">
        <f>IFERROR(__xludf.DUMMYFUNCTION("""COMPUTED_VALUE"""),"burgundy")</f>
        <v>burgundy</v>
      </c>
      <c r="D1028" s="9" t="str">
        <f>IFERROR(__xludf.DUMMYFUNCTION("""COMPUTED_VALUE"""),"Domaine Sylvain Cathiard, Nuits-Saint-Georges, Rouge")</f>
        <v>Domaine Sylvain Cathiard, Nuits-Saint-Georges, Rouge</v>
      </c>
      <c r="E1028" s="9">
        <f>IFERROR(__xludf.DUMMYFUNCTION("""COMPUTED_VALUE"""),2015.0)</f>
        <v>2015</v>
      </c>
      <c r="F1028" s="9">
        <f>IFERROR(__xludf.DUMMYFUNCTION("""COMPUTED_VALUE"""),750.0)</f>
        <v>750</v>
      </c>
      <c r="G1028" s="9">
        <f>IFERROR(__xludf.DUMMYFUNCTION("""COMPUTED_VALUE"""),6.0)</f>
        <v>6</v>
      </c>
      <c r="H1028" s="10">
        <f>IFERROR(__xludf.DUMMYFUNCTION("""COMPUTED_VALUE"""),2.0)</f>
        <v>2</v>
      </c>
      <c r="I1028" s="11">
        <f>IFERROR(__xludf.DUMMYFUNCTION("""COMPUTED_VALUE"""),1422.0)</f>
        <v>1422</v>
      </c>
      <c r="J1028" s="9" t="str">
        <f>IFERROR(__xludf.DUMMYFUNCTION("""COMPUTED_VALUE"""),"UK")</f>
        <v>UK</v>
      </c>
      <c r="K1028" s="8"/>
      <c r="L1028" s="12"/>
      <c r="M1028" s="13"/>
      <c r="N1028" s="13" t="str">
        <f>IFERROR(__xludf.DUMMYFUNCTION("IF(ISBLANK(M1028),"""",M1028*GOOGLEFINANCE(""USDGBP""))"),"")</f>
        <v/>
      </c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</row>
    <row r="1029">
      <c r="A1029" s="8" t="str">
        <f>IFERROR(__xludf.DUMMYFUNCTION("""COMPUTED_VALUE"""),"105847720170600750")</f>
        <v>105847720170600750</v>
      </c>
      <c r="B1029" s="9" t="str">
        <f>IFERROR(__xludf.DUMMYFUNCTION("""COMPUTED_VALUE"""),"France")</f>
        <v>France</v>
      </c>
      <c r="C1029" s="9" t="str">
        <f>IFERROR(__xludf.DUMMYFUNCTION("""COMPUTED_VALUE"""),"burgundy")</f>
        <v>burgundy</v>
      </c>
      <c r="D1029" s="9" t="str">
        <f>IFERROR(__xludf.DUMMYFUNCTION("""COMPUTED_VALUE"""),"Domaine Tortochot, Chambertin Grand Cru")</f>
        <v>Domaine Tortochot, Chambertin Grand Cru</v>
      </c>
      <c r="E1029" s="9">
        <f>IFERROR(__xludf.DUMMYFUNCTION("""COMPUTED_VALUE"""),2017.0)</f>
        <v>2017</v>
      </c>
      <c r="F1029" s="9">
        <f>IFERROR(__xludf.DUMMYFUNCTION("""COMPUTED_VALUE"""),750.0)</f>
        <v>750</v>
      </c>
      <c r="G1029" s="9">
        <f>IFERROR(__xludf.DUMMYFUNCTION("""COMPUTED_VALUE"""),6.0)</f>
        <v>6</v>
      </c>
      <c r="H1029" s="10">
        <f>IFERROR(__xludf.DUMMYFUNCTION("""COMPUTED_VALUE"""),4.0)</f>
        <v>4</v>
      </c>
      <c r="I1029" s="11">
        <f>IFERROR(__xludf.DUMMYFUNCTION("""COMPUTED_VALUE"""),1041.0)</f>
        <v>1041</v>
      </c>
      <c r="J1029" s="9" t="str">
        <f>IFERROR(__xludf.DUMMYFUNCTION("""COMPUTED_VALUE"""),"UK")</f>
        <v>UK</v>
      </c>
      <c r="K1029" s="8"/>
      <c r="L1029" s="12"/>
      <c r="M1029" s="13"/>
      <c r="N1029" s="13" t="str">
        <f>IFERROR(__xludf.DUMMYFUNCTION("IF(ISBLANK(M1029),"""",M1029*GOOGLEFINANCE(""USDGBP""))"),"")</f>
        <v/>
      </c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</row>
    <row r="1030">
      <c r="A1030" s="8" t="str">
        <f>IFERROR(__xludf.DUMMYFUNCTION("""COMPUTED_VALUE"""),"105847720180600750")</f>
        <v>105847720180600750</v>
      </c>
      <c r="B1030" s="9" t="str">
        <f>IFERROR(__xludf.DUMMYFUNCTION("""COMPUTED_VALUE"""),"France")</f>
        <v>France</v>
      </c>
      <c r="C1030" s="9" t="str">
        <f>IFERROR(__xludf.DUMMYFUNCTION("""COMPUTED_VALUE"""),"burgundy")</f>
        <v>burgundy</v>
      </c>
      <c r="D1030" s="9" t="str">
        <f>IFERROR(__xludf.DUMMYFUNCTION("""COMPUTED_VALUE"""),"Domaine Tortochot, Chambertin Grand Cru")</f>
        <v>Domaine Tortochot, Chambertin Grand Cru</v>
      </c>
      <c r="E1030" s="9">
        <f>IFERROR(__xludf.DUMMYFUNCTION("""COMPUTED_VALUE"""),2018.0)</f>
        <v>2018</v>
      </c>
      <c r="F1030" s="9">
        <f>IFERROR(__xludf.DUMMYFUNCTION("""COMPUTED_VALUE"""),750.0)</f>
        <v>750</v>
      </c>
      <c r="G1030" s="9">
        <f>IFERROR(__xludf.DUMMYFUNCTION("""COMPUTED_VALUE"""),6.0)</f>
        <v>6</v>
      </c>
      <c r="H1030" s="10">
        <f>IFERROR(__xludf.DUMMYFUNCTION("""COMPUTED_VALUE"""),2.0)</f>
        <v>2</v>
      </c>
      <c r="I1030" s="11">
        <f>IFERROR(__xludf.DUMMYFUNCTION("""COMPUTED_VALUE"""),1181.0)</f>
        <v>1181</v>
      </c>
      <c r="J1030" s="9" t="str">
        <f>IFERROR(__xludf.DUMMYFUNCTION("""COMPUTED_VALUE"""),"UK")</f>
        <v>UK</v>
      </c>
      <c r="K1030" s="8"/>
      <c r="L1030" s="12"/>
      <c r="M1030" s="13"/>
      <c r="N1030" s="13" t="str">
        <f>IFERROR(__xludf.DUMMYFUNCTION("IF(ISBLANK(M1030),"""",M1030*GOOGLEFINANCE(""USDGBP""))"),"")</f>
        <v/>
      </c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</row>
    <row r="1031">
      <c r="A1031" s="8" t="str">
        <f>IFERROR(__xludf.DUMMYFUNCTION("""COMPUTED_VALUE"""),"105848020131200750")</f>
        <v>105848020131200750</v>
      </c>
      <c r="B1031" s="9" t="str">
        <f>IFERROR(__xludf.DUMMYFUNCTION("""COMPUTED_VALUE"""),"France")</f>
        <v>France</v>
      </c>
      <c r="C1031" s="9" t="str">
        <f>IFERROR(__xludf.DUMMYFUNCTION("""COMPUTED_VALUE"""),"burgundy")</f>
        <v>burgundy</v>
      </c>
      <c r="D1031" s="9" t="str">
        <f>IFERROR(__xludf.DUMMYFUNCTION("""COMPUTED_VALUE"""),"Domaine Tortochot, Charmes-Chambertin Grand Cru")</f>
        <v>Domaine Tortochot, Charmes-Chambertin Grand Cru</v>
      </c>
      <c r="E1031" s="9">
        <f>IFERROR(__xludf.DUMMYFUNCTION("""COMPUTED_VALUE"""),2013.0)</f>
        <v>2013</v>
      </c>
      <c r="F1031" s="9">
        <f>IFERROR(__xludf.DUMMYFUNCTION("""COMPUTED_VALUE"""),750.0)</f>
        <v>750</v>
      </c>
      <c r="G1031" s="9">
        <f>IFERROR(__xludf.DUMMYFUNCTION("""COMPUTED_VALUE"""),12.0)</f>
        <v>12</v>
      </c>
      <c r="H1031" s="10">
        <f>IFERROR(__xludf.DUMMYFUNCTION("""COMPUTED_VALUE"""),1.0)</f>
        <v>1</v>
      </c>
      <c r="I1031" s="11">
        <f>IFERROR(__xludf.DUMMYFUNCTION("""COMPUTED_VALUE"""),1689.0)</f>
        <v>1689</v>
      </c>
      <c r="J1031" s="9" t="str">
        <f>IFERROR(__xludf.DUMMYFUNCTION("""COMPUTED_VALUE"""),"UK")</f>
        <v>UK</v>
      </c>
      <c r="K1031" s="8"/>
      <c r="L1031" s="12"/>
      <c r="M1031" s="13"/>
      <c r="N1031" s="13" t="str">
        <f>IFERROR(__xludf.DUMMYFUNCTION("IF(ISBLANK(M1031),"""",M1031*GOOGLEFINANCE(""USDGBP""))"),"")</f>
        <v/>
      </c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</row>
    <row r="1032">
      <c r="A1032" s="8" t="str">
        <f>IFERROR(__xludf.DUMMYFUNCTION("""COMPUTED_VALUE"""),"105848020160600750")</f>
        <v>105848020160600750</v>
      </c>
      <c r="B1032" s="9" t="str">
        <f>IFERROR(__xludf.DUMMYFUNCTION("""COMPUTED_VALUE"""),"France")</f>
        <v>France</v>
      </c>
      <c r="C1032" s="9" t="str">
        <f>IFERROR(__xludf.DUMMYFUNCTION("""COMPUTED_VALUE"""),"burgundy")</f>
        <v>burgundy</v>
      </c>
      <c r="D1032" s="9" t="str">
        <f>IFERROR(__xludf.DUMMYFUNCTION("""COMPUTED_VALUE"""),"Domaine Tortochot, Charmes-Chambertin Grand Cru")</f>
        <v>Domaine Tortochot, Charmes-Chambertin Grand Cru</v>
      </c>
      <c r="E1032" s="9">
        <f>IFERROR(__xludf.DUMMYFUNCTION("""COMPUTED_VALUE"""),2016.0)</f>
        <v>2016</v>
      </c>
      <c r="F1032" s="9">
        <f>IFERROR(__xludf.DUMMYFUNCTION("""COMPUTED_VALUE"""),750.0)</f>
        <v>750</v>
      </c>
      <c r="G1032" s="9">
        <f>IFERROR(__xludf.DUMMYFUNCTION("""COMPUTED_VALUE"""),6.0)</f>
        <v>6</v>
      </c>
      <c r="H1032" s="10">
        <f>IFERROR(__xludf.DUMMYFUNCTION("""COMPUTED_VALUE"""),1.0)</f>
        <v>1</v>
      </c>
      <c r="I1032" s="11">
        <f>IFERROR(__xludf.DUMMYFUNCTION("""COMPUTED_VALUE"""),683.0)</f>
        <v>683</v>
      </c>
      <c r="J1032" s="9" t="str">
        <f>IFERROR(__xludf.DUMMYFUNCTION("""COMPUTED_VALUE"""),"UK")</f>
        <v>UK</v>
      </c>
      <c r="K1032" s="8"/>
      <c r="L1032" s="12"/>
      <c r="M1032" s="13"/>
      <c r="N1032" s="13" t="str">
        <f>IFERROR(__xludf.DUMMYFUNCTION("IF(ISBLANK(M1032),"""",M1032*GOOGLEFINANCE(""USDGBP""))"),"")</f>
        <v/>
      </c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</row>
    <row r="1033">
      <c r="A1033" s="8" t="str">
        <f>IFERROR(__xludf.DUMMYFUNCTION("""COMPUTED_VALUE"""),"105848020170600750")</f>
        <v>105848020170600750</v>
      </c>
      <c r="B1033" s="9" t="str">
        <f>IFERROR(__xludf.DUMMYFUNCTION("""COMPUTED_VALUE"""),"France")</f>
        <v>France</v>
      </c>
      <c r="C1033" s="9" t="str">
        <f>IFERROR(__xludf.DUMMYFUNCTION("""COMPUTED_VALUE"""),"burgundy")</f>
        <v>burgundy</v>
      </c>
      <c r="D1033" s="9" t="str">
        <f>IFERROR(__xludf.DUMMYFUNCTION("""COMPUTED_VALUE"""),"Domaine Tortochot, Charmes-Chambertin Grand Cru")</f>
        <v>Domaine Tortochot, Charmes-Chambertin Grand Cru</v>
      </c>
      <c r="E1033" s="9">
        <f>IFERROR(__xludf.DUMMYFUNCTION("""COMPUTED_VALUE"""),2017.0)</f>
        <v>2017</v>
      </c>
      <c r="F1033" s="9">
        <f>IFERROR(__xludf.DUMMYFUNCTION("""COMPUTED_VALUE"""),750.0)</f>
        <v>750</v>
      </c>
      <c r="G1033" s="9">
        <f>IFERROR(__xludf.DUMMYFUNCTION("""COMPUTED_VALUE"""),6.0)</f>
        <v>6</v>
      </c>
      <c r="H1033" s="10">
        <f>IFERROR(__xludf.DUMMYFUNCTION("""COMPUTED_VALUE"""),1.0)</f>
        <v>1</v>
      </c>
      <c r="I1033" s="11">
        <f>IFERROR(__xludf.DUMMYFUNCTION("""COMPUTED_VALUE"""),616.0)</f>
        <v>616</v>
      </c>
      <c r="J1033" s="9" t="str">
        <f>IFERROR(__xludf.DUMMYFUNCTION("""COMPUTED_VALUE"""),"UK")</f>
        <v>UK</v>
      </c>
      <c r="K1033" s="8"/>
      <c r="L1033" s="12"/>
      <c r="M1033" s="13"/>
      <c r="N1033" s="13" t="str">
        <f>IFERROR(__xludf.DUMMYFUNCTION("IF(ISBLANK(M1033),"""",M1033*GOOGLEFINANCE(""USDGBP""))"),"")</f>
        <v/>
      </c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</row>
    <row r="1034">
      <c r="A1034" s="8" t="str">
        <f>IFERROR(__xludf.DUMMYFUNCTION("""COMPUTED_VALUE"""),"105848020180600750")</f>
        <v>105848020180600750</v>
      </c>
      <c r="B1034" s="9" t="str">
        <f>IFERROR(__xludf.DUMMYFUNCTION("""COMPUTED_VALUE"""),"France")</f>
        <v>France</v>
      </c>
      <c r="C1034" s="9" t="str">
        <f>IFERROR(__xludf.DUMMYFUNCTION("""COMPUTED_VALUE"""),"burgundy")</f>
        <v>burgundy</v>
      </c>
      <c r="D1034" s="9" t="str">
        <f>IFERROR(__xludf.DUMMYFUNCTION("""COMPUTED_VALUE"""),"Domaine Tortochot, Charmes-Chambertin Grand Cru")</f>
        <v>Domaine Tortochot, Charmes-Chambertin Grand Cru</v>
      </c>
      <c r="E1034" s="9">
        <f>IFERROR(__xludf.DUMMYFUNCTION("""COMPUTED_VALUE"""),2018.0)</f>
        <v>2018</v>
      </c>
      <c r="F1034" s="9">
        <f>IFERROR(__xludf.DUMMYFUNCTION("""COMPUTED_VALUE"""),750.0)</f>
        <v>750</v>
      </c>
      <c r="G1034" s="9">
        <f>IFERROR(__xludf.DUMMYFUNCTION("""COMPUTED_VALUE"""),6.0)</f>
        <v>6</v>
      </c>
      <c r="H1034" s="10">
        <f>IFERROR(__xludf.DUMMYFUNCTION("""COMPUTED_VALUE"""),6.0)</f>
        <v>6</v>
      </c>
      <c r="I1034" s="11">
        <f>IFERROR(__xludf.DUMMYFUNCTION("""COMPUTED_VALUE"""),1183.0)</f>
        <v>1183</v>
      </c>
      <c r="J1034" s="9" t="str">
        <f>IFERROR(__xludf.DUMMYFUNCTION("""COMPUTED_VALUE"""),"UK")</f>
        <v>UK</v>
      </c>
      <c r="K1034" s="8"/>
      <c r="L1034" s="12"/>
      <c r="M1034" s="13"/>
      <c r="N1034" s="13" t="str">
        <f>IFERROR(__xludf.DUMMYFUNCTION("IF(ISBLANK(M1034),"""",M1034*GOOGLEFINANCE(""USDGBP""))"),"")</f>
        <v/>
      </c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</row>
    <row r="1035">
      <c r="A1035" s="8" t="str">
        <f>IFERROR(__xludf.DUMMYFUNCTION("""COMPUTED_VALUE"""),"105851020180600750")</f>
        <v>105851020180600750</v>
      </c>
      <c r="B1035" s="9" t="str">
        <f>IFERROR(__xludf.DUMMYFUNCTION("""COMPUTED_VALUE"""),"France")</f>
        <v>France</v>
      </c>
      <c r="C1035" s="9" t="str">
        <f>IFERROR(__xludf.DUMMYFUNCTION("""COMPUTED_VALUE"""),"burgundy")</f>
        <v>burgundy</v>
      </c>
      <c r="D1035" s="9" t="str">
        <f>IFERROR(__xludf.DUMMYFUNCTION("""COMPUTED_VALUE"""),"Domaine Tortochot, Gevrey-Chambertin Premier Cru, Lavaux Saint-Jacques")</f>
        <v>Domaine Tortochot, Gevrey-Chambertin Premier Cru, Lavaux Saint-Jacques</v>
      </c>
      <c r="E1035" s="9">
        <f>IFERROR(__xludf.DUMMYFUNCTION("""COMPUTED_VALUE"""),2018.0)</f>
        <v>2018</v>
      </c>
      <c r="F1035" s="9">
        <f>IFERROR(__xludf.DUMMYFUNCTION("""COMPUTED_VALUE"""),750.0)</f>
        <v>750</v>
      </c>
      <c r="G1035" s="9">
        <f>IFERROR(__xludf.DUMMYFUNCTION("""COMPUTED_VALUE"""),6.0)</f>
        <v>6</v>
      </c>
      <c r="H1035" s="10">
        <f>IFERROR(__xludf.DUMMYFUNCTION("""COMPUTED_VALUE"""),2.0)</f>
        <v>2</v>
      </c>
      <c r="I1035" s="11">
        <f>IFERROR(__xludf.DUMMYFUNCTION("""COMPUTED_VALUE"""),329.0)</f>
        <v>329</v>
      </c>
      <c r="J1035" s="9" t="str">
        <f>IFERROR(__xludf.DUMMYFUNCTION("""COMPUTED_VALUE"""),"UK")</f>
        <v>UK</v>
      </c>
      <c r="K1035" s="8"/>
      <c r="L1035" s="12"/>
      <c r="M1035" s="13"/>
      <c r="N1035" s="13" t="str">
        <f>IFERROR(__xludf.DUMMYFUNCTION("IF(ISBLANK(M1035),"""",M1035*GOOGLEFINANCE(""USDGBP""))"),"")</f>
        <v/>
      </c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</row>
    <row r="1036">
      <c r="A1036" s="8" t="str">
        <f>IFERROR(__xludf.DUMMYFUNCTION("""COMPUTED_VALUE"""),"105854920170600750")</f>
        <v>105854920170600750</v>
      </c>
      <c r="B1036" s="9" t="str">
        <f>IFERROR(__xludf.DUMMYFUNCTION("""COMPUTED_VALUE"""),"France")</f>
        <v>France</v>
      </c>
      <c r="C1036" s="9" t="str">
        <f>IFERROR(__xludf.DUMMYFUNCTION("""COMPUTED_VALUE"""),"burgundy")</f>
        <v>burgundy</v>
      </c>
      <c r="D1036" s="9" t="str">
        <f>IFERROR(__xludf.DUMMYFUNCTION("""COMPUTED_VALUE"""),"Domaine Tortochot, Mazis-Chambertin Grand Cru")</f>
        <v>Domaine Tortochot, Mazis-Chambertin Grand Cru</v>
      </c>
      <c r="E1036" s="9">
        <f>IFERROR(__xludf.DUMMYFUNCTION("""COMPUTED_VALUE"""),2017.0)</f>
        <v>2017</v>
      </c>
      <c r="F1036" s="9">
        <f>IFERROR(__xludf.DUMMYFUNCTION("""COMPUTED_VALUE"""),750.0)</f>
        <v>750</v>
      </c>
      <c r="G1036" s="9">
        <f>IFERROR(__xludf.DUMMYFUNCTION("""COMPUTED_VALUE"""),6.0)</f>
        <v>6</v>
      </c>
      <c r="H1036" s="10">
        <f>IFERROR(__xludf.DUMMYFUNCTION("""COMPUTED_VALUE"""),2.0)</f>
        <v>2</v>
      </c>
      <c r="I1036" s="11">
        <f>IFERROR(__xludf.DUMMYFUNCTION("""COMPUTED_VALUE"""),908.0)</f>
        <v>908</v>
      </c>
      <c r="J1036" s="9" t="str">
        <f>IFERROR(__xludf.DUMMYFUNCTION("""COMPUTED_VALUE"""),"UK")</f>
        <v>UK</v>
      </c>
      <c r="K1036" s="8"/>
      <c r="L1036" s="12"/>
      <c r="M1036" s="13"/>
      <c r="N1036" s="13" t="str">
        <f>IFERROR(__xludf.DUMMYFUNCTION("IF(ISBLANK(M1036),"""",M1036*GOOGLEFINANCE(""USDGBP""))"),"")</f>
        <v/>
      </c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</row>
    <row r="1037">
      <c r="A1037" s="8" t="str">
        <f>IFERROR(__xludf.DUMMYFUNCTION("""COMPUTED_VALUE"""),"102588820180600750")</f>
        <v>102588820180600750</v>
      </c>
      <c r="B1037" s="9" t="str">
        <f>IFERROR(__xludf.DUMMYFUNCTION("""COMPUTED_VALUE"""),"France")</f>
        <v>France</v>
      </c>
      <c r="C1037" s="9" t="str">
        <f>IFERROR(__xludf.DUMMYFUNCTION("""COMPUTED_VALUE"""),"burgundy")</f>
        <v>burgundy</v>
      </c>
      <c r="D1037" s="9" t="str">
        <f>IFERROR(__xludf.DUMMYFUNCTION("""COMPUTED_VALUE"""),"Domaine Y. Clerget, Clos de Vougeot Grand Cru")</f>
        <v>Domaine Y. Clerget, Clos de Vougeot Grand Cru</v>
      </c>
      <c r="E1037" s="9">
        <f>IFERROR(__xludf.DUMMYFUNCTION("""COMPUTED_VALUE"""),2018.0)</f>
        <v>2018</v>
      </c>
      <c r="F1037" s="9">
        <f>IFERROR(__xludf.DUMMYFUNCTION("""COMPUTED_VALUE"""),750.0)</f>
        <v>750</v>
      </c>
      <c r="G1037" s="9">
        <f>IFERROR(__xludf.DUMMYFUNCTION("""COMPUTED_VALUE"""),6.0)</f>
        <v>6</v>
      </c>
      <c r="H1037" s="10">
        <f>IFERROR(__xludf.DUMMYFUNCTION("""COMPUTED_VALUE"""),1.0)</f>
        <v>1</v>
      </c>
      <c r="I1037" s="11">
        <f>IFERROR(__xludf.DUMMYFUNCTION("""COMPUTED_VALUE"""),812.0)</f>
        <v>812</v>
      </c>
      <c r="J1037" s="9" t="str">
        <f>IFERROR(__xludf.DUMMYFUNCTION("""COMPUTED_VALUE"""),"UK")</f>
        <v>UK</v>
      </c>
      <c r="K1037" s="8"/>
      <c r="L1037" s="12"/>
      <c r="M1037" s="13"/>
      <c r="N1037" s="13" t="str">
        <f>IFERROR(__xludf.DUMMYFUNCTION("IF(ISBLANK(M1037),"""",M1037*GOOGLEFINANCE(""USDGBP""))"),"")</f>
        <v/>
      </c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</row>
    <row r="1038">
      <c r="A1038" s="8" t="str">
        <f>IFERROR(__xludf.DUMMYFUNCTION("""COMPUTED_VALUE"""),"122762820190600750")</f>
        <v>122762820190600750</v>
      </c>
      <c r="B1038" s="9" t="str">
        <f>IFERROR(__xludf.DUMMYFUNCTION("""COMPUTED_VALUE"""),"France")</f>
        <v>France</v>
      </c>
      <c r="C1038" s="9" t="str">
        <f>IFERROR(__xludf.DUMMYFUNCTION("""COMPUTED_VALUE"""),"burgundy")</f>
        <v>burgundy</v>
      </c>
      <c r="D1038" s="9" t="str">
        <f>IFERROR(__xludf.DUMMYFUNCTION("""COMPUTED_VALUE"""),"Domaine Y. Clerget, Volnay Premier Cru, Clos du Verseuil")</f>
        <v>Domaine Y. Clerget, Volnay Premier Cru, Clos du Verseuil</v>
      </c>
      <c r="E1038" s="9">
        <f>IFERROR(__xludf.DUMMYFUNCTION("""COMPUTED_VALUE"""),2019.0)</f>
        <v>2019</v>
      </c>
      <c r="F1038" s="9">
        <f>IFERROR(__xludf.DUMMYFUNCTION("""COMPUTED_VALUE"""),750.0)</f>
        <v>750</v>
      </c>
      <c r="G1038" s="9">
        <f>IFERROR(__xludf.DUMMYFUNCTION("""COMPUTED_VALUE"""),6.0)</f>
        <v>6</v>
      </c>
      <c r="H1038" s="10">
        <f>IFERROR(__xludf.DUMMYFUNCTION("""COMPUTED_VALUE"""),1.0)</f>
        <v>1</v>
      </c>
      <c r="I1038" s="11">
        <f>IFERROR(__xludf.DUMMYFUNCTION("""COMPUTED_VALUE"""),549.0)</f>
        <v>549</v>
      </c>
      <c r="J1038" s="9" t="str">
        <f>IFERROR(__xludf.DUMMYFUNCTION("""COMPUTED_VALUE"""),"UK")</f>
        <v>UK</v>
      </c>
      <c r="K1038" s="8"/>
      <c r="L1038" s="12"/>
      <c r="M1038" s="13"/>
      <c r="N1038" s="13" t="str">
        <f>IFERROR(__xludf.DUMMYFUNCTION("IF(ISBLANK(M1038),"""",M1038*GOOGLEFINANCE(""USDGBP""))"),"")</f>
        <v/>
      </c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</row>
    <row r="1039">
      <c r="A1039" s="8" t="str">
        <f>IFERROR(__xludf.DUMMYFUNCTION("""COMPUTED_VALUE"""),"102763520170600750")</f>
        <v>102763520170600750</v>
      </c>
      <c r="B1039" s="9" t="str">
        <f>IFERROR(__xludf.DUMMYFUNCTION("""COMPUTED_VALUE"""),"France")</f>
        <v>France</v>
      </c>
      <c r="C1039" s="9" t="str">
        <f>IFERROR(__xludf.DUMMYFUNCTION("""COMPUTED_VALUE"""),"burgundy")</f>
        <v>burgundy</v>
      </c>
      <c r="D1039" s="9" t="str">
        <f>IFERROR(__xludf.DUMMYFUNCTION("""COMPUTED_VALUE"""),"Domaine de Courcel, Pommard Premier Cru, Les Rugiens")</f>
        <v>Domaine de Courcel, Pommard Premier Cru, Les Rugiens</v>
      </c>
      <c r="E1039" s="9">
        <f>IFERROR(__xludf.DUMMYFUNCTION("""COMPUTED_VALUE"""),2017.0)</f>
        <v>2017</v>
      </c>
      <c r="F1039" s="9">
        <f>IFERROR(__xludf.DUMMYFUNCTION("""COMPUTED_VALUE"""),750.0)</f>
        <v>750</v>
      </c>
      <c r="G1039" s="9">
        <f>IFERROR(__xludf.DUMMYFUNCTION("""COMPUTED_VALUE"""),6.0)</f>
        <v>6</v>
      </c>
      <c r="H1039" s="10">
        <f>IFERROR(__xludf.DUMMYFUNCTION("""COMPUTED_VALUE"""),1.0)</f>
        <v>1</v>
      </c>
      <c r="I1039" s="11">
        <f>IFERROR(__xludf.DUMMYFUNCTION("""COMPUTED_VALUE"""),593.0)</f>
        <v>593</v>
      </c>
      <c r="J1039" s="9" t="str">
        <f>IFERROR(__xludf.DUMMYFUNCTION("""COMPUTED_VALUE"""),"UK")</f>
        <v>UK</v>
      </c>
      <c r="K1039" s="8"/>
      <c r="L1039" s="12"/>
      <c r="M1039" s="13"/>
      <c r="N1039" s="13" t="str">
        <f>IFERROR(__xludf.DUMMYFUNCTION("IF(ISBLANK(M1039),"""",M1039*GOOGLEFINANCE(""USDGBP""))"),"")</f>
        <v/>
      </c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</row>
    <row r="1040">
      <c r="A1040" s="8" t="str">
        <f>IFERROR(__xludf.DUMMYFUNCTION("""COMPUTED_VALUE"""),"104798320171200750")</f>
        <v>104798320171200750</v>
      </c>
      <c r="B1040" s="9" t="str">
        <f>IFERROR(__xludf.DUMMYFUNCTION("""COMPUTED_VALUE"""),"France")</f>
        <v>France</v>
      </c>
      <c r="C1040" s="9" t="str">
        <f>IFERROR(__xludf.DUMMYFUNCTION("""COMPUTED_VALUE"""),"burgundy")</f>
        <v>burgundy</v>
      </c>
      <c r="D1040" s="9" t="str">
        <f>IFERROR(__xludf.DUMMYFUNCTION("""COMPUTED_VALUE"""),"Domaine de Montille, Beaune Premier Cru, Les Greves")</f>
        <v>Domaine de Montille, Beaune Premier Cru, Les Greves</v>
      </c>
      <c r="E1040" s="9">
        <f>IFERROR(__xludf.DUMMYFUNCTION("""COMPUTED_VALUE"""),2017.0)</f>
        <v>2017</v>
      </c>
      <c r="F1040" s="9">
        <f>IFERROR(__xludf.DUMMYFUNCTION("""COMPUTED_VALUE"""),750.0)</f>
        <v>750</v>
      </c>
      <c r="G1040" s="9">
        <f>IFERROR(__xludf.DUMMYFUNCTION("""COMPUTED_VALUE"""),12.0)</f>
        <v>12</v>
      </c>
      <c r="H1040" s="10">
        <f>IFERROR(__xludf.DUMMYFUNCTION("""COMPUTED_VALUE"""),2.0)</f>
        <v>2</v>
      </c>
      <c r="I1040" s="11">
        <f>IFERROR(__xludf.DUMMYFUNCTION("""COMPUTED_VALUE"""),672.0)</f>
        <v>672</v>
      </c>
      <c r="J1040" s="9" t="str">
        <f>IFERROR(__xludf.DUMMYFUNCTION("""COMPUTED_VALUE"""),"UK")</f>
        <v>UK</v>
      </c>
      <c r="K1040" s="8"/>
      <c r="L1040" s="12"/>
      <c r="M1040" s="13"/>
      <c r="N1040" s="13" t="str">
        <f>IFERROR(__xludf.DUMMYFUNCTION("IF(ISBLANK(M1040),"""",M1040*GOOGLEFINANCE(""USDGBP""))"),"")</f>
        <v/>
      </c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</row>
    <row r="1041">
      <c r="A1041" s="8" t="str">
        <f>IFERROR(__xludf.DUMMYFUNCTION("""COMPUTED_VALUE"""),"104798320181200750")</f>
        <v>104798320181200750</v>
      </c>
      <c r="B1041" s="9" t="str">
        <f>IFERROR(__xludf.DUMMYFUNCTION("""COMPUTED_VALUE"""),"France")</f>
        <v>France</v>
      </c>
      <c r="C1041" s="9" t="str">
        <f>IFERROR(__xludf.DUMMYFUNCTION("""COMPUTED_VALUE"""),"burgundy")</f>
        <v>burgundy</v>
      </c>
      <c r="D1041" s="9" t="str">
        <f>IFERROR(__xludf.DUMMYFUNCTION("""COMPUTED_VALUE"""),"Domaine de Montille, Beaune Premier Cru, Les Greves")</f>
        <v>Domaine de Montille, Beaune Premier Cru, Les Greves</v>
      </c>
      <c r="E1041" s="9">
        <f>IFERROR(__xludf.DUMMYFUNCTION("""COMPUTED_VALUE"""),2018.0)</f>
        <v>2018</v>
      </c>
      <c r="F1041" s="9">
        <f>IFERROR(__xludf.DUMMYFUNCTION("""COMPUTED_VALUE"""),750.0)</f>
        <v>750</v>
      </c>
      <c r="G1041" s="9">
        <f>IFERROR(__xludf.DUMMYFUNCTION("""COMPUTED_VALUE"""),12.0)</f>
        <v>12</v>
      </c>
      <c r="H1041" s="10">
        <f>IFERROR(__xludf.DUMMYFUNCTION("""COMPUTED_VALUE"""),1.0)</f>
        <v>1</v>
      </c>
      <c r="I1041" s="11">
        <f>IFERROR(__xludf.DUMMYFUNCTION("""COMPUTED_VALUE"""),812.0)</f>
        <v>812</v>
      </c>
      <c r="J1041" s="9" t="str">
        <f>IFERROR(__xludf.DUMMYFUNCTION("""COMPUTED_VALUE"""),"UK")</f>
        <v>UK</v>
      </c>
      <c r="K1041" s="8"/>
      <c r="L1041" s="12"/>
      <c r="M1041" s="13"/>
      <c r="N1041" s="13" t="str">
        <f>IFERROR(__xludf.DUMMYFUNCTION("IF(ISBLANK(M1041),"""",M1041*GOOGLEFINANCE(""USDGBP""))"),"")</f>
        <v/>
      </c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</row>
    <row r="1042">
      <c r="A1042" s="8" t="str">
        <f>IFERROR(__xludf.DUMMYFUNCTION("""COMPUTED_VALUE"""),"104798320200600750")</f>
        <v>104798320200600750</v>
      </c>
      <c r="B1042" s="9" t="str">
        <f>IFERROR(__xludf.DUMMYFUNCTION("""COMPUTED_VALUE"""),"France")</f>
        <v>France</v>
      </c>
      <c r="C1042" s="9" t="str">
        <f>IFERROR(__xludf.DUMMYFUNCTION("""COMPUTED_VALUE"""),"burgundy")</f>
        <v>burgundy</v>
      </c>
      <c r="D1042" s="9" t="str">
        <f>IFERROR(__xludf.DUMMYFUNCTION("""COMPUTED_VALUE"""),"Domaine de Montille, Beaune Premier Cru, Les Greves")</f>
        <v>Domaine de Montille, Beaune Premier Cru, Les Greves</v>
      </c>
      <c r="E1042" s="9">
        <f>IFERROR(__xludf.DUMMYFUNCTION("""COMPUTED_VALUE"""),2020.0)</f>
        <v>2020</v>
      </c>
      <c r="F1042" s="9">
        <f>IFERROR(__xludf.DUMMYFUNCTION("""COMPUTED_VALUE"""),750.0)</f>
        <v>750</v>
      </c>
      <c r="G1042" s="9">
        <f>IFERROR(__xludf.DUMMYFUNCTION("""COMPUTED_VALUE"""),6.0)</f>
        <v>6</v>
      </c>
      <c r="H1042" s="10">
        <f>IFERROR(__xludf.DUMMYFUNCTION("""COMPUTED_VALUE"""),1.0)</f>
        <v>1</v>
      </c>
      <c r="I1042" s="11">
        <f>IFERROR(__xludf.DUMMYFUNCTION("""COMPUTED_VALUE"""),368.0)</f>
        <v>368</v>
      </c>
      <c r="J1042" s="9" t="str">
        <f>IFERROR(__xludf.DUMMYFUNCTION("""COMPUTED_VALUE"""),"UK")</f>
        <v>UK</v>
      </c>
      <c r="K1042" s="8"/>
      <c r="L1042" s="12"/>
      <c r="M1042" s="13"/>
      <c r="N1042" s="13" t="str">
        <f>IFERROR(__xludf.DUMMYFUNCTION("IF(ISBLANK(M1042),"""",M1042*GOOGLEFINANCE(""USDGBP""))"),"")</f>
        <v/>
      </c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</row>
    <row r="1043">
      <c r="A1043" s="8" t="str">
        <f>IFERROR(__xludf.DUMMYFUNCTION("""COMPUTED_VALUE"""),"104799620171200750")</f>
        <v>104799620171200750</v>
      </c>
      <c r="B1043" s="9" t="str">
        <f>IFERROR(__xludf.DUMMYFUNCTION("""COMPUTED_VALUE"""),"France")</f>
        <v>France</v>
      </c>
      <c r="C1043" s="9" t="str">
        <f>IFERROR(__xludf.DUMMYFUNCTION("""COMPUTED_VALUE"""),"burgundy")</f>
        <v>burgundy</v>
      </c>
      <c r="D1043" s="9" t="str">
        <f>IFERROR(__xludf.DUMMYFUNCTION("""COMPUTED_VALUE"""),"Domaine de Montille, Beaune Premier Cru, Les Perrieres")</f>
        <v>Domaine de Montille, Beaune Premier Cru, Les Perrieres</v>
      </c>
      <c r="E1043" s="9">
        <f>IFERROR(__xludf.DUMMYFUNCTION("""COMPUTED_VALUE"""),2017.0)</f>
        <v>2017</v>
      </c>
      <c r="F1043" s="9">
        <f>IFERROR(__xludf.DUMMYFUNCTION("""COMPUTED_VALUE"""),750.0)</f>
        <v>750</v>
      </c>
      <c r="G1043" s="9">
        <f>IFERROR(__xludf.DUMMYFUNCTION("""COMPUTED_VALUE"""),12.0)</f>
        <v>12</v>
      </c>
      <c r="H1043" s="10">
        <f>IFERROR(__xludf.DUMMYFUNCTION("""COMPUTED_VALUE"""),4.0)</f>
        <v>4</v>
      </c>
      <c r="I1043" s="11">
        <f>IFERROR(__xludf.DUMMYFUNCTION("""COMPUTED_VALUE"""),638.0)</f>
        <v>638</v>
      </c>
      <c r="J1043" s="9" t="str">
        <f>IFERROR(__xludf.DUMMYFUNCTION("""COMPUTED_VALUE"""),"UK")</f>
        <v>UK</v>
      </c>
      <c r="K1043" s="8"/>
      <c r="L1043" s="12"/>
      <c r="M1043" s="13"/>
      <c r="N1043" s="13" t="str">
        <f>IFERROR(__xludf.DUMMYFUNCTION("IF(ISBLANK(M1043),"""",M1043*GOOGLEFINANCE(""USDGBP""))"),"")</f>
        <v/>
      </c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</row>
    <row r="1044">
      <c r="A1044" s="8" t="str">
        <f>IFERROR(__xludf.DUMMYFUNCTION("""COMPUTED_VALUE"""),"104800720171200750")</f>
        <v>104800720171200750</v>
      </c>
      <c r="B1044" s="9" t="str">
        <f>IFERROR(__xludf.DUMMYFUNCTION("""COMPUTED_VALUE"""),"France")</f>
        <v>France</v>
      </c>
      <c r="C1044" s="9" t="str">
        <f>IFERROR(__xludf.DUMMYFUNCTION("""COMPUTED_VALUE"""),"burgundy")</f>
        <v>burgundy</v>
      </c>
      <c r="D1044" s="9" t="str">
        <f>IFERROR(__xludf.DUMMYFUNCTION("""COMPUTED_VALUE"""),"Domaine de Montille, Beaune Premier Cru, Les Sizies")</f>
        <v>Domaine de Montille, Beaune Premier Cru, Les Sizies</v>
      </c>
      <c r="E1044" s="9">
        <f>IFERROR(__xludf.DUMMYFUNCTION("""COMPUTED_VALUE"""),2017.0)</f>
        <v>2017</v>
      </c>
      <c r="F1044" s="9">
        <f>IFERROR(__xludf.DUMMYFUNCTION("""COMPUTED_VALUE"""),750.0)</f>
        <v>750</v>
      </c>
      <c r="G1044" s="9">
        <f>IFERROR(__xludf.DUMMYFUNCTION("""COMPUTED_VALUE"""),12.0)</f>
        <v>12</v>
      </c>
      <c r="H1044" s="10">
        <f>IFERROR(__xludf.DUMMYFUNCTION("""COMPUTED_VALUE"""),2.0)</f>
        <v>2</v>
      </c>
      <c r="I1044" s="11">
        <f>IFERROR(__xludf.DUMMYFUNCTION("""COMPUTED_VALUE"""),595.0)</f>
        <v>595</v>
      </c>
      <c r="J1044" s="9" t="str">
        <f>IFERROR(__xludf.DUMMYFUNCTION("""COMPUTED_VALUE"""),"UK")</f>
        <v>UK</v>
      </c>
      <c r="K1044" s="8"/>
      <c r="L1044" s="12"/>
      <c r="M1044" s="13"/>
      <c r="N1044" s="13" t="str">
        <f>IFERROR(__xludf.DUMMYFUNCTION("IF(ISBLANK(M1044),"""",M1044*GOOGLEFINANCE(""USDGBP""))"),"")</f>
        <v/>
      </c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</row>
    <row r="1045">
      <c r="A1045" s="8" t="str">
        <f>IFERROR(__xludf.DUMMYFUNCTION("""COMPUTED_VALUE"""),"104800720181200750")</f>
        <v>104800720181200750</v>
      </c>
      <c r="B1045" s="9" t="str">
        <f>IFERROR(__xludf.DUMMYFUNCTION("""COMPUTED_VALUE"""),"France")</f>
        <v>France</v>
      </c>
      <c r="C1045" s="9" t="str">
        <f>IFERROR(__xludf.DUMMYFUNCTION("""COMPUTED_VALUE"""),"burgundy")</f>
        <v>burgundy</v>
      </c>
      <c r="D1045" s="9" t="str">
        <f>IFERROR(__xludf.DUMMYFUNCTION("""COMPUTED_VALUE"""),"Domaine de Montille, Beaune Premier Cru, Les Sizies")</f>
        <v>Domaine de Montille, Beaune Premier Cru, Les Sizies</v>
      </c>
      <c r="E1045" s="9">
        <f>IFERROR(__xludf.DUMMYFUNCTION("""COMPUTED_VALUE"""),2018.0)</f>
        <v>2018</v>
      </c>
      <c r="F1045" s="9">
        <f>IFERROR(__xludf.DUMMYFUNCTION("""COMPUTED_VALUE"""),750.0)</f>
        <v>750</v>
      </c>
      <c r="G1045" s="9">
        <f>IFERROR(__xludf.DUMMYFUNCTION("""COMPUTED_VALUE"""),12.0)</f>
        <v>12</v>
      </c>
      <c r="H1045" s="10">
        <f>IFERROR(__xludf.DUMMYFUNCTION("""COMPUTED_VALUE"""),3.0)</f>
        <v>3</v>
      </c>
      <c r="I1045" s="11">
        <f>IFERROR(__xludf.DUMMYFUNCTION("""COMPUTED_VALUE"""),570.0)</f>
        <v>570</v>
      </c>
      <c r="J1045" s="9" t="str">
        <f>IFERROR(__xludf.DUMMYFUNCTION("""COMPUTED_VALUE"""),"UK")</f>
        <v>UK</v>
      </c>
      <c r="K1045" s="8"/>
      <c r="L1045" s="12"/>
      <c r="M1045" s="13"/>
      <c r="N1045" s="13" t="str">
        <f>IFERROR(__xludf.DUMMYFUNCTION("IF(ISBLANK(M1045),"""",M1045*GOOGLEFINANCE(""USDGBP""))"),"")</f>
        <v/>
      </c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</row>
    <row r="1046">
      <c r="A1046" s="8" t="str">
        <f>IFERROR(__xludf.DUMMYFUNCTION("""COMPUTED_VALUE"""),"104803620161200750")</f>
        <v>104803620161200750</v>
      </c>
      <c r="B1046" s="9" t="str">
        <f>IFERROR(__xludf.DUMMYFUNCTION("""COMPUTED_VALUE"""),"France")</f>
        <v>France</v>
      </c>
      <c r="C1046" s="9" t="str">
        <f>IFERROR(__xludf.DUMMYFUNCTION("""COMPUTED_VALUE"""),"burgundy")</f>
        <v>burgundy</v>
      </c>
      <c r="D1046" s="9" t="str">
        <f>IFERROR(__xludf.DUMMYFUNCTION("""COMPUTED_VALUE"""),"Domaine de Montille, Clos de Vougeot Grand Cru")</f>
        <v>Domaine de Montille, Clos de Vougeot Grand Cru</v>
      </c>
      <c r="E1046" s="9">
        <f>IFERROR(__xludf.DUMMYFUNCTION("""COMPUTED_VALUE"""),2016.0)</f>
        <v>2016</v>
      </c>
      <c r="F1046" s="9">
        <f>IFERROR(__xludf.DUMMYFUNCTION("""COMPUTED_VALUE"""),750.0)</f>
        <v>750</v>
      </c>
      <c r="G1046" s="9">
        <f>IFERROR(__xludf.DUMMYFUNCTION("""COMPUTED_VALUE"""),12.0)</f>
        <v>12</v>
      </c>
      <c r="H1046" s="10">
        <f>IFERROR(__xludf.DUMMYFUNCTION("""COMPUTED_VALUE"""),1.0)</f>
        <v>1</v>
      </c>
      <c r="I1046" s="11">
        <f>IFERROR(__xludf.DUMMYFUNCTION("""COMPUTED_VALUE"""),1892.0)</f>
        <v>1892</v>
      </c>
      <c r="J1046" s="9" t="str">
        <f>IFERROR(__xludf.DUMMYFUNCTION("""COMPUTED_VALUE"""),"UK")</f>
        <v>UK</v>
      </c>
      <c r="K1046" s="8"/>
      <c r="L1046" s="12"/>
      <c r="M1046" s="13"/>
      <c r="N1046" s="13" t="str">
        <f>IFERROR(__xludf.DUMMYFUNCTION("IF(ISBLANK(M1046),"""",M1046*GOOGLEFINANCE(""USDGBP""))"),"")</f>
        <v/>
      </c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</row>
    <row r="1047">
      <c r="A1047" s="8" t="str">
        <f>IFERROR(__xludf.DUMMYFUNCTION("""COMPUTED_VALUE"""),"104805220171200750")</f>
        <v>104805220171200750</v>
      </c>
      <c r="B1047" s="9" t="str">
        <f>IFERROR(__xludf.DUMMYFUNCTION("""COMPUTED_VALUE"""),"France")</f>
        <v>France</v>
      </c>
      <c r="C1047" s="9" t="str">
        <f>IFERROR(__xludf.DUMMYFUNCTION("""COMPUTED_VALUE"""),"burgundy")</f>
        <v>burgundy</v>
      </c>
      <c r="D1047" s="9" t="str">
        <f>IFERROR(__xludf.DUMMYFUNCTION("""COMPUTED_VALUE"""),"Domaine de Montille, Corton Grand Cru, Le Clos du Roi")</f>
        <v>Domaine de Montille, Corton Grand Cru, Le Clos du Roi</v>
      </c>
      <c r="E1047" s="9">
        <f>IFERROR(__xludf.DUMMYFUNCTION("""COMPUTED_VALUE"""),2017.0)</f>
        <v>2017</v>
      </c>
      <c r="F1047" s="9">
        <f>IFERROR(__xludf.DUMMYFUNCTION("""COMPUTED_VALUE"""),750.0)</f>
        <v>750</v>
      </c>
      <c r="G1047" s="9">
        <f>IFERROR(__xludf.DUMMYFUNCTION("""COMPUTED_VALUE"""),12.0)</f>
        <v>12</v>
      </c>
      <c r="H1047" s="10">
        <f>IFERROR(__xludf.DUMMYFUNCTION("""COMPUTED_VALUE"""),1.0)</f>
        <v>1</v>
      </c>
      <c r="I1047" s="11">
        <f>IFERROR(__xludf.DUMMYFUNCTION("""COMPUTED_VALUE"""),1355.0)</f>
        <v>1355</v>
      </c>
      <c r="J1047" s="9" t="str">
        <f>IFERROR(__xludf.DUMMYFUNCTION("""COMPUTED_VALUE"""),"UK")</f>
        <v>UK</v>
      </c>
      <c r="K1047" s="8"/>
      <c r="L1047" s="12"/>
      <c r="M1047" s="13"/>
      <c r="N1047" s="13" t="str">
        <f>IFERROR(__xludf.DUMMYFUNCTION("IF(ISBLANK(M1047),"""",M1047*GOOGLEFINANCE(""USDGBP""))"),"")</f>
        <v/>
      </c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</row>
    <row r="1048">
      <c r="A1048" s="8" t="str">
        <f>IFERROR(__xludf.DUMMYFUNCTION("""COMPUTED_VALUE"""),"104805220180600750")</f>
        <v>104805220180600750</v>
      </c>
      <c r="B1048" s="9" t="str">
        <f>IFERROR(__xludf.DUMMYFUNCTION("""COMPUTED_VALUE"""),"France")</f>
        <v>France</v>
      </c>
      <c r="C1048" s="9" t="str">
        <f>IFERROR(__xludf.DUMMYFUNCTION("""COMPUTED_VALUE"""),"burgundy")</f>
        <v>burgundy</v>
      </c>
      <c r="D1048" s="9" t="str">
        <f>IFERROR(__xludf.DUMMYFUNCTION("""COMPUTED_VALUE"""),"Domaine de Montille, Corton Grand Cru, Le Clos du Roi")</f>
        <v>Domaine de Montille, Corton Grand Cru, Le Clos du Roi</v>
      </c>
      <c r="E1048" s="9">
        <f>IFERROR(__xludf.DUMMYFUNCTION("""COMPUTED_VALUE"""),2018.0)</f>
        <v>2018</v>
      </c>
      <c r="F1048" s="9">
        <f>IFERROR(__xludf.DUMMYFUNCTION("""COMPUTED_VALUE"""),750.0)</f>
        <v>750</v>
      </c>
      <c r="G1048" s="9">
        <f>IFERROR(__xludf.DUMMYFUNCTION("""COMPUTED_VALUE"""),6.0)</f>
        <v>6</v>
      </c>
      <c r="H1048" s="10">
        <f>IFERROR(__xludf.DUMMYFUNCTION("""COMPUTED_VALUE"""),1.0)</f>
        <v>1</v>
      </c>
      <c r="I1048" s="11">
        <f>IFERROR(__xludf.DUMMYFUNCTION("""COMPUTED_VALUE"""),781.0)</f>
        <v>781</v>
      </c>
      <c r="J1048" s="9" t="str">
        <f>IFERROR(__xludf.DUMMYFUNCTION("""COMPUTED_VALUE"""),"UK")</f>
        <v>UK</v>
      </c>
      <c r="K1048" s="8"/>
      <c r="L1048" s="12"/>
      <c r="M1048" s="13"/>
      <c r="N1048" s="13" t="str">
        <f>IFERROR(__xludf.DUMMYFUNCTION("IF(ISBLANK(M1048),"""",M1048*GOOGLEFINANCE(""USDGBP""))"),"")</f>
        <v/>
      </c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</row>
    <row r="1049">
      <c r="A1049" s="8" t="str">
        <f>IFERROR(__xludf.DUMMYFUNCTION("""COMPUTED_VALUE"""),"104809420171200750")</f>
        <v>104809420171200750</v>
      </c>
      <c r="B1049" s="9" t="str">
        <f>IFERROR(__xludf.DUMMYFUNCTION("""COMPUTED_VALUE"""),"France")</f>
        <v>France</v>
      </c>
      <c r="C1049" s="9" t="str">
        <f>IFERROR(__xludf.DUMMYFUNCTION("""COMPUTED_VALUE"""),"burgundy")</f>
        <v>burgundy</v>
      </c>
      <c r="D1049" s="9" t="str">
        <f>IFERROR(__xludf.DUMMYFUNCTION("""COMPUTED_VALUE"""),"Domaine de Montille, Nuits-Saint-Georges Premier Cru, Aux Thorey")</f>
        <v>Domaine de Montille, Nuits-Saint-Georges Premier Cru, Aux Thorey</v>
      </c>
      <c r="E1049" s="9">
        <f>IFERROR(__xludf.DUMMYFUNCTION("""COMPUTED_VALUE"""),2017.0)</f>
        <v>2017</v>
      </c>
      <c r="F1049" s="9">
        <f>IFERROR(__xludf.DUMMYFUNCTION("""COMPUTED_VALUE"""),750.0)</f>
        <v>750</v>
      </c>
      <c r="G1049" s="9">
        <f>IFERROR(__xludf.DUMMYFUNCTION("""COMPUTED_VALUE"""),12.0)</f>
        <v>12</v>
      </c>
      <c r="H1049" s="10">
        <f>IFERROR(__xludf.DUMMYFUNCTION("""COMPUTED_VALUE"""),1.0)</f>
        <v>1</v>
      </c>
      <c r="I1049" s="11">
        <f>IFERROR(__xludf.DUMMYFUNCTION("""COMPUTED_VALUE"""),749.0)</f>
        <v>749</v>
      </c>
      <c r="J1049" s="9" t="str">
        <f>IFERROR(__xludf.DUMMYFUNCTION("""COMPUTED_VALUE"""),"UK")</f>
        <v>UK</v>
      </c>
      <c r="K1049" s="8"/>
      <c r="L1049" s="12"/>
      <c r="M1049" s="13"/>
      <c r="N1049" s="13" t="str">
        <f>IFERROR(__xludf.DUMMYFUNCTION("IF(ISBLANK(M1049),"""",M1049*GOOGLEFINANCE(""USDGBP""))"),"")</f>
        <v/>
      </c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</row>
    <row r="1050">
      <c r="A1050" s="8" t="str">
        <f>IFERROR(__xludf.DUMMYFUNCTION("""COMPUTED_VALUE"""),"104809420180600750")</f>
        <v>104809420180600750</v>
      </c>
      <c r="B1050" s="9" t="str">
        <f>IFERROR(__xludf.DUMMYFUNCTION("""COMPUTED_VALUE"""),"France")</f>
        <v>France</v>
      </c>
      <c r="C1050" s="9" t="str">
        <f>IFERROR(__xludf.DUMMYFUNCTION("""COMPUTED_VALUE"""),"burgundy")</f>
        <v>burgundy</v>
      </c>
      <c r="D1050" s="9" t="str">
        <f>IFERROR(__xludf.DUMMYFUNCTION("""COMPUTED_VALUE"""),"Domaine de Montille, Nuits-Saint-Georges Premier Cru, Aux Thorey")</f>
        <v>Domaine de Montille, Nuits-Saint-Georges Premier Cru, Aux Thorey</v>
      </c>
      <c r="E1050" s="9">
        <f>IFERROR(__xludf.DUMMYFUNCTION("""COMPUTED_VALUE"""),2018.0)</f>
        <v>2018</v>
      </c>
      <c r="F1050" s="9">
        <f>IFERROR(__xludf.DUMMYFUNCTION("""COMPUTED_VALUE"""),750.0)</f>
        <v>750</v>
      </c>
      <c r="G1050" s="9">
        <f>IFERROR(__xludf.DUMMYFUNCTION("""COMPUTED_VALUE"""),6.0)</f>
        <v>6</v>
      </c>
      <c r="H1050" s="10">
        <f>IFERROR(__xludf.DUMMYFUNCTION("""COMPUTED_VALUE"""),2.0)</f>
        <v>2</v>
      </c>
      <c r="I1050" s="11">
        <f>IFERROR(__xludf.DUMMYFUNCTION("""COMPUTED_VALUE"""),498.0)</f>
        <v>498</v>
      </c>
      <c r="J1050" s="9" t="str">
        <f>IFERROR(__xludf.DUMMYFUNCTION("""COMPUTED_VALUE"""),"UK")</f>
        <v>UK</v>
      </c>
      <c r="K1050" s="8"/>
      <c r="L1050" s="12"/>
      <c r="M1050" s="13"/>
      <c r="N1050" s="13" t="str">
        <f>IFERROR(__xludf.DUMMYFUNCTION("IF(ISBLANK(M1050),"""",M1050*GOOGLEFINANCE(""USDGBP""))"),"")</f>
        <v/>
      </c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</row>
    <row r="1051">
      <c r="A1051" s="8" t="str">
        <f>IFERROR(__xludf.DUMMYFUNCTION("""COMPUTED_VALUE"""),"104808120181200750")</f>
        <v>104808120181200750</v>
      </c>
      <c r="B1051" s="9" t="str">
        <f>IFERROR(__xludf.DUMMYFUNCTION("""COMPUTED_VALUE"""),"France")</f>
        <v>France</v>
      </c>
      <c r="C1051" s="9" t="str">
        <f>IFERROR(__xludf.DUMMYFUNCTION("""COMPUTED_VALUE"""),"burgundy")</f>
        <v>burgundy</v>
      </c>
      <c r="D1051" s="9" t="str">
        <f>IFERROR(__xludf.DUMMYFUNCTION("""COMPUTED_VALUE"""),"Domaine de Montille, Nuits-Saint-Georges, Aux Saints-Juliens")</f>
        <v>Domaine de Montille, Nuits-Saint-Georges, Aux Saints-Juliens</v>
      </c>
      <c r="E1051" s="9">
        <f>IFERROR(__xludf.DUMMYFUNCTION("""COMPUTED_VALUE"""),2018.0)</f>
        <v>2018</v>
      </c>
      <c r="F1051" s="9">
        <f>IFERROR(__xludf.DUMMYFUNCTION("""COMPUTED_VALUE"""),750.0)</f>
        <v>750</v>
      </c>
      <c r="G1051" s="9">
        <f>IFERROR(__xludf.DUMMYFUNCTION("""COMPUTED_VALUE"""),12.0)</f>
        <v>12</v>
      </c>
      <c r="H1051" s="10">
        <f>IFERROR(__xludf.DUMMYFUNCTION("""COMPUTED_VALUE"""),1.0)</f>
        <v>1</v>
      </c>
      <c r="I1051" s="11">
        <f>IFERROR(__xludf.DUMMYFUNCTION("""COMPUTED_VALUE"""),841.0)</f>
        <v>841</v>
      </c>
      <c r="J1051" s="9" t="str">
        <f>IFERROR(__xludf.DUMMYFUNCTION("""COMPUTED_VALUE"""),"UK")</f>
        <v>UK</v>
      </c>
      <c r="K1051" s="8"/>
      <c r="L1051" s="12"/>
      <c r="M1051" s="13"/>
      <c r="N1051" s="13" t="str">
        <f>IFERROR(__xludf.DUMMYFUNCTION("IF(ISBLANK(M1051),"""",M1051*GOOGLEFINANCE(""USDGBP""))"),"")</f>
        <v/>
      </c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</row>
    <row r="1052">
      <c r="A1052" s="8" t="str">
        <f>IFERROR(__xludf.DUMMYFUNCTION("""COMPUTED_VALUE"""),"104814020170600750")</f>
        <v>104814020170600750</v>
      </c>
      <c r="B1052" s="9" t="str">
        <f>IFERROR(__xludf.DUMMYFUNCTION("""COMPUTED_VALUE"""),"France")</f>
        <v>France</v>
      </c>
      <c r="C1052" s="9" t="str">
        <f>IFERROR(__xludf.DUMMYFUNCTION("""COMPUTED_VALUE"""),"burgundy")</f>
        <v>burgundy</v>
      </c>
      <c r="D1052" s="9" t="str">
        <f>IFERROR(__xludf.DUMMYFUNCTION("""COMPUTED_VALUE"""),"Domaine de Montille, Pommard Premier Cru, Les Pezerolles")</f>
        <v>Domaine de Montille, Pommard Premier Cru, Les Pezerolles</v>
      </c>
      <c r="E1052" s="9">
        <f>IFERROR(__xludf.DUMMYFUNCTION("""COMPUTED_VALUE"""),2017.0)</f>
        <v>2017</v>
      </c>
      <c r="F1052" s="9">
        <f>IFERROR(__xludf.DUMMYFUNCTION("""COMPUTED_VALUE"""),750.0)</f>
        <v>750</v>
      </c>
      <c r="G1052" s="9">
        <f>IFERROR(__xludf.DUMMYFUNCTION("""COMPUTED_VALUE"""),6.0)</f>
        <v>6</v>
      </c>
      <c r="H1052" s="10">
        <f>IFERROR(__xludf.DUMMYFUNCTION("""COMPUTED_VALUE"""),1.0)</f>
        <v>1</v>
      </c>
      <c r="I1052" s="11">
        <f>IFERROR(__xludf.DUMMYFUNCTION("""COMPUTED_VALUE"""),515.0)</f>
        <v>515</v>
      </c>
      <c r="J1052" s="9" t="str">
        <f>IFERROR(__xludf.DUMMYFUNCTION("""COMPUTED_VALUE"""),"UK")</f>
        <v>UK</v>
      </c>
      <c r="K1052" s="8"/>
      <c r="L1052" s="12"/>
      <c r="M1052" s="13"/>
      <c r="N1052" s="13" t="str">
        <f>IFERROR(__xludf.DUMMYFUNCTION("IF(ISBLANK(M1052),"""",M1052*GOOGLEFINANCE(""USDGBP""))"),"")</f>
        <v/>
      </c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</row>
    <row r="1053">
      <c r="A1053" s="8" t="str">
        <f>IFERROR(__xludf.DUMMYFUNCTION("""COMPUTED_VALUE"""),"104821220171200750")</f>
        <v>104821220171200750</v>
      </c>
      <c r="B1053" s="9" t="str">
        <f>IFERROR(__xludf.DUMMYFUNCTION("""COMPUTED_VALUE"""),"France")</f>
        <v>France</v>
      </c>
      <c r="C1053" s="9" t="str">
        <f>IFERROR(__xludf.DUMMYFUNCTION("""COMPUTED_VALUE"""),"burgundy")</f>
        <v>burgundy</v>
      </c>
      <c r="D1053" s="9" t="str">
        <f>IFERROR(__xludf.DUMMYFUNCTION("""COMPUTED_VALUE"""),"Domaine de Montille, Volnay Premier Cru, Champans")</f>
        <v>Domaine de Montille, Volnay Premier Cru, Champans</v>
      </c>
      <c r="E1053" s="9">
        <f>IFERROR(__xludf.DUMMYFUNCTION("""COMPUTED_VALUE"""),2017.0)</f>
        <v>2017</v>
      </c>
      <c r="F1053" s="9">
        <f>IFERROR(__xludf.DUMMYFUNCTION("""COMPUTED_VALUE"""),750.0)</f>
        <v>750</v>
      </c>
      <c r="G1053" s="9">
        <f>IFERROR(__xludf.DUMMYFUNCTION("""COMPUTED_VALUE"""),12.0)</f>
        <v>12</v>
      </c>
      <c r="H1053" s="10">
        <f>IFERROR(__xludf.DUMMYFUNCTION("""COMPUTED_VALUE"""),1.0)</f>
        <v>1</v>
      </c>
      <c r="I1053" s="11">
        <f>IFERROR(__xludf.DUMMYFUNCTION("""COMPUTED_VALUE"""),1199.0)</f>
        <v>1199</v>
      </c>
      <c r="J1053" s="9" t="str">
        <f>IFERROR(__xludf.DUMMYFUNCTION("""COMPUTED_VALUE"""),"UK")</f>
        <v>UK</v>
      </c>
      <c r="K1053" s="8"/>
      <c r="L1053" s="12"/>
      <c r="M1053" s="13"/>
      <c r="N1053" s="13" t="str">
        <f>IFERROR(__xludf.DUMMYFUNCTION("IF(ISBLANK(M1053),"""",M1053*GOOGLEFINANCE(""USDGBP""))"),"")</f>
        <v/>
      </c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</row>
    <row r="1054">
      <c r="A1054" s="8" t="str">
        <f>IFERROR(__xludf.DUMMYFUNCTION("""COMPUTED_VALUE"""),"104821220180301500")</f>
        <v>104821220180301500</v>
      </c>
      <c r="B1054" s="9" t="str">
        <f>IFERROR(__xludf.DUMMYFUNCTION("""COMPUTED_VALUE"""),"France")</f>
        <v>France</v>
      </c>
      <c r="C1054" s="9" t="str">
        <f>IFERROR(__xludf.DUMMYFUNCTION("""COMPUTED_VALUE"""),"burgundy")</f>
        <v>burgundy</v>
      </c>
      <c r="D1054" s="9" t="str">
        <f>IFERROR(__xludf.DUMMYFUNCTION("""COMPUTED_VALUE"""),"Domaine de Montille, Volnay Premier Cru, Champans")</f>
        <v>Domaine de Montille, Volnay Premier Cru, Champans</v>
      </c>
      <c r="E1054" s="9">
        <f>IFERROR(__xludf.DUMMYFUNCTION("""COMPUTED_VALUE"""),2018.0)</f>
        <v>2018</v>
      </c>
      <c r="F1054" s="9">
        <f>IFERROR(__xludf.DUMMYFUNCTION("""COMPUTED_VALUE"""),1500.0)</f>
        <v>1500</v>
      </c>
      <c r="G1054" s="9">
        <f>IFERROR(__xludf.DUMMYFUNCTION("""COMPUTED_VALUE"""),3.0)</f>
        <v>3</v>
      </c>
      <c r="H1054" s="10">
        <f>IFERROR(__xludf.DUMMYFUNCTION("""COMPUTED_VALUE"""),2.0)</f>
        <v>2</v>
      </c>
      <c r="I1054" s="11">
        <f>IFERROR(__xludf.DUMMYFUNCTION("""COMPUTED_VALUE"""),537.0)</f>
        <v>537</v>
      </c>
      <c r="J1054" s="9" t="str">
        <f>IFERROR(__xludf.DUMMYFUNCTION("""COMPUTED_VALUE"""),"UK")</f>
        <v>UK</v>
      </c>
      <c r="K1054" s="8"/>
      <c r="L1054" s="12"/>
      <c r="M1054" s="13"/>
      <c r="N1054" s="13" t="str">
        <f>IFERROR(__xludf.DUMMYFUNCTION("IF(ISBLANK(M1054),"""",M1054*GOOGLEFINANCE(""USDGBP""))"),"")</f>
        <v/>
      </c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</row>
    <row r="1055">
      <c r="A1055" s="8" t="str">
        <f>IFERROR(__xludf.DUMMYFUNCTION("""COMPUTED_VALUE"""),"104822520180600750")</f>
        <v>104822520180600750</v>
      </c>
      <c r="B1055" s="9" t="str">
        <f>IFERROR(__xludf.DUMMYFUNCTION("""COMPUTED_VALUE"""),"France")</f>
        <v>France</v>
      </c>
      <c r="C1055" s="9" t="str">
        <f>IFERROR(__xludf.DUMMYFUNCTION("""COMPUTED_VALUE"""),"burgundy")</f>
        <v>burgundy</v>
      </c>
      <c r="D1055" s="9" t="str">
        <f>IFERROR(__xludf.DUMMYFUNCTION("""COMPUTED_VALUE"""),"Domaine de Montille, Volnay Premier Cru, Les Mitans")</f>
        <v>Domaine de Montille, Volnay Premier Cru, Les Mitans</v>
      </c>
      <c r="E1055" s="9">
        <f>IFERROR(__xludf.DUMMYFUNCTION("""COMPUTED_VALUE"""),2018.0)</f>
        <v>2018</v>
      </c>
      <c r="F1055" s="9">
        <f>IFERROR(__xludf.DUMMYFUNCTION("""COMPUTED_VALUE"""),750.0)</f>
        <v>750</v>
      </c>
      <c r="G1055" s="9">
        <f>IFERROR(__xludf.DUMMYFUNCTION("""COMPUTED_VALUE"""),6.0)</f>
        <v>6</v>
      </c>
      <c r="H1055" s="10">
        <f>IFERROR(__xludf.DUMMYFUNCTION("""COMPUTED_VALUE"""),1.0)</f>
        <v>1</v>
      </c>
      <c r="I1055" s="11">
        <f>IFERROR(__xludf.DUMMYFUNCTION("""COMPUTED_VALUE"""),532.0)</f>
        <v>532</v>
      </c>
      <c r="J1055" s="9" t="str">
        <f>IFERROR(__xludf.DUMMYFUNCTION("""COMPUTED_VALUE"""),"UK")</f>
        <v>UK</v>
      </c>
      <c r="K1055" s="8"/>
      <c r="L1055" s="12"/>
      <c r="M1055" s="13"/>
      <c r="N1055" s="13" t="str">
        <f>IFERROR(__xludf.DUMMYFUNCTION("IF(ISBLANK(M1055),"""",M1055*GOOGLEFINANCE(""USDGBP""))"),"")</f>
        <v/>
      </c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</row>
    <row r="1056">
      <c r="A1056" s="8" t="str">
        <f>IFERROR(__xludf.DUMMYFUNCTION("""COMPUTED_VALUE"""),"104822520181200750")</f>
        <v>104822520181200750</v>
      </c>
      <c r="B1056" s="9" t="str">
        <f>IFERROR(__xludf.DUMMYFUNCTION("""COMPUTED_VALUE"""),"France")</f>
        <v>France</v>
      </c>
      <c r="C1056" s="9" t="str">
        <f>IFERROR(__xludf.DUMMYFUNCTION("""COMPUTED_VALUE"""),"burgundy")</f>
        <v>burgundy</v>
      </c>
      <c r="D1056" s="9" t="str">
        <f>IFERROR(__xludf.DUMMYFUNCTION("""COMPUTED_VALUE"""),"Domaine de Montille, Volnay Premier Cru, Les Mitans")</f>
        <v>Domaine de Montille, Volnay Premier Cru, Les Mitans</v>
      </c>
      <c r="E1056" s="9">
        <f>IFERROR(__xludf.DUMMYFUNCTION("""COMPUTED_VALUE"""),2018.0)</f>
        <v>2018</v>
      </c>
      <c r="F1056" s="9">
        <f>IFERROR(__xludf.DUMMYFUNCTION("""COMPUTED_VALUE"""),750.0)</f>
        <v>750</v>
      </c>
      <c r="G1056" s="9">
        <f>IFERROR(__xludf.DUMMYFUNCTION("""COMPUTED_VALUE"""),12.0)</f>
        <v>12</v>
      </c>
      <c r="H1056" s="10">
        <f>IFERROR(__xludf.DUMMYFUNCTION("""COMPUTED_VALUE"""),2.0)</f>
        <v>2</v>
      </c>
      <c r="I1056" s="11">
        <f>IFERROR(__xludf.DUMMYFUNCTION("""COMPUTED_VALUE"""),1063.0)</f>
        <v>1063</v>
      </c>
      <c r="J1056" s="9" t="str">
        <f>IFERROR(__xludf.DUMMYFUNCTION("""COMPUTED_VALUE"""),"UK")</f>
        <v>UK</v>
      </c>
      <c r="K1056" s="8"/>
      <c r="L1056" s="12"/>
      <c r="M1056" s="13"/>
      <c r="N1056" s="13" t="str">
        <f>IFERROR(__xludf.DUMMYFUNCTION("IF(ISBLANK(M1056),"""",M1056*GOOGLEFINANCE(""USDGBP""))"),"")</f>
        <v/>
      </c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</row>
    <row r="1057">
      <c r="A1057" s="8" t="str">
        <f>IFERROR(__xludf.DUMMYFUNCTION("""COMPUTED_VALUE"""),"104824120181200750")</f>
        <v>104824120181200750</v>
      </c>
      <c r="B1057" s="9" t="str">
        <f>IFERROR(__xludf.DUMMYFUNCTION("""COMPUTED_VALUE"""),"France")</f>
        <v>France</v>
      </c>
      <c r="C1057" s="9" t="str">
        <f>IFERROR(__xludf.DUMMYFUNCTION("""COMPUTED_VALUE"""),"burgundy")</f>
        <v>burgundy</v>
      </c>
      <c r="D1057" s="9" t="str">
        <f>IFERROR(__xludf.DUMMYFUNCTION("""COMPUTED_VALUE"""),"Domaine de Montille, Volnay Premier Cru, Taille Pieds")</f>
        <v>Domaine de Montille, Volnay Premier Cru, Taille Pieds</v>
      </c>
      <c r="E1057" s="9">
        <f>IFERROR(__xludf.DUMMYFUNCTION("""COMPUTED_VALUE"""),2018.0)</f>
        <v>2018</v>
      </c>
      <c r="F1057" s="9">
        <f>IFERROR(__xludf.DUMMYFUNCTION("""COMPUTED_VALUE"""),750.0)</f>
        <v>750</v>
      </c>
      <c r="G1057" s="9">
        <f>IFERROR(__xludf.DUMMYFUNCTION("""COMPUTED_VALUE"""),12.0)</f>
        <v>12</v>
      </c>
      <c r="H1057" s="10">
        <f>IFERROR(__xludf.DUMMYFUNCTION("""COMPUTED_VALUE"""),1.0)</f>
        <v>1</v>
      </c>
      <c r="I1057" s="11">
        <f>IFERROR(__xludf.DUMMYFUNCTION("""COMPUTED_VALUE"""),1131.0)</f>
        <v>1131</v>
      </c>
      <c r="J1057" s="9" t="str">
        <f>IFERROR(__xludf.DUMMYFUNCTION("""COMPUTED_VALUE"""),"UK")</f>
        <v>UK</v>
      </c>
      <c r="K1057" s="8"/>
      <c r="L1057" s="12"/>
      <c r="M1057" s="13"/>
      <c r="N1057" s="13" t="str">
        <f>IFERROR(__xludf.DUMMYFUNCTION("IF(ISBLANK(M1057),"""",M1057*GOOGLEFINANCE(""USDGBP""))"),"")</f>
        <v/>
      </c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</row>
    <row r="1058">
      <c r="A1058" s="8" t="str">
        <f>IFERROR(__xludf.DUMMYFUNCTION("""COMPUTED_VALUE"""),"104824120180600750")</f>
        <v>104824120180600750</v>
      </c>
      <c r="B1058" s="9" t="str">
        <f>IFERROR(__xludf.DUMMYFUNCTION("""COMPUTED_VALUE"""),"France")</f>
        <v>France</v>
      </c>
      <c r="C1058" s="9" t="str">
        <f>IFERROR(__xludf.DUMMYFUNCTION("""COMPUTED_VALUE"""),"burgundy")</f>
        <v>burgundy</v>
      </c>
      <c r="D1058" s="9" t="str">
        <f>IFERROR(__xludf.DUMMYFUNCTION("""COMPUTED_VALUE"""),"Domaine de Montille, Volnay Premier Cru, Taille Pieds")</f>
        <v>Domaine de Montille, Volnay Premier Cru, Taille Pieds</v>
      </c>
      <c r="E1058" s="9">
        <f>IFERROR(__xludf.DUMMYFUNCTION("""COMPUTED_VALUE"""),2018.0)</f>
        <v>2018</v>
      </c>
      <c r="F1058" s="9">
        <f>IFERROR(__xludf.DUMMYFUNCTION("""COMPUTED_VALUE"""),750.0)</f>
        <v>750</v>
      </c>
      <c r="G1058" s="9">
        <f>IFERROR(__xludf.DUMMYFUNCTION("""COMPUTED_VALUE"""),6.0)</f>
        <v>6</v>
      </c>
      <c r="H1058" s="10">
        <f>IFERROR(__xludf.DUMMYFUNCTION("""COMPUTED_VALUE"""),1.0)</f>
        <v>1</v>
      </c>
      <c r="I1058" s="11">
        <f>IFERROR(__xludf.DUMMYFUNCTION("""COMPUTED_VALUE"""),565.0)</f>
        <v>565</v>
      </c>
      <c r="J1058" s="9" t="str">
        <f>IFERROR(__xludf.DUMMYFUNCTION("""COMPUTED_VALUE"""),"UK")</f>
        <v>UK</v>
      </c>
      <c r="K1058" s="8"/>
      <c r="L1058" s="12"/>
      <c r="M1058" s="13"/>
      <c r="N1058" s="13" t="str">
        <f>IFERROR(__xludf.DUMMYFUNCTION("IF(ISBLANK(M1058),"""",M1058*GOOGLEFINANCE(""USDGBP""))"),"")</f>
        <v/>
      </c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</row>
    <row r="1059">
      <c r="A1059" s="8" t="str">
        <f>IFERROR(__xludf.DUMMYFUNCTION("""COMPUTED_VALUE"""),"104824120180301500")</f>
        <v>104824120180301500</v>
      </c>
      <c r="B1059" s="9" t="str">
        <f>IFERROR(__xludf.DUMMYFUNCTION("""COMPUTED_VALUE"""),"France")</f>
        <v>France</v>
      </c>
      <c r="C1059" s="9" t="str">
        <f>IFERROR(__xludf.DUMMYFUNCTION("""COMPUTED_VALUE"""),"burgundy")</f>
        <v>burgundy</v>
      </c>
      <c r="D1059" s="9" t="str">
        <f>IFERROR(__xludf.DUMMYFUNCTION("""COMPUTED_VALUE"""),"Domaine de Montille, Volnay Premier Cru, Taille Pieds")</f>
        <v>Domaine de Montille, Volnay Premier Cru, Taille Pieds</v>
      </c>
      <c r="E1059" s="9">
        <f>IFERROR(__xludf.DUMMYFUNCTION("""COMPUTED_VALUE"""),2018.0)</f>
        <v>2018</v>
      </c>
      <c r="F1059" s="9">
        <f>IFERROR(__xludf.DUMMYFUNCTION("""COMPUTED_VALUE"""),1500.0)</f>
        <v>1500</v>
      </c>
      <c r="G1059" s="9">
        <f>IFERROR(__xludf.DUMMYFUNCTION("""COMPUTED_VALUE"""),3.0)</f>
        <v>3</v>
      </c>
      <c r="H1059" s="10">
        <f>IFERROR(__xludf.DUMMYFUNCTION("""COMPUTED_VALUE"""),1.0)</f>
        <v>1</v>
      </c>
      <c r="I1059" s="11">
        <f>IFERROR(__xludf.DUMMYFUNCTION("""COMPUTED_VALUE"""),616.0)</f>
        <v>616</v>
      </c>
      <c r="J1059" s="9" t="str">
        <f>IFERROR(__xludf.DUMMYFUNCTION("""COMPUTED_VALUE"""),"UK")</f>
        <v>UK</v>
      </c>
      <c r="K1059" s="8"/>
      <c r="L1059" s="12"/>
      <c r="M1059" s="13"/>
      <c r="N1059" s="13" t="str">
        <f>IFERROR(__xludf.DUMMYFUNCTION("IF(ISBLANK(M1059),"""",M1059*GOOGLEFINANCE(""USDGBP""))"),"")</f>
        <v/>
      </c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</row>
    <row r="1060">
      <c r="A1060" s="8" t="str">
        <f>IFERROR(__xludf.DUMMYFUNCTION("""COMPUTED_VALUE"""),"113217520110600750")</f>
        <v>113217520110600750</v>
      </c>
      <c r="B1060" s="9" t="str">
        <f>IFERROR(__xludf.DUMMYFUNCTION("""COMPUTED_VALUE"""),"France")</f>
        <v>France</v>
      </c>
      <c r="C1060" s="9" t="str">
        <f>IFERROR(__xludf.DUMMYFUNCTION("""COMPUTED_VALUE"""),"burgundy")</f>
        <v>burgundy</v>
      </c>
      <c r="D1060" s="9" t="str">
        <f>IFERROR(__xludf.DUMMYFUNCTION("""COMPUTED_VALUE"""),"Domaine de la Vougeraie, Charmes-Chambertin Grand Cru, Les Mazoyeres")</f>
        <v>Domaine de la Vougeraie, Charmes-Chambertin Grand Cru, Les Mazoyeres</v>
      </c>
      <c r="E1060" s="9">
        <f>IFERROR(__xludf.DUMMYFUNCTION("""COMPUTED_VALUE"""),2011.0)</f>
        <v>2011</v>
      </c>
      <c r="F1060" s="9">
        <f>IFERROR(__xludf.DUMMYFUNCTION("""COMPUTED_VALUE"""),750.0)</f>
        <v>750</v>
      </c>
      <c r="G1060" s="9">
        <f>IFERROR(__xludf.DUMMYFUNCTION("""COMPUTED_VALUE"""),6.0)</f>
        <v>6</v>
      </c>
      <c r="H1060" s="10">
        <f>IFERROR(__xludf.DUMMYFUNCTION("""COMPUTED_VALUE"""),1.0)</f>
        <v>1</v>
      </c>
      <c r="I1060" s="11">
        <f>IFERROR(__xludf.DUMMYFUNCTION("""COMPUTED_VALUE"""),800.0)</f>
        <v>800</v>
      </c>
      <c r="J1060" s="9" t="str">
        <f>IFERROR(__xludf.DUMMYFUNCTION("""COMPUTED_VALUE"""),"UK")</f>
        <v>UK</v>
      </c>
      <c r="K1060" s="8"/>
      <c r="L1060" s="12"/>
      <c r="M1060" s="13"/>
      <c r="N1060" s="13" t="str">
        <f>IFERROR(__xludf.DUMMYFUNCTION("IF(ISBLANK(M1060),"""",M1060*GOOGLEFINANCE(""USDGBP""))"),"")</f>
        <v/>
      </c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</row>
    <row r="1061">
      <c r="A1061" s="8" t="str">
        <f>IFERROR(__xludf.DUMMYFUNCTION("""COMPUTED_VALUE"""),"113217520170600750")</f>
        <v>113217520170600750</v>
      </c>
      <c r="B1061" s="9" t="str">
        <f>IFERROR(__xludf.DUMMYFUNCTION("""COMPUTED_VALUE"""),"France")</f>
        <v>France</v>
      </c>
      <c r="C1061" s="9" t="str">
        <f>IFERROR(__xludf.DUMMYFUNCTION("""COMPUTED_VALUE"""),"burgundy")</f>
        <v>burgundy</v>
      </c>
      <c r="D1061" s="9" t="str">
        <f>IFERROR(__xludf.DUMMYFUNCTION("""COMPUTED_VALUE"""),"Domaine de la Vougeraie, Charmes-Chambertin Grand Cru, Les Mazoyeres")</f>
        <v>Domaine de la Vougeraie, Charmes-Chambertin Grand Cru, Les Mazoyeres</v>
      </c>
      <c r="E1061" s="9">
        <f>IFERROR(__xludf.DUMMYFUNCTION("""COMPUTED_VALUE"""),2017.0)</f>
        <v>2017</v>
      </c>
      <c r="F1061" s="9">
        <f>IFERROR(__xludf.DUMMYFUNCTION("""COMPUTED_VALUE"""),750.0)</f>
        <v>750</v>
      </c>
      <c r="G1061" s="9">
        <f>IFERROR(__xludf.DUMMYFUNCTION("""COMPUTED_VALUE"""),6.0)</f>
        <v>6</v>
      </c>
      <c r="H1061" s="10">
        <f>IFERROR(__xludf.DUMMYFUNCTION("""COMPUTED_VALUE"""),2.0)</f>
        <v>2</v>
      </c>
      <c r="I1061" s="11">
        <f>IFERROR(__xludf.DUMMYFUNCTION("""COMPUTED_VALUE"""),974.0)</f>
        <v>974</v>
      </c>
      <c r="J1061" s="9" t="str">
        <f>IFERROR(__xludf.DUMMYFUNCTION("""COMPUTED_VALUE"""),"UK")</f>
        <v>UK</v>
      </c>
      <c r="K1061" s="8"/>
      <c r="L1061" s="12"/>
      <c r="M1061" s="13"/>
      <c r="N1061" s="13" t="str">
        <f>IFERROR(__xludf.DUMMYFUNCTION("IF(ISBLANK(M1061),"""",M1061*GOOGLEFINANCE(""USDGBP""))"),"")</f>
        <v/>
      </c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</row>
    <row r="1062">
      <c r="A1062" s="8" t="str">
        <f>IFERROR(__xludf.DUMMYFUNCTION("""COMPUTED_VALUE"""),"113217520170301500")</f>
        <v>113217520170301500</v>
      </c>
      <c r="B1062" s="9" t="str">
        <f>IFERROR(__xludf.DUMMYFUNCTION("""COMPUTED_VALUE"""),"France")</f>
        <v>France</v>
      </c>
      <c r="C1062" s="9" t="str">
        <f>IFERROR(__xludf.DUMMYFUNCTION("""COMPUTED_VALUE"""),"burgundy")</f>
        <v>burgundy</v>
      </c>
      <c r="D1062" s="9" t="str">
        <f>IFERROR(__xludf.DUMMYFUNCTION("""COMPUTED_VALUE"""),"Domaine de la Vougeraie, Charmes-Chambertin Grand Cru, Les Mazoyeres")</f>
        <v>Domaine de la Vougeraie, Charmes-Chambertin Grand Cru, Les Mazoyeres</v>
      </c>
      <c r="E1062" s="9">
        <f>IFERROR(__xludf.DUMMYFUNCTION("""COMPUTED_VALUE"""),2017.0)</f>
        <v>2017</v>
      </c>
      <c r="F1062" s="9">
        <f>IFERROR(__xludf.DUMMYFUNCTION("""COMPUTED_VALUE"""),1500.0)</f>
        <v>1500</v>
      </c>
      <c r="G1062" s="9">
        <f>IFERROR(__xludf.DUMMYFUNCTION("""COMPUTED_VALUE"""),3.0)</f>
        <v>3</v>
      </c>
      <c r="H1062" s="10">
        <f>IFERROR(__xludf.DUMMYFUNCTION("""COMPUTED_VALUE"""),1.0)</f>
        <v>1</v>
      </c>
      <c r="I1062" s="11">
        <f>IFERROR(__xludf.DUMMYFUNCTION("""COMPUTED_VALUE"""),1029.0)</f>
        <v>1029</v>
      </c>
      <c r="J1062" s="9" t="str">
        <f>IFERROR(__xludf.DUMMYFUNCTION("""COMPUTED_VALUE"""),"UK")</f>
        <v>UK</v>
      </c>
      <c r="K1062" s="8"/>
      <c r="L1062" s="12"/>
      <c r="M1062" s="13"/>
      <c r="N1062" s="13" t="str">
        <f>IFERROR(__xludf.DUMMYFUNCTION("IF(ISBLANK(M1062),"""",M1062*GOOGLEFINANCE(""USDGBP""))"),"")</f>
        <v/>
      </c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</row>
    <row r="1063">
      <c r="A1063" s="8" t="str">
        <f>IFERROR(__xludf.DUMMYFUNCTION("""COMPUTED_VALUE"""),"105936020160600750")</f>
        <v>105936020160600750</v>
      </c>
      <c r="B1063" s="9" t="str">
        <f>IFERROR(__xludf.DUMMYFUNCTION("""COMPUTED_VALUE"""),"France")</f>
        <v>France</v>
      </c>
      <c r="C1063" s="9" t="str">
        <f>IFERROR(__xludf.DUMMYFUNCTION("""COMPUTED_VALUE"""),"burgundy")</f>
        <v>burgundy</v>
      </c>
      <c r="D1063" s="9" t="str">
        <f>IFERROR(__xludf.DUMMYFUNCTION("""COMPUTED_VALUE"""),"Domaine de la Vougeraie, Clos de Vougeot Grand Cru")</f>
        <v>Domaine de la Vougeraie, Clos de Vougeot Grand Cru</v>
      </c>
      <c r="E1063" s="9">
        <f>IFERROR(__xludf.DUMMYFUNCTION("""COMPUTED_VALUE"""),2016.0)</f>
        <v>2016</v>
      </c>
      <c r="F1063" s="9">
        <f>IFERROR(__xludf.DUMMYFUNCTION("""COMPUTED_VALUE"""),750.0)</f>
        <v>750</v>
      </c>
      <c r="G1063" s="9">
        <f>IFERROR(__xludf.DUMMYFUNCTION("""COMPUTED_VALUE"""),6.0)</f>
        <v>6</v>
      </c>
      <c r="H1063" s="10">
        <f>IFERROR(__xludf.DUMMYFUNCTION("""COMPUTED_VALUE"""),2.0)</f>
        <v>2</v>
      </c>
      <c r="I1063" s="11">
        <f>IFERROR(__xludf.DUMMYFUNCTION("""COMPUTED_VALUE"""),912.0)</f>
        <v>912</v>
      </c>
      <c r="J1063" s="9" t="str">
        <f>IFERROR(__xludf.DUMMYFUNCTION("""COMPUTED_VALUE"""),"UK")</f>
        <v>UK</v>
      </c>
      <c r="K1063" s="8"/>
      <c r="L1063" s="12"/>
      <c r="M1063" s="13"/>
      <c r="N1063" s="13" t="str">
        <f>IFERROR(__xludf.DUMMYFUNCTION("IF(ISBLANK(M1063),"""",M1063*GOOGLEFINANCE(""USDGBP""))"),"")</f>
        <v/>
      </c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</row>
    <row r="1064">
      <c r="A1064" s="8" t="str">
        <f>IFERROR(__xludf.DUMMYFUNCTION("""COMPUTED_VALUE"""),"105936020180600750")</f>
        <v>105936020180600750</v>
      </c>
      <c r="B1064" s="9" t="str">
        <f>IFERROR(__xludf.DUMMYFUNCTION("""COMPUTED_VALUE"""),"France")</f>
        <v>France</v>
      </c>
      <c r="C1064" s="9" t="str">
        <f>IFERROR(__xludf.DUMMYFUNCTION("""COMPUTED_VALUE"""),"burgundy")</f>
        <v>burgundy</v>
      </c>
      <c r="D1064" s="9" t="str">
        <f>IFERROR(__xludf.DUMMYFUNCTION("""COMPUTED_VALUE"""),"Domaine de la Vougeraie, Clos de Vougeot Grand Cru")</f>
        <v>Domaine de la Vougeraie, Clos de Vougeot Grand Cru</v>
      </c>
      <c r="E1064" s="9">
        <f>IFERROR(__xludf.DUMMYFUNCTION("""COMPUTED_VALUE"""),2018.0)</f>
        <v>2018</v>
      </c>
      <c r="F1064" s="9">
        <f>IFERROR(__xludf.DUMMYFUNCTION("""COMPUTED_VALUE"""),750.0)</f>
        <v>750</v>
      </c>
      <c r="G1064" s="9">
        <f>IFERROR(__xludf.DUMMYFUNCTION("""COMPUTED_VALUE"""),6.0)</f>
        <v>6</v>
      </c>
      <c r="H1064" s="10">
        <f>IFERROR(__xludf.DUMMYFUNCTION("""COMPUTED_VALUE"""),10.0)</f>
        <v>10</v>
      </c>
      <c r="I1064" s="11">
        <f>IFERROR(__xludf.DUMMYFUNCTION("""COMPUTED_VALUE"""),894.0)</f>
        <v>894</v>
      </c>
      <c r="J1064" s="9" t="str">
        <f>IFERROR(__xludf.DUMMYFUNCTION("""COMPUTED_VALUE"""),"UK")</f>
        <v>UK</v>
      </c>
      <c r="K1064" s="8"/>
      <c r="L1064" s="12"/>
      <c r="M1064" s="13"/>
      <c r="N1064" s="13" t="str">
        <f>IFERROR(__xludf.DUMMYFUNCTION("IF(ISBLANK(M1064),"""",M1064*GOOGLEFINANCE(""USDGBP""))"),"")</f>
        <v/>
      </c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</row>
    <row r="1065">
      <c r="A1065" s="8" t="str">
        <f>IFERROR(__xludf.DUMMYFUNCTION("""COMPUTED_VALUE"""),"105936020190600750")</f>
        <v>105936020190600750</v>
      </c>
      <c r="B1065" s="9" t="str">
        <f>IFERROR(__xludf.DUMMYFUNCTION("""COMPUTED_VALUE"""),"France")</f>
        <v>France</v>
      </c>
      <c r="C1065" s="9" t="str">
        <f>IFERROR(__xludf.DUMMYFUNCTION("""COMPUTED_VALUE"""),"burgundy")</f>
        <v>burgundy</v>
      </c>
      <c r="D1065" s="9" t="str">
        <f>IFERROR(__xludf.DUMMYFUNCTION("""COMPUTED_VALUE"""),"Domaine de la Vougeraie, Clos de Vougeot Grand Cru")</f>
        <v>Domaine de la Vougeraie, Clos de Vougeot Grand Cru</v>
      </c>
      <c r="E1065" s="9">
        <f>IFERROR(__xludf.DUMMYFUNCTION("""COMPUTED_VALUE"""),2019.0)</f>
        <v>2019</v>
      </c>
      <c r="F1065" s="9">
        <f>IFERROR(__xludf.DUMMYFUNCTION("""COMPUTED_VALUE"""),750.0)</f>
        <v>750</v>
      </c>
      <c r="G1065" s="9">
        <f>IFERROR(__xludf.DUMMYFUNCTION("""COMPUTED_VALUE"""),6.0)</f>
        <v>6</v>
      </c>
      <c r="H1065" s="10">
        <f>IFERROR(__xludf.DUMMYFUNCTION("""COMPUTED_VALUE"""),1.0)</f>
        <v>1</v>
      </c>
      <c r="I1065" s="11">
        <f>IFERROR(__xludf.DUMMYFUNCTION("""COMPUTED_VALUE"""),851.0)</f>
        <v>851</v>
      </c>
      <c r="J1065" s="9" t="str">
        <f>IFERROR(__xludf.DUMMYFUNCTION("""COMPUTED_VALUE"""),"UK")</f>
        <v>UK</v>
      </c>
      <c r="K1065" s="8"/>
      <c r="L1065" s="12"/>
      <c r="M1065" s="13"/>
      <c r="N1065" s="13" t="str">
        <f>IFERROR(__xludf.DUMMYFUNCTION("IF(ISBLANK(M1065),"""",M1065*GOOGLEFINANCE(""USDGBP""))"),"")</f>
        <v/>
      </c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</row>
    <row r="1066">
      <c r="A1066" s="8" t="str">
        <f>IFERROR(__xludf.DUMMYFUNCTION("""COMPUTED_VALUE"""),"105938620160600750")</f>
        <v>105938620160600750</v>
      </c>
      <c r="B1066" s="9" t="str">
        <f>IFERROR(__xludf.DUMMYFUNCTION("""COMPUTED_VALUE"""),"France")</f>
        <v>France</v>
      </c>
      <c r="C1066" s="9" t="str">
        <f>IFERROR(__xludf.DUMMYFUNCTION("""COMPUTED_VALUE"""),"burgundy")</f>
        <v>burgundy</v>
      </c>
      <c r="D1066" s="9" t="str">
        <f>IFERROR(__xludf.DUMMYFUNCTION("""COMPUTED_VALUE"""),"Domaine de la Vougeraie, Corton Grand Cru, Le Clos du Roi")</f>
        <v>Domaine de la Vougeraie, Corton Grand Cru, Le Clos du Roi</v>
      </c>
      <c r="E1066" s="9">
        <f>IFERROR(__xludf.DUMMYFUNCTION("""COMPUTED_VALUE"""),2016.0)</f>
        <v>2016</v>
      </c>
      <c r="F1066" s="9">
        <f>IFERROR(__xludf.DUMMYFUNCTION("""COMPUTED_VALUE"""),750.0)</f>
        <v>750</v>
      </c>
      <c r="G1066" s="9">
        <f>IFERROR(__xludf.DUMMYFUNCTION("""COMPUTED_VALUE"""),6.0)</f>
        <v>6</v>
      </c>
      <c r="H1066" s="10">
        <f>IFERROR(__xludf.DUMMYFUNCTION("""COMPUTED_VALUE"""),2.0)</f>
        <v>2</v>
      </c>
      <c r="I1066" s="11">
        <f>IFERROR(__xludf.DUMMYFUNCTION("""COMPUTED_VALUE"""),767.0)</f>
        <v>767</v>
      </c>
      <c r="J1066" s="9" t="str">
        <f>IFERROR(__xludf.DUMMYFUNCTION("""COMPUTED_VALUE"""),"UK")</f>
        <v>UK</v>
      </c>
      <c r="K1066" s="8"/>
      <c r="L1066" s="12"/>
      <c r="M1066" s="13"/>
      <c r="N1066" s="13" t="str">
        <f>IFERROR(__xludf.DUMMYFUNCTION("IF(ISBLANK(M1066),"""",M1066*GOOGLEFINANCE(""USDGBP""))"),"")</f>
        <v/>
      </c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</row>
    <row r="1067">
      <c r="A1067" s="8" t="str">
        <f>IFERROR(__xludf.DUMMYFUNCTION("""COMPUTED_VALUE"""),"105938620180600750")</f>
        <v>105938620180600750</v>
      </c>
      <c r="B1067" s="9" t="str">
        <f>IFERROR(__xludf.DUMMYFUNCTION("""COMPUTED_VALUE"""),"France")</f>
        <v>France</v>
      </c>
      <c r="C1067" s="9" t="str">
        <f>IFERROR(__xludf.DUMMYFUNCTION("""COMPUTED_VALUE"""),"burgundy")</f>
        <v>burgundy</v>
      </c>
      <c r="D1067" s="9" t="str">
        <f>IFERROR(__xludf.DUMMYFUNCTION("""COMPUTED_VALUE"""),"Domaine de la Vougeraie, Corton Grand Cru, Le Clos du Roi")</f>
        <v>Domaine de la Vougeraie, Corton Grand Cru, Le Clos du Roi</v>
      </c>
      <c r="E1067" s="9">
        <f>IFERROR(__xludf.DUMMYFUNCTION("""COMPUTED_VALUE"""),2018.0)</f>
        <v>2018</v>
      </c>
      <c r="F1067" s="9">
        <f>IFERROR(__xludf.DUMMYFUNCTION("""COMPUTED_VALUE"""),750.0)</f>
        <v>750</v>
      </c>
      <c r="G1067" s="9">
        <f>IFERROR(__xludf.DUMMYFUNCTION("""COMPUTED_VALUE"""),6.0)</f>
        <v>6</v>
      </c>
      <c r="H1067" s="10">
        <f>IFERROR(__xludf.DUMMYFUNCTION("""COMPUTED_VALUE"""),1.0)</f>
        <v>1</v>
      </c>
      <c r="I1067" s="11">
        <f>IFERROR(__xludf.DUMMYFUNCTION("""COMPUTED_VALUE"""),635.0)</f>
        <v>635</v>
      </c>
      <c r="J1067" s="9" t="str">
        <f>IFERROR(__xludf.DUMMYFUNCTION("""COMPUTED_VALUE"""),"UK")</f>
        <v>UK</v>
      </c>
      <c r="K1067" s="8"/>
      <c r="L1067" s="12"/>
      <c r="M1067" s="13"/>
      <c r="N1067" s="13" t="str">
        <f>IFERROR(__xludf.DUMMYFUNCTION("IF(ISBLANK(M1067),"""",M1067*GOOGLEFINANCE(""USDGBP""))"),"")</f>
        <v/>
      </c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</row>
    <row r="1068">
      <c r="A1068" s="8" t="str">
        <f>IFERROR(__xludf.DUMMYFUNCTION("""COMPUTED_VALUE"""),"105939920190600750")</f>
        <v>105939920190600750</v>
      </c>
      <c r="B1068" s="9" t="str">
        <f>IFERROR(__xludf.DUMMYFUNCTION("""COMPUTED_VALUE"""),"France")</f>
        <v>France</v>
      </c>
      <c r="C1068" s="9" t="str">
        <f>IFERROR(__xludf.DUMMYFUNCTION("""COMPUTED_VALUE"""),"burgundy")</f>
        <v>burgundy</v>
      </c>
      <c r="D1068" s="9" t="str">
        <f>IFERROR(__xludf.DUMMYFUNCTION("""COMPUTED_VALUE"""),"Domaine de la Vougeraie, Gevrey-Chambertin")</f>
        <v>Domaine de la Vougeraie, Gevrey-Chambertin</v>
      </c>
      <c r="E1068" s="9">
        <f>IFERROR(__xludf.DUMMYFUNCTION("""COMPUTED_VALUE"""),2019.0)</f>
        <v>2019</v>
      </c>
      <c r="F1068" s="9">
        <f>IFERROR(__xludf.DUMMYFUNCTION("""COMPUTED_VALUE"""),750.0)</f>
        <v>750</v>
      </c>
      <c r="G1068" s="9">
        <f>IFERROR(__xludf.DUMMYFUNCTION("""COMPUTED_VALUE"""),6.0)</f>
        <v>6</v>
      </c>
      <c r="H1068" s="10">
        <f>IFERROR(__xludf.DUMMYFUNCTION("""COMPUTED_VALUE"""),1.0)</f>
        <v>1</v>
      </c>
      <c r="I1068" s="11">
        <f>IFERROR(__xludf.DUMMYFUNCTION("""COMPUTED_VALUE"""),394.0)</f>
        <v>394</v>
      </c>
      <c r="J1068" s="9" t="str">
        <f>IFERROR(__xludf.DUMMYFUNCTION("""COMPUTED_VALUE"""),"UK")</f>
        <v>UK</v>
      </c>
      <c r="K1068" s="8"/>
      <c r="L1068" s="12"/>
      <c r="M1068" s="13"/>
      <c r="N1068" s="13" t="str">
        <f>IFERROR(__xludf.DUMMYFUNCTION("IF(ISBLANK(M1068),"""",M1068*GOOGLEFINANCE(""USDGBP""))"),"")</f>
        <v/>
      </c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</row>
    <row r="1069">
      <c r="A1069" s="8" t="str">
        <f>IFERROR(__xludf.DUMMYFUNCTION("""COMPUTED_VALUE"""),"105944520090600750")</f>
        <v>105944520090600750</v>
      </c>
      <c r="B1069" s="9" t="str">
        <f>IFERROR(__xludf.DUMMYFUNCTION("""COMPUTED_VALUE"""),"France")</f>
        <v>France</v>
      </c>
      <c r="C1069" s="9" t="str">
        <f>IFERROR(__xludf.DUMMYFUNCTION("""COMPUTED_VALUE"""),"burgundy")</f>
        <v>burgundy</v>
      </c>
      <c r="D1069" s="9" t="str">
        <f>IFERROR(__xludf.DUMMYFUNCTION("""COMPUTED_VALUE"""),"Domaine de la Vougeraie, Musigny Grand Cru")</f>
        <v>Domaine de la Vougeraie, Musigny Grand Cru</v>
      </c>
      <c r="E1069" s="9">
        <f>IFERROR(__xludf.DUMMYFUNCTION("""COMPUTED_VALUE"""),2009.0)</f>
        <v>2009</v>
      </c>
      <c r="F1069" s="9">
        <f>IFERROR(__xludf.DUMMYFUNCTION("""COMPUTED_VALUE"""),750.0)</f>
        <v>750</v>
      </c>
      <c r="G1069" s="9">
        <f>IFERROR(__xludf.DUMMYFUNCTION("""COMPUTED_VALUE"""),6.0)</f>
        <v>6</v>
      </c>
      <c r="H1069" s="10">
        <f>IFERROR(__xludf.DUMMYFUNCTION("""COMPUTED_VALUE"""),2.0)</f>
        <v>2</v>
      </c>
      <c r="I1069" s="11">
        <f>IFERROR(__xludf.DUMMYFUNCTION("""COMPUTED_VALUE"""),7292.0)</f>
        <v>7292</v>
      </c>
      <c r="J1069" s="9" t="str">
        <f>IFERROR(__xludf.DUMMYFUNCTION("""COMPUTED_VALUE"""),"UK")</f>
        <v>UK</v>
      </c>
      <c r="K1069" s="8"/>
      <c r="L1069" s="12"/>
      <c r="M1069" s="13"/>
      <c r="N1069" s="13" t="str">
        <f>IFERROR(__xludf.DUMMYFUNCTION("IF(ISBLANK(M1069),"""",M1069*GOOGLEFINANCE(""USDGBP""))"),"")</f>
        <v/>
      </c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</row>
    <row r="1070">
      <c r="A1070" s="8" t="str">
        <f>IFERROR(__xludf.DUMMYFUNCTION("""COMPUTED_VALUE"""),"105950420190600750")</f>
        <v>105950420190600750</v>
      </c>
      <c r="B1070" s="9" t="str">
        <f>IFERROR(__xludf.DUMMYFUNCTION("""COMPUTED_VALUE"""),"France")</f>
        <v>France</v>
      </c>
      <c r="C1070" s="9" t="str">
        <f>IFERROR(__xludf.DUMMYFUNCTION("""COMPUTED_VALUE"""),"burgundy")</f>
        <v>burgundy</v>
      </c>
      <c r="D1070" s="9" t="str">
        <f>IFERROR(__xludf.DUMMYFUNCTION("""COMPUTED_VALUE"""),"Domaine de la Vougeraie, Vougeot, Clos du Prieure Rouge")</f>
        <v>Domaine de la Vougeraie, Vougeot, Clos du Prieure Rouge</v>
      </c>
      <c r="E1070" s="9">
        <f>IFERROR(__xludf.DUMMYFUNCTION("""COMPUTED_VALUE"""),2019.0)</f>
        <v>2019</v>
      </c>
      <c r="F1070" s="9">
        <f>IFERROR(__xludf.DUMMYFUNCTION("""COMPUTED_VALUE"""),750.0)</f>
        <v>750</v>
      </c>
      <c r="G1070" s="9">
        <f>IFERROR(__xludf.DUMMYFUNCTION("""COMPUTED_VALUE"""),6.0)</f>
        <v>6</v>
      </c>
      <c r="H1070" s="10">
        <f>IFERROR(__xludf.DUMMYFUNCTION("""COMPUTED_VALUE"""),3.0)</f>
        <v>3</v>
      </c>
      <c r="I1070" s="11">
        <f>IFERROR(__xludf.DUMMYFUNCTION("""COMPUTED_VALUE"""),442.0)</f>
        <v>442</v>
      </c>
      <c r="J1070" s="9" t="str">
        <f>IFERROR(__xludf.DUMMYFUNCTION("""COMPUTED_VALUE"""),"UK")</f>
        <v>UK</v>
      </c>
      <c r="K1070" s="8"/>
      <c r="L1070" s="12"/>
      <c r="M1070" s="13"/>
      <c r="N1070" s="13" t="str">
        <f>IFERROR(__xludf.DUMMYFUNCTION("IF(ISBLANK(M1070),"""",M1070*GOOGLEFINANCE(""USDGBP""))"),"")</f>
        <v/>
      </c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</row>
    <row r="1071">
      <c r="A1071" s="8" t="str">
        <f>IFERROR(__xludf.DUMMYFUNCTION("""COMPUTED_VALUE"""),"102695720171200750")</f>
        <v>102695720171200750</v>
      </c>
      <c r="B1071" s="9" t="str">
        <f>IFERROR(__xludf.DUMMYFUNCTION("""COMPUTED_VALUE"""),"France")</f>
        <v>France</v>
      </c>
      <c r="C1071" s="9" t="str">
        <f>IFERROR(__xludf.DUMMYFUNCTION("""COMPUTED_VALUE"""),"burgundy")</f>
        <v>burgundy</v>
      </c>
      <c r="D1071" s="9" t="str">
        <f>IFERROR(__xludf.DUMMYFUNCTION("""COMPUTED_VALUE"""),"Domaine des Comtes Lafon, Monthelie Premier Cru, Les Duresses")</f>
        <v>Domaine des Comtes Lafon, Monthelie Premier Cru, Les Duresses</v>
      </c>
      <c r="E1071" s="9">
        <f>IFERROR(__xludf.DUMMYFUNCTION("""COMPUTED_VALUE"""),2017.0)</f>
        <v>2017</v>
      </c>
      <c r="F1071" s="9">
        <f>IFERROR(__xludf.DUMMYFUNCTION("""COMPUTED_VALUE"""),750.0)</f>
        <v>750</v>
      </c>
      <c r="G1071" s="9">
        <f>IFERROR(__xludf.DUMMYFUNCTION("""COMPUTED_VALUE"""),12.0)</f>
        <v>12</v>
      </c>
      <c r="H1071" s="10">
        <f>IFERROR(__xludf.DUMMYFUNCTION("""COMPUTED_VALUE"""),1.0)</f>
        <v>1</v>
      </c>
      <c r="I1071" s="11">
        <f>IFERROR(__xludf.DUMMYFUNCTION("""COMPUTED_VALUE"""),630.0)</f>
        <v>630</v>
      </c>
      <c r="J1071" s="9" t="str">
        <f>IFERROR(__xludf.DUMMYFUNCTION("""COMPUTED_VALUE"""),"UK")</f>
        <v>UK</v>
      </c>
      <c r="K1071" s="8"/>
      <c r="L1071" s="12"/>
      <c r="M1071" s="13"/>
      <c r="N1071" s="13" t="str">
        <f>IFERROR(__xludf.DUMMYFUNCTION("IF(ISBLANK(M1071),"""",M1071*GOOGLEFINANCE(""USDGBP""))"),"")</f>
        <v/>
      </c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</row>
    <row r="1072">
      <c r="A1072" s="8" t="str">
        <f>IFERROR(__xludf.DUMMYFUNCTION("""COMPUTED_VALUE"""),"102695720181200750")</f>
        <v>102695720181200750</v>
      </c>
      <c r="B1072" s="9" t="str">
        <f>IFERROR(__xludf.DUMMYFUNCTION("""COMPUTED_VALUE"""),"France")</f>
        <v>France</v>
      </c>
      <c r="C1072" s="9" t="str">
        <f>IFERROR(__xludf.DUMMYFUNCTION("""COMPUTED_VALUE"""),"burgundy")</f>
        <v>burgundy</v>
      </c>
      <c r="D1072" s="9" t="str">
        <f>IFERROR(__xludf.DUMMYFUNCTION("""COMPUTED_VALUE"""),"Domaine des Comtes Lafon, Monthelie Premier Cru, Les Duresses")</f>
        <v>Domaine des Comtes Lafon, Monthelie Premier Cru, Les Duresses</v>
      </c>
      <c r="E1072" s="9">
        <f>IFERROR(__xludf.DUMMYFUNCTION("""COMPUTED_VALUE"""),2018.0)</f>
        <v>2018</v>
      </c>
      <c r="F1072" s="9">
        <f>IFERROR(__xludf.DUMMYFUNCTION("""COMPUTED_VALUE"""),750.0)</f>
        <v>750</v>
      </c>
      <c r="G1072" s="9">
        <f>IFERROR(__xludf.DUMMYFUNCTION("""COMPUTED_VALUE"""),12.0)</f>
        <v>12</v>
      </c>
      <c r="H1072" s="10">
        <f>IFERROR(__xludf.DUMMYFUNCTION("""COMPUTED_VALUE"""),1.0)</f>
        <v>1</v>
      </c>
      <c r="I1072" s="11">
        <f>IFERROR(__xludf.DUMMYFUNCTION("""COMPUTED_VALUE"""),628.0)</f>
        <v>628</v>
      </c>
      <c r="J1072" s="9" t="str">
        <f>IFERROR(__xludf.DUMMYFUNCTION("""COMPUTED_VALUE"""),"UK")</f>
        <v>UK</v>
      </c>
      <c r="K1072" s="8"/>
      <c r="L1072" s="12"/>
      <c r="M1072" s="13"/>
      <c r="N1072" s="13" t="str">
        <f>IFERROR(__xludf.DUMMYFUNCTION("IF(ISBLANK(M1072),"""",M1072*GOOGLEFINANCE(""USDGBP""))"),"")</f>
        <v/>
      </c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</row>
    <row r="1073">
      <c r="A1073" s="8" t="str">
        <f>IFERROR(__xludf.DUMMYFUNCTION("""COMPUTED_VALUE"""),"102700020140600750")</f>
        <v>102700020140600750</v>
      </c>
      <c r="B1073" s="9" t="str">
        <f>IFERROR(__xludf.DUMMYFUNCTION("""COMPUTED_VALUE"""),"France")</f>
        <v>France</v>
      </c>
      <c r="C1073" s="9" t="str">
        <f>IFERROR(__xludf.DUMMYFUNCTION("""COMPUTED_VALUE"""),"burgundy")</f>
        <v>burgundy</v>
      </c>
      <c r="D1073" s="9" t="str">
        <f>IFERROR(__xludf.DUMMYFUNCTION("""COMPUTED_VALUE"""),"Domaine des Comtes Lafon, Volnay Premier Cru, Les Santenots du Milieu")</f>
        <v>Domaine des Comtes Lafon, Volnay Premier Cru, Les Santenots du Milieu</v>
      </c>
      <c r="E1073" s="9">
        <f>IFERROR(__xludf.DUMMYFUNCTION("""COMPUTED_VALUE"""),2014.0)</f>
        <v>2014</v>
      </c>
      <c r="F1073" s="9">
        <f>IFERROR(__xludf.DUMMYFUNCTION("""COMPUTED_VALUE"""),750.0)</f>
        <v>750</v>
      </c>
      <c r="G1073" s="9">
        <f>IFERROR(__xludf.DUMMYFUNCTION("""COMPUTED_VALUE"""),6.0)</f>
        <v>6</v>
      </c>
      <c r="H1073" s="10">
        <f>IFERROR(__xludf.DUMMYFUNCTION("""COMPUTED_VALUE"""),1.0)</f>
        <v>1</v>
      </c>
      <c r="I1073" s="11">
        <f>IFERROR(__xludf.DUMMYFUNCTION("""COMPUTED_VALUE"""),604.0)</f>
        <v>604</v>
      </c>
      <c r="J1073" s="9" t="str">
        <f>IFERROR(__xludf.DUMMYFUNCTION("""COMPUTED_VALUE"""),"UK")</f>
        <v>UK</v>
      </c>
      <c r="K1073" s="8"/>
      <c r="L1073" s="12"/>
      <c r="M1073" s="13"/>
      <c r="N1073" s="13" t="str">
        <f>IFERROR(__xludf.DUMMYFUNCTION("IF(ISBLANK(M1073),"""",M1073*GOOGLEFINANCE(""USDGBP""))"),"")</f>
        <v/>
      </c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</row>
    <row r="1074">
      <c r="A1074" s="8" t="str">
        <f>IFERROR(__xludf.DUMMYFUNCTION("""COMPUTED_VALUE"""),"102700020171200750")</f>
        <v>102700020171200750</v>
      </c>
      <c r="B1074" s="9" t="str">
        <f>IFERROR(__xludf.DUMMYFUNCTION("""COMPUTED_VALUE"""),"France")</f>
        <v>France</v>
      </c>
      <c r="C1074" s="9" t="str">
        <f>IFERROR(__xludf.DUMMYFUNCTION("""COMPUTED_VALUE"""),"burgundy")</f>
        <v>burgundy</v>
      </c>
      <c r="D1074" s="9" t="str">
        <f>IFERROR(__xludf.DUMMYFUNCTION("""COMPUTED_VALUE"""),"Domaine des Comtes Lafon, Volnay Premier Cru, Les Santenots du Milieu")</f>
        <v>Domaine des Comtes Lafon, Volnay Premier Cru, Les Santenots du Milieu</v>
      </c>
      <c r="E1074" s="9">
        <f>IFERROR(__xludf.DUMMYFUNCTION("""COMPUTED_VALUE"""),2017.0)</f>
        <v>2017</v>
      </c>
      <c r="F1074" s="9">
        <f>IFERROR(__xludf.DUMMYFUNCTION("""COMPUTED_VALUE"""),750.0)</f>
        <v>750</v>
      </c>
      <c r="G1074" s="9">
        <f>IFERROR(__xludf.DUMMYFUNCTION("""COMPUTED_VALUE"""),12.0)</f>
        <v>12</v>
      </c>
      <c r="H1074" s="10">
        <f>IFERROR(__xludf.DUMMYFUNCTION("""COMPUTED_VALUE"""),2.0)</f>
        <v>2</v>
      </c>
      <c r="I1074" s="11">
        <f>IFERROR(__xludf.DUMMYFUNCTION("""COMPUTED_VALUE"""),1175.0)</f>
        <v>1175</v>
      </c>
      <c r="J1074" s="9" t="str">
        <f>IFERROR(__xludf.DUMMYFUNCTION("""COMPUTED_VALUE"""),"UK")</f>
        <v>UK</v>
      </c>
      <c r="K1074" s="8"/>
      <c r="L1074" s="12"/>
      <c r="M1074" s="13"/>
      <c r="N1074" s="13" t="str">
        <f>IFERROR(__xludf.DUMMYFUNCTION("IF(ISBLANK(M1074),"""",M1074*GOOGLEFINANCE(""USDGBP""))"),"")</f>
        <v/>
      </c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</row>
    <row r="1075">
      <c r="A1075" s="8" t="str">
        <f>IFERROR(__xludf.DUMMYFUNCTION("""COMPUTED_VALUE"""),"103814520170600750")</f>
        <v>103814520170600750</v>
      </c>
      <c r="B1075" s="9" t="str">
        <f>IFERROR(__xludf.DUMMYFUNCTION("""COMPUTED_VALUE"""),"France")</f>
        <v>France</v>
      </c>
      <c r="C1075" s="9" t="str">
        <f>IFERROR(__xludf.DUMMYFUNCTION("""COMPUTED_VALUE"""),"burgundy")</f>
        <v>burgundy</v>
      </c>
      <c r="D1075" s="9" t="str">
        <f>IFERROR(__xludf.DUMMYFUNCTION("""COMPUTED_VALUE"""),"Domaine des Heritiers Louis Jadot, Corton Grand Cru, Les Pougets")</f>
        <v>Domaine des Heritiers Louis Jadot, Corton Grand Cru, Les Pougets</v>
      </c>
      <c r="E1075" s="9">
        <f>IFERROR(__xludf.DUMMYFUNCTION("""COMPUTED_VALUE"""),2017.0)</f>
        <v>2017</v>
      </c>
      <c r="F1075" s="9">
        <f>IFERROR(__xludf.DUMMYFUNCTION("""COMPUTED_VALUE"""),750.0)</f>
        <v>750</v>
      </c>
      <c r="G1075" s="9">
        <f>IFERROR(__xludf.DUMMYFUNCTION("""COMPUTED_VALUE"""),6.0)</f>
        <v>6</v>
      </c>
      <c r="H1075" s="10">
        <f>IFERROR(__xludf.DUMMYFUNCTION("""COMPUTED_VALUE"""),21.0)</f>
        <v>21</v>
      </c>
      <c r="I1075" s="11">
        <f>IFERROR(__xludf.DUMMYFUNCTION("""COMPUTED_VALUE"""),375.0)</f>
        <v>375</v>
      </c>
      <c r="J1075" s="9" t="str">
        <f>IFERROR(__xludf.DUMMYFUNCTION("""COMPUTED_VALUE"""),"UK")</f>
        <v>UK</v>
      </c>
      <c r="K1075" s="8"/>
      <c r="L1075" s="12"/>
      <c r="M1075" s="13"/>
      <c r="N1075" s="13" t="str">
        <f>IFERROR(__xludf.DUMMYFUNCTION("IF(ISBLANK(M1075),"""",M1075*GOOGLEFINANCE(""USDGBP""))"),"")</f>
        <v/>
      </c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</row>
    <row r="1076">
      <c r="A1076" s="8" t="str">
        <f>IFERROR(__xludf.DUMMYFUNCTION("""COMPUTED_VALUE"""),"104029020110600750")</f>
        <v>104029020110600750</v>
      </c>
      <c r="B1076" s="9" t="str">
        <f>IFERROR(__xludf.DUMMYFUNCTION("""COMPUTED_VALUE"""),"France")</f>
        <v>France</v>
      </c>
      <c r="C1076" s="9" t="str">
        <f>IFERROR(__xludf.DUMMYFUNCTION("""COMPUTED_VALUE"""),"burgundy")</f>
        <v>burgundy</v>
      </c>
      <c r="D1076" s="9" t="str">
        <f>IFERROR(__xludf.DUMMYFUNCTION("""COMPUTED_VALUE"""),"Domaine des Lambrays, Clos des Lambrays Grand Cru")</f>
        <v>Domaine des Lambrays, Clos des Lambrays Grand Cru</v>
      </c>
      <c r="E1076" s="9">
        <f>IFERROR(__xludf.DUMMYFUNCTION("""COMPUTED_VALUE"""),2011.0)</f>
        <v>2011</v>
      </c>
      <c r="F1076" s="9">
        <f>IFERROR(__xludf.DUMMYFUNCTION("""COMPUTED_VALUE"""),750.0)</f>
        <v>750</v>
      </c>
      <c r="G1076" s="9">
        <f>IFERROR(__xludf.DUMMYFUNCTION("""COMPUTED_VALUE"""),6.0)</f>
        <v>6</v>
      </c>
      <c r="H1076" s="10">
        <f>IFERROR(__xludf.DUMMYFUNCTION("""COMPUTED_VALUE"""),3.0)</f>
        <v>3</v>
      </c>
      <c r="I1076" s="11">
        <f>IFERROR(__xludf.DUMMYFUNCTION("""COMPUTED_VALUE"""),1310.0)</f>
        <v>1310</v>
      </c>
      <c r="J1076" s="9" t="str">
        <f>IFERROR(__xludf.DUMMYFUNCTION("""COMPUTED_VALUE"""),"UK")</f>
        <v>UK</v>
      </c>
      <c r="K1076" s="8"/>
      <c r="L1076" s="12"/>
      <c r="M1076" s="13"/>
      <c r="N1076" s="13" t="str">
        <f>IFERROR(__xludf.DUMMYFUNCTION("IF(ISBLANK(M1076),"""",M1076*GOOGLEFINANCE(""USDGBP""))"),"")</f>
        <v/>
      </c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</row>
    <row r="1077">
      <c r="A1077" s="8" t="str">
        <f>IFERROR(__xludf.DUMMYFUNCTION("""COMPUTED_VALUE"""),"104029020131200750")</f>
        <v>104029020131200750</v>
      </c>
      <c r="B1077" s="9" t="str">
        <f>IFERROR(__xludf.DUMMYFUNCTION("""COMPUTED_VALUE"""),"France")</f>
        <v>France</v>
      </c>
      <c r="C1077" s="9" t="str">
        <f>IFERROR(__xludf.DUMMYFUNCTION("""COMPUTED_VALUE"""),"burgundy")</f>
        <v>burgundy</v>
      </c>
      <c r="D1077" s="9" t="str">
        <f>IFERROR(__xludf.DUMMYFUNCTION("""COMPUTED_VALUE"""),"Domaine des Lambrays, Clos des Lambrays Grand Cru")</f>
        <v>Domaine des Lambrays, Clos des Lambrays Grand Cru</v>
      </c>
      <c r="E1077" s="9">
        <f>IFERROR(__xludf.DUMMYFUNCTION("""COMPUTED_VALUE"""),2013.0)</f>
        <v>2013</v>
      </c>
      <c r="F1077" s="9">
        <f>IFERROR(__xludf.DUMMYFUNCTION("""COMPUTED_VALUE"""),750.0)</f>
        <v>750</v>
      </c>
      <c r="G1077" s="9">
        <f>IFERROR(__xludf.DUMMYFUNCTION("""COMPUTED_VALUE"""),12.0)</f>
        <v>12</v>
      </c>
      <c r="H1077" s="10">
        <f>IFERROR(__xludf.DUMMYFUNCTION("""COMPUTED_VALUE"""),2.0)</f>
        <v>2</v>
      </c>
      <c r="I1077" s="11">
        <f>IFERROR(__xludf.DUMMYFUNCTION("""COMPUTED_VALUE"""),2901.0)</f>
        <v>2901</v>
      </c>
      <c r="J1077" s="9" t="str">
        <f>IFERROR(__xludf.DUMMYFUNCTION("""COMPUTED_VALUE"""),"UK")</f>
        <v>UK</v>
      </c>
      <c r="K1077" s="8"/>
      <c r="L1077" s="12"/>
      <c r="M1077" s="13"/>
      <c r="N1077" s="13" t="str">
        <f>IFERROR(__xludf.DUMMYFUNCTION("IF(ISBLANK(M1077),"""",M1077*GOOGLEFINANCE(""USDGBP""))"),"")</f>
        <v/>
      </c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</row>
    <row r="1078">
      <c r="A1078" s="8" t="str">
        <f>IFERROR(__xludf.DUMMYFUNCTION("""COMPUTED_VALUE"""),"104029020140101500")</f>
        <v>104029020140101500</v>
      </c>
      <c r="B1078" s="9" t="str">
        <f>IFERROR(__xludf.DUMMYFUNCTION("""COMPUTED_VALUE"""),"France")</f>
        <v>France</v>
      </c>
      <c r="C1078" s="9" t="str">
        <f>IFERROR(__xludf.DUMMYFUNCTION("""COMPUTED_VALUE"""),"burgundy")</f>
        <v>burgundy</v>
      </c>
      <c r="D1078" s="9" t="str">
        <f>IFERROR(__xludf.DUMMYFUNCTION("""COMPUTED_VALUE"""),"Domaine des Lambrays, Clos des Lambrays Grand Cru")</f>
        <v>Domaine des Lambrays, Clos des Lambrays Grand Cru</v>
      </c>
      <c r="E1078" s="9">
        <f>IFERROR(__xludf.DUMMYFUNCTION("""COMPUTED_VALUE"""),2014.0)</f>
        <v>2014</v>
      </c>
      <c r="F1078" s="9">
        <f>IFERROR(__xludf.DUMMYFUNCTION("""COMPUTED_VALUE"""),1500.0)</f>
        <v>1500</v>
      </c>
      <c r="G1078" s="9">
        <f>IFERROR(__xludf.DUMMYFUNCTION("""COMPUTED_VALUE"""),1.0)</f>
        <v>1</v>
      </c>
      <c r="H1078" s="10">
        <f>IFERROR(__xludf.DUMMYFUNCTION("""COMPUTED_VALUE"""),1.0)</f>
        <v>1</v>
      </c>
      <c r="I1078" s="11">
        <f>IFERROR(__xludf.DUMMYFUNCTION("""COMPUTED_VALUE"""),550.0)</f>
        <v>550</v>
      </c>
      <c r="J1078" s="9" t="str">
        <f>IFERROR(__xludf.DUMMYFUNCTION("""COMPUTED_VALUE"""),"UK")</f>
        <v>UK</v>
      </c>
      <c r="K1078" s="8"/>
      <c r="L1078" s="12"/>
      <c r="M1078" s="13"/>
      <c r="N1078" s="13" t="str">
        <f>IFERROR(__xludf.DUMMYFUNCTION("IF(ISBLANK(M1078),"""",M1078*GOOGLEFINANCE(""USDGBP""))"),"")</f>
        <v/>
      </c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</row>
    <row r="1079">
      <c r="A1079" s="8" t="str">
        <f>IFERROR(__xludf.DUMMYFUNCTION("""COMPUTED_VALUE"""),"104029020190301500")</f>
        <v>104029020190301500</v>
      </c>
      <c r="B1079" s="9" t="str">
        <f>IFERROR(__xludf.DUMMYFUNCTION("""COMPUTED_VALUE"""),"France")</f>
        <v>France</v>
      </c>
      <c r="C1079" s="9" t="str">
        <f>IFERROR(__xludf.DUMMYFUNCTION("""COMPUTED_VALUE"""),"burgundy")</f>
        <v>burgundy</v>
      </c>
      <c r="D1079" s="9" t="str">
        <f>IFERROR(__xludf.DUMMYFUNCTION("""COMPUTED_VALUE"""),"Domaine des Lambrays, Clos des Lambrays Grand Cru")</f>
        <v>Domaine des Lambrays, Clos des Lambrays Grand Cru</v>
      </c>
      <c r="E1079" s="9">
        <f>IFERROR(__xludf.DUMMYFUNCTION("""COMPUTED_VALUE"""),2019.0)</f>
        <v>2019</v>
      </c>
      <c r="F1079" s="9">
        <f>IFERROR(__xludf.DUMMYFUNCTION("""COMPUTED_VALUE"""),1500.0)</f>
        <v>1500</v>
      </c>
      <c r="G1079" s="9">
        <f>IFERROR(__xludf.DUMMYFUNCTION("""COMPUTED_VALUE"""),3.0)</f>
        <v>3</v>
      </c>
      <c r="H1079" s="10">
        <f>IFERROR(__xludf.DUMMYFUNCTION("""COMPUTED_VALUE"""),1.0)</f>
        <v>1</v>
      </c>
      <c r="I1079" s="11">
        <f>IFERROR(__xludf.DUMMYFUNCTION("""COMPUTED_VALUE"""),2780.0)</f>
        <v>2780</v>
      </c>
      <c r="J1079" s="9" t="str">
        <f>IFERROR(__xludf.DUMMYFUNCTION("""COMPUTED_VALUE"""),"UK")</f>
        <v>UK</v>
      </c>
      <c r="K1079" s="8"/>
      <c r="L1079" s="12"/>
      <c r="M1079" s="13"/>
      <c r="N1079" s="13" t="str">
        <f>IFERROR(__xludf.DUMMYFUNCTION("IF(ISBLANK(M1079),"""",M1079*GOOGLEFINANCE(""USDGBP""))"),"")</f>
        <v/>
      </c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</row>
    <row r="1080">
      <c r="A1080" s="8" t="str">
        <f>IFERROR(__xludf.DUMMYFUNCTION("""COMPUTED_VALUE"""),"104032020130600750")</f>
        <v>104032020130600750</v>
      </c>
      <c r="B1080" s="9" t="str">
        <f>IFERROR(__xludf.DUMMYFUNCTION("""COMPUTED_VALUE"""),"France")</f>
        <v>France</v>
      </c>
      <c r="C1080" s="9" t="str">
        <f>IFERROR(__xludf.DUMMYFUNCTION("""COMPUTED_VALUE"""),"burgundy")</f>
        <v>burgundy</v>
      </c>
      <c r="D1080" s="9" t="str">
        <f>IFERROR(__xludf.DUMMYFUNCTION("""COMPUTED_VALUE"""),"Domaine des Lambrays, Morey-Saint-Denis Premier Cru, Loups")</f>
        <v>Domaine des Lambrays, Morey-Saint-Denis Premier Cru, Loups</v>
      </c>
      <c r="E1080" s="9">
        <f>IFERROR(__xludf.DUMMYFUNCTION("""COMPUTED_VALUE"""),2013.0)</f>
        <v>2013</v>
      </c>
      <c r="F1080" s="9">
        <f>IFERROR(__xludf.DUMMYFUNCTION("""COMPUTED_VALUE"""),750.0)</f>
        <v>750</v>
      </c>
      <c r="G1080" s="9">
        <f>IFERROR(__xludf.DUMMYFUNCTION("""COMPUTED_VALUE"""),6.0)</f>
        <v>6</v>
      </c>
      <c r="H1080" s="10">
        <f>IFERROR(__xludf.DUMMYFUNCTION("""COMPUTED_VALUE"""),1.0)</f>
        <v>1</v>
      </c>
      <c r="I1080" s="11">
        <f>IFERROR(__xludf.DUMMYFUNCTION("""COMPUTED_VALUE"""),504.0)</f>
        <v>504</v>
      </c>
      <c r="J1080" s="9" t="str">
        <f>IFERROR(__xludf.DUMMYFUNCTION("""COMPUTED_VALUE"""),"UK")</f>
        <v>UK</v>
      </c>
      <c r="K1080" s="8"/>
      <c r="L1080" s="12"/>
      <c r="M1080" s="13"/>
      <c r="N1080" s="13" t="str">
        <f>IFERROR(__xludf.DUMMYFUNCTION("IF(ISBLANK(M1080),"""",M1080*GOOGLEFINANCE(""USDGBP""))"),"")</f>
        <v/>
      </c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</row>
    <row r="1081">
      <c r="A1081" s="8" t="str">
        <f>IFERROR(__xludf.DUMMYFUNCTION("""COMPUTED_VALUE"""),"103015220170600750")</f>
        <v>103015220170600750</v>
      </c>
      <c r="B1081" s="9" t="str">
        <f>IFERROR(__xludf.DUMMYFUNCTION("""COMPUTED_VALUE"""),"France")</f>
        <v>France</v>
      </c>
      <c r="C1081" s="9" t="str">
        <f>IFERROR(__xludf.DUMMYFUNCTION("""COMPUTED_VALUE"""),"burgundy")</f>
        <v>burgundy</v>
      </c>
      <c r="D1081" s="9" t="str">
        <f>IFERROR(__xludf.DUMMYFUNCTION("""COMPUTED_VALUE"""),"Dugat-Py, Charmes-Chambertin Grand Cru, Vieilles Vignes")</f>
        <v>Dugat-Py, Charmes-Chambertin Grand Cru, Vieilles Vignes</v>
      </c>
      <c r="E1081" s="9">
        <f>IFERROR(__xludf.DUMMYFUNCTION("""COMPUTED_VALUE"""),2017.0)</f>
        <v>2017</v>
      </c>
      <c r="F1081" s="9">
        <f>IFERROR(__xludf.DUMMYFUNCTION("""COMPUTED_VALUE"""),750.0)</f>
        <v>750</v>
      </c>
      <c r="G1081" s="9">
        <f>IFERROR(__xludf.DUMMYFUNCTION("""COMPUTED_VALUE"""),6.0)</f>
        <v>6</v>
      </c>
      <c r="H1081" s="10">
        <f>IFERROR(__xludf.DUMMYFUNCTION("""COMPUTED_VALUE"""),2.0)</f>
        <v>2</v>
      </c>
      <c r="I1081" s="11">
        <f>IFERROR(__xludf.DUMMYFUNCTION("""COMPUTED_VALUE"""),2631.0)</f>
        <v>2631</v>
      </c>
      <c r="J1081" s="9" t="str">
        <f>IFERROR(__xludf.DUMMYFUNCTION("""COMPUTED_VALUE"""),"UK")</f>
        <v>UK</v>
      </c>
      <c r="K1081" s="8"/>
      <c r="L1081" s="12"/>
      <c r="M1081" s="13"/>
      <c r="N1081" s="13" t="str">
        <f>IFERROR(__xludf.DUMMYFUNCTION("IF(ISBLANK(M1081),"""",M1081*GOOGLEFINANCE(""USDGBP""))"),"")</f>
        <v/>
      </c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</row>
    <row r="1082">
      <c r="A1082" s="8" t="str">
        <f>IFERROR(__xludf.DUMMYFUNCTION("""COMPUTED_VALUE"""),"103015220190300750")</f>
        <v>103015220190300750</v>
      </c>
      <c r="B1082" s="9" t="str">
        <f>IFERROR(__xludf.DUMMYFUNCTION("""COMPUTED_VALUE"""),"France")</f>
        <v>France</v>
      </c>
      <c r="C1082" s="9" t="str">
        <f>IFERROR(__xludf.DUMMYFUNCTION("""COMPUTED_VALUE"""),"burgundy")</f>
        <v>burgundy</v>
      </c>
      <c r="D1082" s="9" t="str">
        <f>IFERROR(__xludf.DUMMYFUNCTION("""COMPUTED_VALUE"""),"Dugat-Py, Charmes-Chambertin Grand Cru, Vieilles Vignes")</f>
        <v>Dugat-Py, Charmes-Chambertin Grand Cru, Vieilles Vignes</v>
      </c>
      <c r="E1082" s="9">
        <f>IFERROR(__xludf.DUMMYFUNCTION("""COMPUTED_VALUE"""),2019.0)</f>
        <v>2019</v>
      </c>
      <c r="F1082" s="9">
        <f>IFERROR(__xludf.DUMMYFUNCTION("""COMPUTED_VALUE"""),750.0)</f>
        <v>750</v>
      </c>
      <c r="G1082" s="9">
        <f>IFERROR(__xludf.DUMMYFUNCTION("""COMPUTED_VALUE"""),3.0)</f>
        <v>3</v>
      </c>
      <c r="H1082" s="10">
        <f>IFERROR(__xludf.DUMMYFUNCTION("""COMPUTED_VALUE"""),3.0)</f>
        <v>3</v>
      </c>
      <c r="I1082" s="11">
        <f>IFERROR(__xludf.DUMMYFUNCTION("""COMPUTED_VALUE"""),1525.0)</f>
        <v>1525</v>
      </c>
      <c r="J1082" s="9" t="str">
        <f>IFERROR(__xludf.DUMMYFUNCTION("""COMPUTED_VALUE"""),"UK")</f>
        <v>UK</v>
      </c>
      <c r="K1082" s="8"/>
      <c r="L1082" s="12"/>
      <c r="M1082" s="13"/>
      <c r="N1082" s="13" t="str">
        <f>IFERROR(__xludf.DUMMYFUNCTION("IF(ISBLANK(M1082),"""",M1082*GOOGLEFINANCE(""USDGBP""))"),"")</f>
        <v/>
      </c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</row>
    <row r="1083">
      <c r="A1083" s="8" t="str">
        <f>IFERROR(__xludf.DUMMYFUNCTION("""COMPUTED_VALUE"""),"124781720171200750")</f>
        <v>124781720171200750</v>
      </c>
      <c r="B1083" s="9" t="str">
        <f>IFERROR(__xludf.DUMMYFUNCTION("""COMPUTED_VALUE"""),"France")</f>
        <v>France</v>
      </c>
      <c r="C1083" s="9" t="str">
        <f>IFERROR(__xludf.DUMMYFUNCTION("""COMPUTED_VALUE"""),"burgundy")</f>
        <v>burgundy</v>
      </c>
      <c r="D1083" s="9" t="str">
        <f>IFERROR(__xludf.DUMMYFUNCTION("""COMPUTED_VALUE"""),"Dugat-Py, Gevrey-Chambertin, Cuvee Coeur de Roy Tres Vieilles Vignes")</f>
        <v>Dugat-Py, Gevrey-Chambertin, Cuvee Coeur de Roy Tres Vieilles Vignes</v>
      </c>
      <c r="E1083" s="9">
        <f>IFERROR(__xludf.DUMMYFUNCTION("""COMPUTED_VALUE"""),2017.0)</f>
        <v>2017</v>
      </c>
      <c r="F1083" s="9">
        <f>IFERROR(__xludf.DUMMYFUNCTION("""COMPUTED_VALUE"""),750.0)</f>
        <v>750</v>
      </c>
      <c r="G1083" s="9">
        <f>IFERROR(__xludf.DUMMYFUNCTION("""COMPUTED_VALUE"""),12.0)</f>
        <v>12</v>
      </c>
      <c r="H1083" s="10">
        <f>IFERROR(__xludf.DUMMYFUNCTION("""COMPUTED_VALUE"""),1.0)</f>
        <v>1</v>
      </c>
      <c r="I1083" s="11">
        <f>IFERROR(__xludf.DUMMYFUNCTION("""COMPUTED_VALUE"""),1590.0)</f>
        <v>1590</v>
      </c>
      <c r="J1083" s="9" t="str">
        <f>IFERROR(__xludf.DUMMYFUNCTION("""COMPUTED_VALUE"""),"UK")</f>
        <v>UK</v>
      </c>
      <c r="K1083" s="8"/>
      <c r="L1083" s="12"/>
      <c r="M1083" s="13"/>
      <c r="N1083" s="13" t="str">
        <f>IFERROR(__xludf.DUMMYFUNCTION("IF(ISBLANK(M1083),"""",M1083*GOOGLEFINANCE(""USDGBP""))"),"")</f>
        <v/>
      </c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</row>
    <row r="1084">
      <c r="A1084" s="8" t="str">
        <f>IFERROR(__xludf.DUMMYFUNCTION("""COMPUTED_VALUE"""),"124781720180600750")</f>
        <v>124781720180600750</v>
      </c>
      <c r="B1084" s="9" t="str">
        <f>IFERROR(__xludf.DUMMYFUNCTION("""COMPUTED_VALUE"""),"France")</f>
        <v>France</v>
      </c>
      <c r="C1084" s="9" t="str">
        <f>IFERROR(__xludf.DUMMYFUNCTION("""COMPUTED_VALUE"""),"burgundy")</f>
        <v>burgundy</v>
      </c>
      <c r="D1084" s="9" t="str">
        <f>IFERROR(__xludf.DUMMYFUNCTION("""COMPUTED_VALUE"""),"Dugat-Py, Gevrey-Chambertin, Cuvee Coeur de Roy Tres Vieilles Vignes")</f>
        <v>Dugat-Py, Gevrey-Chambertin, Cuvee Coeur de Roy Tres Vieilles Vignes</v>
      </c>
      <c r="E1084" s="9">
        <f>IFERROR(__xludf.DUMMYFUNCTION("""COMPUTED_VALUE"""),2018.0)</f>
        <v>2018</v>
      </c>
      <c r="F1084" s="9">
        <f>IFERROR(__xludf.DUMMYFUNCTION("""COMPUTED_VALUE"""),750.0)</f>
        <v>750</v>
      </c>
      <c r="G1084" s="9">
        <f>IFERROR(__xludf.DUMMYFUNCTION("""COMPUTED_VALUE"""),6.0)</f>
        <v>6</v>
      </c>
      <c r="H1084" s="10">
        <f>IFERROR(__xludf.DUMMYFUNCTION("""COMPUTED_VALUE"""),1.0)</f>
        <v>1</v>
      </c>
      <c r="I1084" s="11">
        <f>IFERROR(__xludf.DUMMYFUNCTION("""COMPUTED_VALUE"""),714.0)</f>
        <v>714</v>
      </c>
      <c r="J1084" s="9" t="str">
        <f>IFERROR(__xludf.DUMMYFUNCTION("""COMPUTED_VALUE"""),"UK")</f>
        <v>UK</v>
      </c>
      <c r="K1084" s="8"/>
      <c r="L1084" s="12"/>
      <c r="M1084" s="13"/>
      <c r="N1084" s="13" t="str">
        <f>IFERROR(__xludf.DUMMYFUNCTION("IF(ISBLANK(M1084),"""",M1084*GOOGLEFINANCE(""USDGBP""))"),"")</f>
        <v/>
      </c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</row>
    <row r="1085">
      <c r="A1085" s="8" t="str">
        <f>IFERROR(__xludf.DUMMYFUNCTION("""COMPUTED_VALUE"""),"124781720181200750")</f>
        <v>124781720181200750</v>
      </c>
      <c r="B1085" s="9" t="str">
        <f>IFERROR(__xludf.DUMMYFUNCTION("""COMPUTED_VALUE"""),"France")</f>
        <v>France</v>
      </c>
      <c r="C1085" s="9" t="str">
        <f>IFERROR(__xludf.DUMMYFUNCTION("""COMPUTED_VALUE"""),"burgundy")</f>
        <v>burgundy</v>
      </c>
      <c r="D1085" s="9" t="str">
        <f>IFERROR(__xludf.DUMMYFUNCTION("""COMPUTED_VALUE"""),"Dugat-Py, Gevrey-Chambertin, Cuvee Coeur de Roy Tres Vieilles Vignes")</f>
        <v>Dugat-Py, Gevrey-Chambertin, Cuvee Coeur de Roy Tres Vieilles Vignes</v>
      </c>
      <c r="E1085" s="9">
        <f>IFERROR(__xludf.DUMMYFUNCTION("""COMPUTED_VALUE"""),2018.0)</f>
        <v>2018</v>
      </c>
      <c r="F1085" s="9">
        <f>IFERROR(__xludf.DUMMYFUNCTION("""COMPUTED_VALUE"""),750.0)</f>
        <v>750</v>
      </c>
      <c r="G1085" s="9">
        <f>IFERROR(__xludf.DUMMYFUNCTION("""COMPUTED_VALUE"""),12.0)</f>
        <v>12</v>
      </c>
      <c r="H1085" s="10">
        <f>IFERROR(__xludf.DUMMYFUNCTION("""COMPUTED_VALUE"""),1.0)</f>
        <v>1</v>
      </c>
      <c r="I1085" s="11">
        <f>IFERROR(__xludf.DUMMYFUNCTION("""COMPUTED_VALUE"""),1430.0)</f>
        <v>1430</v>
      </c>
      <c r="J1085" s="9" t="str">
        <f>IFERROR(__xludf.DUMMYFUNCTION("""COMPUTED_VALUE"""),"UK")</f>
        <v>UK</v>
      </c>
      <c r="K1085" s="8"/>
      <c r="L1085" s="12"/>
      <c r="M1085" s="13"/>
      <c r="N1085" s="13" t="str">
        <f>IFERROR(__xludf.DUMMYFUNCTION("IF(ISBLANK(M1085),"""",M1085*GOOGLEFINANCE(""USDGBP""))"),"")</f>
        <v/>
      </c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</row>
    <row r="1086">
      <c r="A1086" s="8" t="str">
        <f>IFERROR(__xludf.DUMMYFUNCTION("""COMPUTED_VALUE"""),"124781720190600750")</f>
        <v>124781720190600750</v>
      </c>
      <c r="B1086" s="9" t="str">
        <f>IFERROR(__xludf.DUMMYFUNCTION("""COMPUTED_VALUE"""),"France")</f>
        <v>France</v>
      </c>
      <c r="C1086" s="9" t="str">
        <f>IFERROR(__xludf.DUMMYFUNCTION("""COMPUTED_VALUE"""),"burgundy")</f>
        <v>burgundy</v>
      </c>
      <c r="D1086" s="9" t="str">
        <f>IFERROR(__xludf.DUMMYFUNCTION("""COMPUTED_VALUE"""),"Dugat-Py, Gevrey-Chambertin, Cuvee Coeur de Roy Tres Vieilles Vignes")</f>
        <v>Dugat-Py, Gevrey-Chambertin, Cuvee Coeur de Roy Tres Vieilles Vignes</v>
      </c>
      <c r="E1086" s="9">
        <f>IFERROR(__xludf.DUMMYFUNCTION("""COMPUTED_VALUE"""),2019.0)</f>
        <v>2019</v>
      </c>
      <c r="F1086" s="9">
        <f>IFERROR(__xludf.DUMMYFUNCTION("""COMPUTED_VALUE"""),750.0)</f>
        <v>750</v>
      </c>
      <c r="G1086" s="9">
        <f>IFERROR(__xludf.DUMMYFUNCTION("""COMPUTED_VALUE"""),6.0)</f>
        <v>6</v>
      </c>
      <c r="H1086" s="10">
        <f>IFERROR(__xludf.DUMMYFUNCTION("""COMPUTED_VALUE"""),1.0)</f>
        <v>1</v>
      </c>
      <c r="I1086" s="11">
        <f>IFERROR(__xludf.DUMMYFUNCTION("""COMPUTED_VALUE"""),720.0)</f>
        <v>720</v>
      </c>
      <c r="J1086" s="9" t="str">
        <f>IFERROR(__xludf.DUMMYFUNCTION("""COMPUTED_VALUE"""),"UK")</f>
        <v>UK</v>
      </c>
      <c r="K1086" s="8"/>
      <c r="L1086" s="12"/>
      <c r="M1086" s="13"/>
      <c r="N1086" s="13" t="str">
        <f>IFERROR(__xludf.DUMMYFUNCTION("IF(ISBLANK(M1086),"""",M1086*GOOGLEFINANCE(""USDGBP""))"),"")</f>
        <v/>
      </c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</row>
    <row r="1087">
      <c r="A1087" s="8" t="str">
        <f>IFERROR(__xludf.DUMMYFUNCTION("""COMPUTED_VALUE"""),"103022420171200750")</f>
        <v>103022420171200750</v>
      </c>
      <c r="B1087" s="9" t="str">
        <f>IFERROR(__xludf.DUMMYFUNCTION("""COMPUTED_VALUE"""),"France")</f>
        <v>France</v>
      </c>
      <c r="C1087" s="9" t="str">
        <f>IFERROR(__xludf.DUMMYFUNCTION("""COMPUTED_VALUE"""),"burgundy")</f>
        <v>burgundy</v>
      </c>
      <c r="D1087" s="9" t="str">
        <f>IFERROR(__xludf.DUMMYFUNCTION("""COMPUTED_VALUE"""),"Dugat-Py, Gevrey-Chambertin, Les Evocelles Tres Vieilles Vignes")</f>
        <v>Dugat-Py, Gevrey-Chambertin, Les Evocelles Tres Vieilles Vignes</v>
      </c>
      <c r="E1087" s="9">
        <f>IFERROR(__xludf.DUMMYFUNCTION("""COMPUTED_VALUE"""),2017.0)</f>
        <v>2017</v>
      </c>
      <c r="F1087" s="9">
        <f>IFERROR(__xludf.DUMMYFUNCTION("""COMPUTED_VALUE"""),750.0)</f>
        <v>750</v>
      </c>
      <c r="G1087" s="9">
        <f>IFERROR(__xludf.DUMMYFUNCTION("""COMPUTED_VALUE"""),12.0)</f>
        <v>12</v>
      </c>
      <c r="H1087" s="10">
        <f>IFERROR(__xludf.DUMMYFUNCTION("""COMPUTED_VALUE"""),1.0)</f>
        <v>1</v>
      </c>
      <c r="I1087" s="11">
        <f>IFERROR(__xludf.DUMMYFUNCTION("""COMPUTED_VALUE"""),1807.0)</f>
        <v>1807</v>
      </c>
      <c r="J1087" s="9" t="str">
        <f>IFERROR(__xludf.DUMMYFUNCTION("""COMPUTED_VALUE"""),"UK")</f>
        <v>UK</v>
      </c>
      <c r="K1087" s="8"/>
      <c r="L1087" s="12"/>
      <c r="M1087" s="13"/>
      <c r="N1087" s="13" t="str">
        <f>IFERROR(__xludf.DUMMYFUNCTION("IF(ISBLANK(M1087),"""",M1087*GOOGLEFINANCE(""USDGBP""))"),"")</f>
        <v/>
      </c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</row>
    <row r="1088">
      <c r="A1088" s="8" t="str">
        <f>IFERROR(__xludf.DUMMYFUNCTION("""COMPUTED_VALUE"""),"103311120170600750")</f>
        <v>103311120170600750</v>
      </c>
      <c r="B1088" s="9" t="str">
        <f>IFERROR(__xludf.DUMMYFUNCTION("""COMPUTED_VALUE"""),"France")</f>
        <v>France</v>
      </c>
      <c r="C1088" s="9" t="str">
        <f>IFERROR(__xludf.DUMMYFUNCTION("""COMPUTED_VALUE"""),"burgundy")</f>
        <v>burgundy</v>
      </c>
      <c r="D1088" s="9" t="str">
        <f>IFERROR(__xludf.DUMMYFUNCTION("""COMPUTED_VALUE"""),"Geantet-Pansiot, Chambolle-Musigny Premier Cru, Les Baudes")</f>
        <v>Geantet-Pansiot, Chambolle-Musigny Premier Cru, Les Baudes</v>
      </c>
      <c r="E1088" s="9">
        <f>IFERROR(__xludf.DUMMYFUNCTION("""COMPUTED_VALUE"""),2017.0)</f>
        <v>2017</v>
      </c>
      <c r="F1088" s="9">
        <f>IFERROR(__xludf.DUMMYFUNCTION("""COMPUTED_VALUE"""),750.0)</f>
        <v>750</v>
      </c>
      <c r="G1088" s="9">
        <f>IFERROR(__xludf.DUMMYFUNCTION("""COMPUTED_VALUE"""),6.0)</f>
        <v>6</v>
      </c>
      <c r="H1088" s="10">
        <f>IFERROR(__xludf.DUMMYFUNCTION("""COMPUTED_VALUE"""),1.0)</f>
        <v>1</v>
      </c>
      <c r="I1088" s="11">
        <f>IFERROR(__xludf.DUMMYFUNCTION("""COMPUTED_VALUE"""),838.0)</f>
        <v>838</v>
      </c>
      <c r="J1088" s="9" t="str">
        <f>IFERROR(__xludf.DUMMYFUNCTION("""COMPUTED_VALUE"""),"UK")</f>
        <v>UK</v>
      </c>
      <c r="K1088" s="8"/>
      <c r="L1088" s="12"/>
      <c r="M1088" s="13"/>
      <c r="N1088" s="13" t="str">
        <f>IFERROR(__xludf.DUMMYFUNCTION("IF(ISBLANK(M1088),"""",M1088*GOOGLEFINANCE(""USDGBP""))"),"")</f>
        <v/>
      </c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</row>
    <row r="1089">
      <c r="A1089" s="8" t="str">
        <f>IFERROR(__xludf.DUMMYFUNCTION("""COMPUTED_VALUE"""),"155018620181200750")</f>
        <v>155018620181200750</v>
      </c>
      <c r="B1089" s="9" t="str">
        <f>IFERROR(__xludf.DUMMYFUNCTION("""COMPUTED_VALUE"""),"France")</f>
        <v>France</v>
      </c>
      <c r="C1089" s="9" t="str">
        <f>IFERROR(__xludf.DUMMYFUNCTION("""COMPUTED_VALUE"""),"burgundy")</f>
        <v>burgundy</v>
      </c>
      <c r="D1089" s="9" t="str">
        <f>IFERROR(__xludf.DUMMYFUNCTION("""COMPUTED_VALUE"""),"Georges Noellat, Beaune Premier Cru, La Mignotte")</f>
        <v>Georges Noellat, Beaune Premier Cru, La Mignotte</v>
      </c>
      <c r="E1089" s="9">
        <f>IFERROR(__xludf.DUMMYFUNCTION("""COMPUTED_VALUE"""),2018.0)</f>
        <v>2018</v>
      </c>
      <c r="F1089" s="9">
        <f>IFERROR(__xludf.DUMMYFUNCTION("""COMPUTED_VALUE"""),750.0)</f>
        <v>750</v>
      </c>
      <c r="G1089" s="9">
        <f>IFERROR(__xludf.DUMMYFUNCTION("""COMPUTED_VALUE"""),12.0)</f>
        <v>12</v>
      </c>
      <c r="H1089" s="10">
        <f>IFERROR(__xludf.DUMMYFUNCTION("""COMPUTED_VALUE"""),1.0)</f>
        <v>1</v>
      </c>
      <c r="I1089" s="11">
        <f>IFERROR(__xludf.DUMMYFUNCTION("""COMPUTED_VALUE"""),961.0)</f>
        <v>961</v>
      </c>
      <c r="J1089" s="9" t="str">
        <f>IFERROR(__xludf.DUMMYFUNCTION("""COMPUTED_VALUE"""),"UK")</f>
        <v>UK</v>
      </c>
      <c r="K1089" s="8"/>
      <c r="L1089" s="12"/>
      <c r="M1089" s="13"/>
      <c r="N1089" s="13" t="str">
        <f>IFERROR(__xludf.DUMMYFUNCTION("IF(ISBLANK(M1089),"""",M1089*GOOGLEFINANCE(""USDGBP""))"),"")</f>
        <v/>
      </c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</row>
    <row r="1090">
      <c r="A1090" s="8" t="str">
        <f>IFERROR(__xludf.DUMMYFUNCTION("""COMPUTED_VALUE"""),"167502520181200750")</f>
        <v>167502520181200750</v>
      </c>
      <c r="B1090" s="9" t="str">
        <f>IFERROR(__xludf.DUMMYFUNCTION("""COMPUTED_VALUE"""),"France")</f>
        <v>France</v>
      </c>
      <c r="C1090" s="9" t="str">
        <f>IFERROR(__xludf.DUMMYFUNCTION("""COMPUTED_VALUE"""),"burgundy")</f>
        <v>burgundy</v>
      </c>
      <c r="D1090" s="9" t="str">
        <f>IFERROR(__xludf.DUMMYFUNCTION("""COMPUTED_VALUE"""),"Georges Noellat, Beaune Premier Cru, Les Tuvilains")</f>
        <v>Georges Noellat, Beaune Premier Cru, Les Tuvilains</v>
      </c>
      <c r="E1090" s="9">
        <f>IFERROR(__xludf.DUMMYFUNCTION("""COMPUTED_VALUE"""),2018.0)</f>
        <v>2018</v>
      </c>
      <c r="F1090" s="9">
        <f>IFERROR(__xludf.DUMMYFUNCTION("""COMPUTED_VALUE"""),750.0)</f>
        <v>750</v>
      </c>
      <c r="G1090" s="9">
        <f>IFERROR(__xludf.DUMMYFUNCTION("""COMPUTED_VALUE"""),12.0)</f>
        <v>12</v>
      </c>
      <c r="H1090" s="10">
        <f>IFERROR(__xludf.DUMMYFUNCTION("""COMPUTED_VALUE"""),1.0)</f>
        <v>1</v>
      </c>
      <c r="I1090" s="11">
        <f>IFERROR(__xludf.DUMMYFUNCTION("""COMPUTED_VALUE"""),672.0)</f>
        <v>672</v>
      </c>
      <c r="J1090" s="9" t="str">
        <f>IFERROR(__xludf.DUMMYFUNCTION("""COMPUTED_VALUE"""),"UK")</f>
        <v>UK</v>
      </c>
      <c r="K1090" s="8"/>
      <c r="L1090" s="12"/>
      <c r="M1090" s="13"/>
      <c r="N1090" s="13" t="str">
        <f>IFERROR(__xludf.DUMMYFUNCTION("IF(ISBLANK(M1090),"""",M1090*GOOGLEFINANCE(""USDGBP""))"),"")</f>
        <v/>
      </c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</row>
    <row r="1091">
      <c r="A1091" s="8" t="str">
        <f>IFERROR(__xludf.DUMMYFUNCTION("""COMPUTED_VALUE"""),"121364120181200750")</f>
        <v>121364120181200750</v>
      </c>
      <c r="B1091" s="9" t="str">
        <f>IFERROR(__xludf.DUMMYFUNCTION("""COMPUTED_VALUE"""),"France")</f>
        <v>France</v>
      </c>
      <c r="C1091" s="9" t="str">
        <f>IFERROR(__xludf.DUMMYFUNCTION("""COMPUTED_VALUE"""),"burgundy")</f>
        <v>burgundy</v>
      </c>
      <c r="D1091" s="9" t="str">
        <f>IFERROR(__xludf.DUMMYFUNCTION("""COMPUTED_VALUE"""),"Georges Noellat, Echezeaux Grand Cru")</f>
        <v>Georges Noellat, Echezeaux Grand Cru</v>
      </c>
      <c r="E1091" s="9">
        <f>IFERROR(__xludf.DUMMYFUNCTION("""COMPUTED_VALUE"""),2018.0)</f>
        <v>2018</v>
      </c>
      <c r="F1091" s="9">
        <f>IFERROR(__xludf.DUMMYFUNCTION("""COMPUTED_VALUE"""),750.0)</f>
        <v>750</v>
      </c>
      <c r="G1091" s="9">
        <f>IFERROR(__xludf.DUMMYFUNCTION("""COMPUTED_VALUE"""),12.0)</f>
        <v>12</v>
      </c>
      <c r="H1091" s="10">
        <f>IFERROR(__xludf.DUMMYFUNCTION("""COMPUTED_VALUE"""),1.0)</f>
        <v>1</v>
      </c>
      <c r="I1091" s="11">
        <f>IFERROR(__xludf.DUMMYFUNCTION("""COMPUTED_VALUE"""),5362.0)</f>
        <v>5362</v>
      </c>
      <c r="J1091" s="9" t="str">
        <f>IFERROR(__xludf.DUMMYFUNCTION("""COMPUTED_VALUE"""),"UK")</f>
        <v>UK</v>
      </c>
      <c r="K1091" s="8"/>
      <c r="L1091" s="12"/>
      <c r="M1091" s="13"/>
      <c r="N1091" s="13" t="str">
        <f>IFERROR(__xludf.DUMMYFUNCTION("IF(ISBLANK(M1091),"""",M1091*GOOGLEFINANCE(""USDGBP""))"),"")</f>
        <v/>
      </c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</row>
    <row r="1092">
      <c r="A1092" s="8" t="str">
        <f>IFERROR(__xludf.DUMMYFUNCTION("""COMPUTED_VALUE"""),"121363820171200750")</f>
        <v>121363820171200750</v>
      </c>
      <c r="B1092" s="9" t="str">
        <f>IFERROR(__xludf.DUMMYFUNCTION("""COMPUTED_VALUE"""),"France")</f>
        <v>France</v>
      </c>
      <c r="C1092" s="9" t="str">
        <f>IFERROR(__xludf.DUMMYFUNCTION("""COMPUTED_VALUE"""),"burgundy")</f>
        <v>burgundy</v>
      </c>
      <c r="D1092" s="9" t="str">
        <f>IFERROR(__xludf.DUMMYFUNCTION("""COMPUTED_VALUE"""),"Georges Noellat, Grands Echezeaux Grand Cru")</f>
        <v>Georges Noellat, Grands Echezeaux Grand Cru</v>
      </c>
      <c r="E1092" s="9">
        <f>IFERROR(__xludf.DUMMYFUNCTION("""COMPUTED_VALUE"""),2017.0)</f>
        <v>2017</v>
      </c>
      <c r="F1092" s="9">
        <f>IFERROR(__xludf.DUMMYFUNCTION("""COMPUTED_VALUE"""),750.0)</f>
        <v>750</v>
      </c>
      <c r="G1092" s="9">
        <f>IFERROR(__xludf.DUMMYFUNCTION("""COMPUTED_VALUE"""),12.0)</f>
        <v>12</v>
      </c>
      <c r="H1092" s="10">
        <f>IFERROR(__xludf.DUMMYFUNCTION("""COMPUTED_VALUE"""),1.0)</f>
        <v>1</v>
      </c>
      <c r="I1092" s="11">
        <f>IFERROR(__xludf.DUMMYFUNCTION("""COMPUTED_VALUE"""),6224.0)</f>
        <v>6224</v>
      </c>
      <c r="J1092" s="9" t="str">
        <f>IFERROR(__xludf.DUMMYFUNCTION("""COMPUTED_VALUE"""),"UK")</f>
        <v>UK</v>
      </c>
      <c r="K1092" s="8"/>
      <c r="L1092" s="12"/>
      <c r="M1092" s="13"/>
      <c r="N1092" s="13" t="str">
        <f>IFERROR(__xludf.DUMMYFUNCTION("IF(ISBLANK(M1092),"""",M1092*GOOGLEFINANCE(""USDGBP""))"),"")</f>
        <v/>
      </c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</row>
    <row r="1093">
      <c r="A1093" s="8" t="str">
        <f>IFERROR(__xludf.DUMMYFUNCTION("""COMPUTED_VALUE"""),"126916920151200750")</f>
        <v>126916920151200750</v>
      </c>
      <c r="B1093" s="9" t="str">
        <f>IFERROR(__xludf.DUMMYFUNCTION("""COMPUTED_VALUE"""),"France")</f>
        <v>France</v>
      </c>
      <c r="C1093" s="9" t="str">
        <f>IFERROR(__xludf.DUMMYFUNCTION("""COMPUTED_VALUE"""),"burgundy")</f>
        <v>burgundy</v>
      </c>
      <c r="D1093" s="9" t="str">
        <f>IFERROR(__xludf.DUMMYFUNCTION("""COMPUTED_VALUE"""),"Georges Noellat, Nuits-Saint-Georges")</f>
        <v>Georges Noellat, Nuits-Saint-Georges</v>
      </c>
      <c r="E1093" s="9">
        <f>IFERROR(__xludf.DUMMYFUNCTION("""COMPUTED_VALUE"""),2015.0)</f>
        <v>2015</v>
      </c>
      <c r="F1093" s="9">
        <f>IFERROR(__xludf.DUMMYFUNCTION("""COMPUTED_VALUE"""),750.0)</f>
        <v>750</v>
      </c>
      <c r="G1093" s="9">
        <f>IFERROR(__xludf.DUMMYFUNCTION("""COMPUTED_VALUE"""),12.0)</f>
        <v>12</v>
      </c>
      <c r="H1093" s="10">
        <f>IFERROR(__xludf.DUMMYFUNCTION("""COMPUTED_VALUE"""),1.0)</f>
        <v>1</v>
      </c>
      <c r="I1093" s="11">
        <f>IFERROR(__xludf.DUMMYFUNCTION("""COMPUTED_VALUE"""),784.0)</f>
        <v>784</v>
      </c>
      <c r="J1093" s="9" t="str">
        <f>IFERROR(__xludf.DUMMYFUNCTION("""COMPUTED_VALUE"""),"UK")</f>
        <v>UK</v>
      </c>
      <c r="K1093" s="8"/>
      <c r="L1093" s="12"/>
      <c r="M1093" s="13"/>
      <c r="N1093" s="13" t="str">
        <f>IFERROR(__xludf.DUMMYFUNCTION("IF(ISBLANK(M1093),"""",M1093*GOOGLEFINANCE(""USDGBP""))"),"")</f>
        <v/>
      </c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</row>
    <row r="1094">
      <c r="A1094" s="8" t="str">
        <f>IFERROR(__xludf.DUMMYFUNCTION("""COMPUTED_VALUE"""),"121368320181200750")</f>
        <v>121368320181200750</v>
      </c>
      <c r="B1094" s="9" t="str">
        <f>IFERROR(__xludf.DUMMYFUNCTION("""COMPUTED_VALUE"""),"France")</f>
        <v>France</v>
      </c>
      <c r="C1094" s="9" t="str">
        <f>IFERROR(__xludf.DUMMYFUNCTION("""COMPUTED_VALUE"""),"burgundy")</f>
        <v>burgundy</v>
      </c>
      <c r="D1094" s="9" t="str">
        <f>IFERROR(__xludf.DUMMYFUNCTION("""COMPUTED_VALUE"""),"Georges Noellat, Nuits-Saint-Georges Premier Cru, Aux Boudots")</f>
        <v>Georges Noellat, Nuits-Saint-Georges Premier Cru, Aux Boudots</v>
      </c>
      <c r="E1094" s="9">
        <f>IFERROR(__xludf.DUMMYFUNCTION("""COMPUTED_VALUE"""),2018.0)</f>
        <v>2018</v>
      </c>
      <c r="F1094" s="9">
        <f>IFERROR(__xludf.DUMMYFUNCTION("""COMPUTED_VALUE"""),750.0)</f>
        <v>750</v>
      </c>
      <c r="G1094" s="9">
        <f>IFERROR(__xludf.DUMMYFUNCTION("""COMPUTED_VALUE"""),12.0)</f>
        <v>12</v>
      </c>
      <c r="H1094" s="10">
        <f>IFERROR(__xludf.DUMMYFUNCTION("""COMPUTED_VALUE"""),1.0)</f>
        <v>1</v>
      </c>
      <c r="I1094" s="11">
        <f>IFERROR(__xludf.DUMMYFUNCTION("""COMPUTED_VALUE"""),1530.0)</f>
        <v>1530</v>
      </c>
      <c r="J1094" s="9" t="str">
        <f>IFERROR(__xludf.DUMMYFUNCTION("""COMPUTED_VALUE"""),"UK")</f>
        <v>UK</v>
      </c>
      <c r="K1094" s="8"/>
      <c r="L1094" s="12"/>
      <c r="M1094" s="13"/>
      <c r="N1094" s="13" t="str">
        <f>IFERROR(__xludf.DUMMYFUNCTION("IF(ISBLANK(M1094),"""",M1094*GOOGLEFINANCE(""USDGBP""))"),"")</f>
        <v/>
      </c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</row>
    <row r="1095">
      <c r="A1095" s="8" t="str">
        <f>IFERROR(__xludf.DUMMYFUNCTION("""COMPUTED_VALUE"""),"121366720190600750")</f>
        <v>121366720190600750</v>
      </c>
      <c r="B1095" s="9" t="str">
        <f>IFERROR(__xludf.DUMMYFUNCTION("""COMPUTED_VALUE"""),"France")</f>
        <v>France</v>
      </c>
      <c r="C1095" s="9" t="str">
        <f>IFERROR(__xludf.DUMMYFUNCTION("""COMPUTED_VALUE"""),"burgundy")</f>
        <v>burgundy</v>
      </c>
      <c r="D1095" s="9" t="str">
        <f>IFERROR(__xludf.DUMMYFUNCTION("""COMPUTED_VALUE"""),"Georges Noellat, Vosne-Romanee")</f>
        <v>Georges Noellat, Vosne-Romanee</v>
      </c>
      <c r="E1095" s="9">
        <f>IFERROR(__xludf.DUMMYFUNCTION("""COMPUTED_VALUE"""),2019.0)</f>
        <v>2019</v>
      </c>
      <c r="F1095" s="9">
        <f>IFERROR(__xludf.DUMMYFUNCTION("""COMPUTED_VALUE"""),750.0)</f>
        <v>750</v>
      </c>
      <c r="G1095" s="9">
        <f>IFERROR(__xludf.DUMMYFUNCTION("""COMPUTED_VALUE"""),6.0)</f>
        <v>6</v>
      </c>
      <c r="H1095" s="10">
        <f>IFERROR(__xludf.DUMMYFUNCTION("""COMPUTED_VALUE"""),1.0)</f>
        <v>1</v>
      </c>
      <c r="I1095" s="11">
        <f>IFERROR(__xludf.DUMMYFUNCTION("""COMPUTED_VALUE"""),513.0)</f>
        <v>513</v>
      </c>
      <c r="J1095" s="9" t="str">
        <f>IFERROR(__xludf.DUMMYFUNCTION("""COMPUTED_VALUE"""),"UK")</f>
        <v>UK</v>
      </c>
      <c r="K1095" s="8"/>
      <c r="L1095" s="12"/>
      <c r="M1095" s="13"/>
      <c r="N1095" s="13" t="str">
        <f>IFERROR(__xludf.DUMMYFUNCTION("IF(ISBLANK(M1095),"""",M1095*GOOGLEFINANCE(""USDGBP""))"),"")</f>
        <v/>
      </c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</row>
    <row r="1096">
      <c r="A1096" s="8" t="str">
        <f>IFERROR(__xludf.DUMMYFUNCTION("""COMPUTED_VALUE"""),"121367020171200750")</f>
        <v>121367020171200750</v>
      </c>
      <c r="B1096" s="9" t="str">
        <f>IFERROR(__xludf.DUMMYFUNCTION("""COMPUTED_VALUE"""),"France")</f>
        <v>France</v>
      </c>
      <c r="C1096" s="9" t="str">
        <f>IFERROR(__xludf.DUMMYFUNCTION("""COMPUTED_VALUE"""),"burgundy")</f>
        <v>burgundy</v>
      </c>
      <c r="D1096" s="9" t="str">
        <f>IFERROR(__xludf.DUMMYFUNCTION("""COMPUTED_VALUE"""),"Georges Noellat, Vosne-Romanee Premier Cru, Les Petits Monts")</f>
        <v>Georges Noellat, Vosne-Romanee Premier Cru, Les Petits Monts</v>
      </c>
      <c r="E1096" s="9">
        <f>IFERROR(__xludf.DUMMYFUNCTION("""COMPUTED_VALUE"""),2017.0)</f>
        <v>2017</v>
      </c>
      <c r="F1096" s="9">
        <f>IFERROR(__xludf.DUMMYFUNCTION("""COMPUTED_VALUE"""),750.0)</f>
        <v>750</v>
      </c>
      <c r="G1096" s="9">
        <f>IFERROR(__xludf.DUMMYFUNCTION("""COMPUTED_VALUE"""),12.0)</f>
        <v>12</v>
      </c>
      <c r="H1096" s="10">
        <f>IFERROR(__xludf.DUMMYFUNCTION("""COMPUTED_VALUE"""),1.0)</f>
        <v>1</v>
      </c>
      <c r="I1096" s="11">
        <f>IFERROR(__xludf.DUMMYFUNCTION("""COMPUTED_VALUE"""),2250.0)</f>
        <v>2250</v>
      </c>
      <c r="J1096" s="9" t="str">
        <f>IFERROR(__xludf.DUMMYFUNCTION("""COMPUTED_VALUE"""),"UK")</f>
        <v>UK</v>
      </c>
      <c r="K1096" s="8"/>
      <c r="L1096" s="12"/>
      <c r="M1096" s="13"/>
      <c r="N1096" s="13" t="str">
        <f>IFERROR(__xludf.DUMMYFUNCTION("IF(ISBLANK(M1096),"""",M1096*GOOGLEFINANCE(""USDGBP""))"),"")</f>
        <v/>
      </c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</row>
    <row r="1097">
      <c r="A1097" s="8" t="str">
        <f>IFERROR(__xludf.DUMMYFUNCTION("""COMPUTED_VALUE"""),"121367020181200750")</f>
        <v>121367020181200750</v>
      </c>
      <c r="B1097" s="9" t="str">
        <f>IFERROR(__xludf.DUMMYFUNCTION("""COMPUTED_VALUE"""),"France")</f>
        <v>France</v>
      </c>
      <c r="C1097" s="9" t="str">
        <f>IFERROR(__xludf.DUMMYFUNCTION("""COMPUTED_VALUE"""),"burgundy")</f>
        <v>burgundy</v>
      </c>
      <c r="D1097" s="9" t="str">
        <f>IFERROR(__xludf.DUMMYFUNCTION("""COMPUTED_VALUE"""),"Georges Noellat, Vosne-Romanee Premier Cru, Les Petits Monts")</f>
        <v>Georges Noellat, Vosne-Romanee Premier Cru, Les Petits Monts</v>
      </c>
      <c r="E1097" s="9">
        <f>IFERROR(__xludf.DUMMYFUNCTION("""COMPUTED_VALUE"""),2018.0)</f>
        <v>2018</v>
      </c>
      <c r="F1097" s="9">
        <f>IFERROR(__xludf.DUMMYFUNCTION("""COMPUTED_VALUE"""),750.0)</f>
        <v>750</v>
      </c>
      <c r="G1097" s="9">
        <f>IFERROR(__xludf.DUMMYFUNCTION("""COMPUTED_VALUE"""),12.0)</f>
        <v>12</v>
      </c>
      <c r="H1097" s="10">
        <f>IFERROR(__xludf.DUMMYFUNCTION("""COMPUTED_VALUE"""),1.0)</f>
        <v>1</v>
      </c>
      <c r="I1097" s="11">
        <f>IFERROR(__xludf.DUMMYFUNCTION("""COMPUTED_VALUE"""),2514.0)</f>
        <v>2514</v>
      </c>
      <c r="J1097" s="9" t="str">
        <f>IFERROR(__xludf.DUMMYFUNCTION("""COMPUTED_VALUE"""),"UK")</f>
        <v>UK</v>
      </c>
      <c r="K1097" s="8"/>
      <c r="L1097" s="12"/>
      <c r="M1097" s="13"/>
      <c r="N1097" s="13" t="str">
        <f>IFERROR(__xludf.DUMMYFUNCTION("IF(ISBLANK(M1097),"""",M1097*GOOGLEFINANCE(""USDGBP""))"),"")</f>
        <v/>
      </c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</row>
    <row r="1098">
      <c r="A1098" s="8" t="str">
        <f>IFERROR(__xludf.DUMMYFUNCTION("""COMPUTED_VALUE"""),"124049820170600750")</f>
        <v>124049820170600750</v>
      </c>
      <c r="B1098" s="9" t="str">
        <f>IFERROR(__xludf.DUMMYFUNCTION("""COMPUTED_VALUE"""),"France")</f>
        <v>France</v>
      </c>
      <c r="C1098" s="9" t="str">
        <f>IFERROR(__xludf.DUMMYFUNCTION("""COMPUTED_VALUE"""),"burgundy")</f>
        <v>burgundy</v>
      </c>
      <c r="D1098" s="9" t="str">
        <f>IFERROR(__xludf.DUMMYFUNCTION("""COMPUTED_VALUE"""),"Gilbert et Christine Felettig, Chambolle-Musigny Premier Cru, Les Carrieres")</f>
        <v>Gilbert et Christine Felettig, Chambolle-Musigny Premier Cru, Les Carrieres</v>
      </c>
      <c r="E1098" s="9">
        <f>IFERROR(__xludf.DUMMYFUNCTION("""COMPUTED_VALUE"""),2017.0)</f>
        <v>2017</v>
      </c>
      <c r="F1098" s="9">
        <f>IFERROR(__xludf.DUMMYFUNCTION("""COMPUTED_VALUE"""),750.0)</f>
        <v>750</v>
      </c>
      <c r="G1098" s="9">
        <f>IFERROR(__xludf.DUMMYFUNCTION("""COMPUTED_VALUE"""),6.0)</f>
        <v>6</v>
      </c>
      <c r="H1098" s="10">
        <f>IFERROR(__xludf.DUMMYFUNCTION("""COMPUTED_VALUE"""),1.0)</f>
        <v>1</v>
      </c>
      <c r="I1098" s="11">
        <f>IFERROR(__xludf.DUMMYFUNCTION("""COMPUTED_VALUE"""),521.0)</f>
        <v>521</v>
      </c>
      <c r="J1098" s="9" t="str">
        <f>IFERROR(__xludf.DUMMYFUNCTION("""COMPUTED_VALUE"""),"UK")</f>
        <v>UK</v>
      </c>
      <c r="K1098" s="8"/>
      <c r="L1098" s="12"/>
      <c r="M1098" s="13"/>
      <c r="N1098" s="13" t="str">
        <f>IFERROR(__xludf.DUMMYFUNCTION("IF(ISBLANK(M1098),"""",M1098*GOOGLEFINANCE(""USDGBP""))"),"")</f>
        <v/>
      </c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</row>
    <row r="1099">
      <c r="A1099" s="8" t="str">
        <f>IFERROR(__xludf.DUMMYFUNCTION("""COMPUTED_VALUE"""),"103638520200600750")</f>
        <v>103638520200600750</v>
      </c>
      <c r="B1099" s="9" t="str">
        <f>IFERROR(__xludf.DUMMYFUNCTION("""COMPUTED_VALUE"""),"France")</f>
        <v>France</v>
      </c>
      <c r="C1099" s="9" t="str">
        <f>IFERROR(__xludf.DUMMYFUNCTION("""COMPUTED_VALUE"""),"burgundy")</f>
        <v>burgundy</v>
      </c>
      <c r="D1099" s="9" t="str">
        <f>IFERROR(__xludf.DUMMYFUNCTION("""COMPUTED_VALUE"""),"Gros Frere et Soeur, Richebourg Grand Cru")</f>
        <v>Gros Frere et Soeur, Richebourg Grand Cru</v>
      </c>
      <c r="E1099" s="9">
        <f>IFERROR(__xludf.DUMMYFUNCTION("""COMPUTED_VALUE"""),2020.0)</f>
        <v>2020</v>
      </c>
      <c r="F1099" s="9">
        <f>IFERROR(__xludf.DUMMYFUNCTION("""COMPUTED_VALUE"""),750.0)</f>
        <v>750</v>
      </c>
      <c r="G1099" s="9">
        <f>IFERROR(__xludf.DUMMYFUNCTION("""COMPUTED_VALUE"""),6.0)</f>
        <v>6</v>
      </c>
      <c r="H1099" s="10">
        <f>IFERROR(__xludf.DUMMYFUNCTION("""COMPUTED_VALUE"""),1.0)</f>
        <v>1</v>
      </c>
      <c r="I1099" s="11">
        <f>IFERROR(__xludf.DUMMYFUNCTION("""COMPUTED_VALUE"""),4210.0)</f>
        <v>4210</v>
      </c>
      <c r="J1099" s="9" t="str">
        <f>IFERROR(__xludf.DUMMYFUNCTION("""COMPUTED_VALUE"""),"UK")</f>
        <v>UK</v>
      </c>
      <c r="K1099" s="8"/>
      <c r="L1099" s="12"/>
      <c r="M1099" s="13"/>
      <c r="N1099" s="13" t="str">
        <f>IFERROR(__xludf.DUMMYFUNCTION("IF(ISBLANK(M1099),"""",M1099*GOOGLEFINANCE(""USDGBP""))"),"")</f>
        <v/>
      </c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</row>
    <row r="1100">
      <c r="A1100" s="8" t="str">
        <f>IFERROR(__xludf.DUMMYFUNCTION("""COMPUTED_VALUE"""),"119783520190300750")</f>
        <v>119783520190300750</v>
      </c>
      <c r="B1100" s="9" t="str">
        <f>IFERROR(__xludf.DUMMYFUNCTION("""COMPUTED_VALUE"""),"France")</f>
        <v>France</v>
      </c>
      <c r="C1100" s="9" t="str">
        <f>IFERROR(__xludf.DUMMYFUNCTION("""COMPUTED_VALUE"""),"burgundy")</f>
        <v>burgundy</v>
      </c>
      <c r="D1100" s="9" t="str">
        <f>IFERROR(__xludf.DUMMYFUNCTION("""COMPUTED_VALUE"""),"Henri Boillot, Chambertin-Clos de Beze Grand Cru")</f>
        <v>Henri Boillot, Chambertin-Clos de Beze Grand Cru</v>
      </c>
      <c r="E1100" s="9">
        <f>IFERROR(__xludf.DUMMYFUNCTION("""COMPUTED_VALUE"""),2019.0)</f>
        <v>2019</v>
      </c>
      <c r="F1100" s="9">
        <f>IFERROR(__xludf.DUMMYFUNCTION("""COMPUTED_VALUE"""),750.0)</f>
        <v>750</v>
      </c>
      <c r="G1100" s="9">
        <f>IFERROR(__xludf.DUMMYFUNCTION("""COMPUTED_VALUE"""),3.0)</f>
        <v>3</v>
      </c>
      <c r="H1100" s="10">
        <f>IFERROR(__xludf.DUMMYFUNCTION("""COMPUTED_VALUE"""),2.0)</f>
        <v>2</v>
      </c>
      <c r="I1100" s="11">
        <f>IFERROR(__xludf.DUMMYFUNCTION("""COMPUTED_VALUE"""),1086.0)</f>
        <v>1086</v>
      </c>
      <c r="J1100" s="9" t="str">
        <f>IFERROR(__xludf.DUMMYFUNCTION("""COMPUTED_VALUE"""),"UK")</f>
        <v>UK</v>
      </c>
      <c r="K1100" s="8"/>
      <c r="L1100" s="12"/>
      <c r="M1100" s="13"/>
      <c r="N1100" s="13" t="str">
        <f>IFERROR(__xludf.DUMMYFUNCTION("IF(ISBLANK(M1100),"""",M1100*GOOGLEFINANCE(""USDGBP""))"),"")</f>
        <v/>
      </c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</row>
    <row r="1101">
      <c r="A1101" s="8" t="str">
        <f>IFERROR(__xludf.DUMMYFUNCTION("""COMPUTED_VALUE"""),"174654120180600750")</f>
        <v>174654120180600750</v>
      </c>
      <c r="B1101" s="9" t="str">
        <f>IFERROR(__xludf.DUMMYFUNCTION("""COMPUTED_VALUE"""),"France")</f>
        <v>France</v>
      </c>
      <c r="C1101" s="9" t="str">
        <f>IFERROR(__xludf.DUMMYFUNCTION("""COMPUTED_VALUE"""),"burgundy")</f>
        <v>burgundy</v>
      </c>
      <c r="D1101" s="9" t="str">
        <f>IFERROR(__xludf.DUMMYFUNCTION("""COMPUTED_VALUE"""),"Henri Magnien, Gevrey-Chambertin Premier Cru, Les Cazetiers")</f>
        <v>Henri Magnien, Gevrey-Chambertin Premier Cru, Les Cazetiers</v>
      </c>
      <c r="E1101" s="9">
        <f>IFERROR(__xludf.DUMMYFUNCTION("""COMPUTED_VALUE"""),2018.0)</f>
        <v>2018</v>
      </c>
      <c r="F1101" s="9">
        <f>IFERROR(__xludf.DUMMYFUNCTION("""COMPUTED_VALUE"""),750.0)</f>
        <v>750</v>
      </c>
      <c r="G1101" s="9">
        <f>IFERROR(__xludf.DUMMYFUNCTION("""COMPUTED_VALUE"""),6.0)</f>
        <v>6</v>
      </c>
      <c r="H1101" s="10">
        <f>IFERROR(__xludf.DUMMYFUNCTION("""COMPUTED_VALUE"""),1.0)</f>
        <v>1</v>
      </c>
      <c r="I1101" s="11">
        <f>IFERROR(__xludf.DUMMYFUNCTION("""COMPUTED_VALUE"""),498.0)</f>
        <v>498</v>
      </c>
      <c r="J1101" s="9" t="str">
        <f>IFERROR(__xludf.DUMMYFUNCTION("""COMPUTED_VALUE"""),"UK")</f>
        <v>UK</v>
      </c>
      <c r="K1101" s="8"/>
      <c r="L1101" s="12"/>
      <c r="M1101" s="13"/>
      <c r="N1101" s="13" t="str">
        <f>IFERROR(__xludf.DUMMYFUNCTION("IF(ISBLANK(M1101),"""",M1101*GOOGLEFINANCE(""USDGBP""))"),"")</f>
        <v/>
      </c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</row>
    <row r="1102">
      <c r="A1102" s="8" t="str">
        <f>IFERROR(__xludf.DUMMYFUNCTION("""COMPUTED_VALUE"""),"132469120171200750")</f>
        <v>132469120171200750</v>
      </c>
      <c r="B1102" s="9" t="str">
        <f>IFERROR(__xludf.DUMMYFUNCTION("""COMPUTED_VALUE"""),"France")</f>
        <v>France</v>
      </c>
      <c r="C1102" s="9" t="str">
        <f>IFERROR(__xludf.DUMMYFUNCTION("""COMPUTED_VALUE"""),"burgundy")</f>
        <v>burgundy</v>
      </c>
      <c r="D1102" s="9" t="str">
        <f>IFERROR(__xludf.DUMMYFUNCTION("""COMPUTED_VALUE"""),"Hubert Lamy, Santenay Premier Cru, Les Gravieres Vieilles Vignes")</f>
        <v>Hubert Lamy, Santenay Premier Cru, Les Gravieres Vieilles Vignes</v>
      </c>
      <c r="E1102" s="9">
        <f>IFERROR(__xludf.DUMMYFUNCTION("""COMPUTED_VALUE"""),2017.0)</f>
        <v>2017</v>
      </c>
      <c r="F1102" s="9">
        <f>IFERROR(__xludf.DUMMYFUNCTION("""COMPUTED_VALUE"""),750.0)</f>
        <v>750</v>
      </c>
      <c r="G1102" s="9">
        <f>IFERROR(__xludf.DUMMYFUNCTION("""COMPUTED_VALUE"""),12.0)</f>
        <v>12</v>
      </c>
      <c r="H1102" s="10">
        <f>IFERROR(__xludf.DUMMYFUNCTION("""COMPUTED_VALUE"""),2.0)</f>
        <v>2</v>
      </c>
      <c r="I1102" s="11">
        <f>IFERROR(__xludf.DUMMYFUNCTION("""COMPUTED_VALUE"""),884.0)</f>
        <v>884</v>
      </c>
      <c r="J1102" s="9" t="str">
        <f>IFERROR(__xludf.DUMMYFUNCTION("""COMPUTED_VALUE"""),"UK")</f>
        <v>UK</v>
      </c>
      <c r="K1102" s="8"/>
      <c r="L1102" s="12"/>
      <c r="M1102" s="13"/>
      <c r="N1102" s="13" t="str">
        <f>IFERROR(__xludf.DUMMYFUNCTION("IF(ISBLANK(M1102),"""",M1102*GOOGLEFINANCE(""USDGBP""))"),"")</f>
        <v/>
      </c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</row>
    <row r="1103">
      <c r="A1103" s="8" t="str">
        <f>IFERROR(__xludf.DUMMYFUNCTION("""COMPUTED_VALUE"""),"154303620151200750")</f>
        <v>154303620151200750</v>
      </c>
      <c r="B1103" s="9" t="str">
        <f>IFERROR(__xludf.DUMMYFUNCTION("""COMPUTED_VALUE"""),"France")</f>
        <v>France</v>
      </c>
      <c r="C1103" s="9" t="str">
        <f>IFERROR(__xludf.DUMMYFUNCTION("""COMPUTED_VALUE"""),"burgundy")</f>
        <v>burgundy</v>
      </c>
      <c r="D1103" s="9" t="str">
        <f>IFERROR(__xludf.DUMMYFUNCTION("""COMPUTED_VALUE"""),"Hubert Lignier, Chambolle-Musigny, Les Bussieres")</f>
        <v>Hubert Lignier, Chambolle-Musigny, Les Bussieres</v>
      </c>
      <c r="E1103" s="9">
        <f>IFERROR(__xludf.DUMMYFUNCTION("""COMPUTED_VALUE"""),2015.0)</f>
        <v>2015</v>
      </c>
      <c r="F1103" s="9">
        <f>IFERROR(__xludf.DUMMYFUNCTION("""COMPUTED_VALUE"""),750.0)</f>
        <v>750</v>
      </c>
      <c r="G1103" s="9">
        <f>IFERROR(__xludf.DUMMYFUNCTION("""COMPUTED_VALUE"""),12.0)</f>
        <v>12</v>
      </c>
      <c r="H1103" s="10">
        <f>IFERROR(__xludf.DUMMYFUNCTION("""COMPUTED_VALUE"""),1.0)</f>
        <v>1</v>
      </c>
      <c r="I1103" s="11">
        <f>IFERROR(__xludf.DUMMYFUNCTION("""COMPUTED_VALUE"""),1052.0)</f>
        <v>1052</v>
      </c>
      <c r="J1103" s="9" t="str">
        <f>IFERROR(__xludf.DUMMYFUNCTION("""COMPUTED_VALUE"""),"UK")</f>
        <v>UK</v>
      </c>
      <c r="K1103" s="8"/>
      <c r="L1103" s="12"/>
      <c r="M1103" s="13"/>
      <c r="N1103" s="13" t="str">
        <f>IFERROR(__xludf.DUMMYFUNCTION("IF(ISBLANK(M1103),"""",M1103*GOOGLEFINANCE(""USDGBP""))"),"")</f>
        <v/>
      </c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</row>
    <row r="1104">
      <c r="A1104" s="8" t="str">
        <f>IFERROR(__xludf.DUMMYFUNCTION("""COMPUTED_VALUE"""),"133389120151200750")</f>
        <v>133389120151200750</v>
      </c>
      <c r="B1104" s="9" t="str">
        <f>IFERROR(__xludf.DUMMYFUNCTION("""COMPUTED_VALUE"""),"France")</f>
        <v>France</v>
      </c>
      <c r="C1104" s="9" t="str">
        <f>IFERROR(__xludf.DUMMYFUNCTION("""COMPUTED_VALUE"""),"burgundy")</f>
        <v>burgundy</v>
      </c>
      <c r="D1104" s="9" t="str">
        <f>IFERROR(__xludf.DUMMYFUNCTION("""COMPUTED_VALUE"""),"Hubert Lignier, Chambolle-Musigny, Vieilles Vignes")</f>
        <v>Hubert Lignier, Chambolle-Musigny, Vieilles Vignes</v>
      </c>
      <c r="E1104" s="9">
        <f>IFERROR(__xludf.DUMMYFUNCTION("""COMPUTED_VALUE"""),2015.0)</f>
        <v>2015</v>
      </c>
      <c r="F1104" s="9">
        <f>IFERROR(__xludf.DUMMYFUNCTION("""COMPUTED_VALUE"""),750.0)</f>
        <v>750</v>
      </c>
      <c r="G1104" s="9">
        <f>IFERROR(__xludf.DUMMYFUNCTION("""COMPUTED_VALUE"""),12.0)</f>
        <v>12</v>
      </c>
      <c r="H1104" s="10">
        <f>IFERROR(__xludf.DUMMYFUNCTION("""COMPUTED_VALUE"""),1.0)</f>
        <v>1</v>
      </c>
      <c r="I1104" s="11">
        <f>IFERROR(__xludf.DUMMYFUNCTION("""COMPUTED_VALUE"""),896.0)</f>
        <v>896</v>
      </c>
      <c r="J1104" s="9" t="str">
        <f>IFERROR(__xludf.DUMMYFUNCTION("""COMPUTED_VALUE"""),"UK")</f>
        <v>UK</v>
      </c>
      <c r="K1104" s="8"/>
      <c r="L1104" s="12"/>
      <c r="M1104" s="13"/>
      <c r="N1104" s="13" t="str">
        <f>IFERROR(__xludf.DUMMYFUNCTION("IF(ISBLANK(M1104),"""",M1104*GOOGLEFINANCE(""USDGBP""))"),"")</f>
        <v/>
      </c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</row>
    <row r="1105">
      <c r="A1105" s="8" t="str">
        <f>IFERROR(__xludf.DUMMYFUNCTION("""COMPUTED_VALUE"""),"189013020190300750")</f>
        <v>189013020190300750</v>
      </c>
      <c r="B1105" s="9" t="str">
        <f>IFERROR(__xludf.DUMMYFUNCTION("""COMPUTED_VALUE"""),"France")</f>
        <v>France</v>
      </c>
      <c r="C1105" s="9" t="str">
        <f>IFERROR(__xludf.DUMMYFUNCTION("""COMPUTED_VALUE"""),"burgundy")</f>
        <v>burgundy</v>
      </c>
      <c r="D1105" s="9" t="str">
        <f>IFERROR(__xludf.DUMMYFUNCTION("""COMPUTED_VALUE"""),"Hubert Lignier, Clos de Vougeot Grand Cru")</f>
        <v>Hubert Lignier, Clos de Vougeot Grand Cru</v>
      </c>
      <c r="E1105" s="9">
        <f>IFERROR(__xludf.DUMMYFUNCTION("""COMPUTED_VALUE"""),2019.0)</f>
        <v>2019</v>
      </c>
      <c r="F1105" s="9">
        <f>IFERROR(__xludf.DUMMYFUNCTION("""COMPUTED_VALUE"""),750.0)</f>
        <v>750</v>
      </c>
      <c r="G1105" s="9">
        <f>IFERROR(__xludf.DUMMYFUNCTION("""COMPUTED_VALUE"""),3.0)</f>
        <v>3</v>
      </c>
      <c r="H1105" s="10">
        <f>IFERROR(__xludf.DUMMYFUNCTION("""COMPUTED_VALUE"""),2.0)</f>
        <v>2</v>
      </c>
      <c r="I1105" s="11">
        <f>IFERROR(__xludf.DUMMYFUNCTION("""COMPUTED_VALUE"""),698.0)</f>
        <v>698</v>
      </c>
      <c r="J1105" s="9" t="str">
        <f>IFERROR(__xludf.DUMMYFUNCTION("""COMPUTED_VALUE"""),"UK")</f>
        <v>UK</v>
      </c>
      <c r="K1105" s="8"/>
      <c r="L1105" s="12"/>
      <c r="M1105" s="13"/>
      <c r="N1105" s="13" t="str">
        <f>IFERROR(__xludf.DUMMYFUNCTION("IF(ISBLANK(M1105),"""",M1105*GOOGLEFINANCE(""USDGBP""))"),"")</f>
        <v/>
      </c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</row>
    <row r="1106">
      <c r="A1106" s="8" t="str">
        <f>IFERROR(__xludf.DUMMYFUNCTION("""COMPUTED_VALUE"""),"104526620140300750")</f>
        <v>104526620140300750</v>
      </c>
      <c r="B1106" s="9" t="str">
        <f>IFERROR(__xludf.DUMMYFUNCTION("""COMPUTED_VALUE"""),"France")</f>
        <v>France</v>
      </c>
      <c r="C1106" s="9" t="str">
        <f>IFERROR(__xludf.DUMMYFUNCTION("""COMPUTED_VALUE"""),"burgundy")</f>
        <v>burgundy</v>
      </c>
      <c r="D1106" s="9" t="str">
        <f>IFERROR(__xludf.DUMMYFUNCTION("""COMPUTED_VALUE"""),"Hubert Lignier, Clos de la Roche Grand Cru")</f>
        <v>Hubert Lignier, Clos de la Roche Grand Cru</v>
      </c>
      <c r="E1106" s="9">
        <f>IFERROR(__xludf.DUMMYFUNCTION("""COMPUTED_VALUE"""),2014.0)</f>
        <v>2014</v>
      </c>
      <c r="F1106" s="9">
        <f>IFERROR(__xludf.DUMMYFUNCTION("""COMPUTED_VALUE"""),750.0)</f>
        <v>750</v>
      </c>
      <c r="G1106" s="9">
        <f>IFERROR(__xludf.DUMMYFUNCTION("""COMPUTED_VALUE"""),3.0)</f>
        <v>3</v>
      </c>
      <c r="H1106" s="10">
        <f>IFERROR(__xludf.DUMMYFUNCTION("""COMPUTED_VALUE"""),1.0)</f>
        <v>1</v>
      </c>
      <c r="I1106" s="11">
        <f>IFERROR(__xludf.DUMMYFUNCTION("""COMPUTED_VALUE"""),1069.0)</f>
        <v>1069</v>
      </c>
      <c r="J1106" s="9" t="str">
        <f>IFERROR(__xludf.DUMMYFUNCTION("""COMPUTED_VALUE"""),"UK")</f>
        <v>UK</v>
      </c>
      <c r="K1106" s="8"/>
      <c r="L1106" s="12"/>
      <c r="M1106" s="13"/>
      <c r="N1106" s="13" t="str">
        <f>IFERROR(__xludf.DUMMYFUNCTION("IF(ISBLANK(M1106),"""",M1106*GOOGLEFINANCE(""USDGBP""))"),"")</f>
        <v/>
      </c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</row>
    <row r="1107">
      <c r="A1107" s="8" t="str">
        <f>IFERROR(__xludf.DUMMYFUNCTION("""COMPUTED_VALUE"""),"115249420130600750")</f>
        <v>115249420130600750</v>
      </c>
      <c r="B1107" s="9" t="str">
        <f>IFERROR(__xludf.DUMMYFUNCTION("""COMPUTED_VALUE"""),"France")</f>
        <v>France</v>
      </c>
      <c r="C1107" s="9" t="str">
        <f>IFERROR(__xludf.DUMMYFUNCTION("""COMPUTED_VALUE"""),"burgundy")</f>
        <v>burgundy</v>
      </c>
      <c r="D1107" s="9" t="str">
        <f>IFERROR(__xludf.DUMMYFUNCTION("""COMPUTED_VALUE"""),"Hubert Lignier, Gevrey-Chambertin Premier Cru, La Perriere")</f>
        <v>Hubert Lignier, Gevrey-Chambertin Premier Cru, La Perriere</v>
      </c>
      <c r="E1107" s="9">
        <f>IFERROR(__xludf.DUMMYFUNCTION("""COMPUTED_VALUE"""),2013.0)</f>
        <v>2013</v>
      </c>
      <c r="F1107" s="9">
        <f>IFERROR(__xludf.DUMMYFUNCTION("""COMPUTED_VALUE"""),750.0)</f>
        <v>750</v>
      </c>
      <c r="G1107" s="9">
        <f>IFERROR(__xludf.DUMMYFUNCTION("""COMPUTED_VALUE"""),6.0)</f>
        <v>6</v>
      </c>
      <c r="H1107" s="10">
        <f>IFERROR(__xludf.DUMMYFUNCTION("""COMPUTED_VALUE"""),1.0)</f>
        <v>1</v>
      </c>
      <c r="I1107" s="11">
        <f>IFERROR(__xludf.DUMMYFUNCTION("""COMPUTED_VALUE"""),493.0)</f>
        <v>493</v>
      </c>
      <c r="J1107" s="9" t="str">
        <f>IFERROR(__xludf.DUMMYFUNCTION("""COMPUTED_VALUE"""),"UK")</f>
        <v>UK</v>
      </c>
      <c r="K1107" s="8"/>
      <c r="L1107" s="12"/>
      <c r="M1107" s="13"/>
      <c r="N1107" s="13" t="str">
        <f>IFERROR(__xludf.DUMMYFUNCTION("IF(ISBLANK(M1107),"""",M1107*GOOGLEFINANCE(""USDGBP""))"),"")</f>
        <v/>
      </c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</row>
    <row r="1108">
      <c r="A1108" s="8" t="str">
        <f>IFERROR(__xludf.DUMMYFUNCTION("""COMPUTED_VALUE"""),"115249420150600750")</f>
        <v>115249420150600750</v>
      </c>
      <c r="B1108" s="9" t="str">
        <f>IFERROR(__xludf.DUMMYFUNCTION("""COMPUTED_VALUE"""),"France")</f>
        <v>France</v>
      </c>
      <c r="C1108" s="9" t="str">
        <f>IFERROR(__xludf.DUMMYFUNCTION("""COMPUTED_VALUE"""),"burgundy")</f>
        <v>burgundy</v>
      </c>
      <c r="D1108" s="9" t="str">
        <f>IFERROR(__xludf.DUMMYFUNCTION("""COMPUTED_VALUE"""),"Hubert Lignier, Gevrey-Chambertin Premier Cru, La Perriere")</f>
        <v>Hubert Lignier, Gevrey-Chambertin Premier Cru, La Perriere</v>
      </c>
      <c r="E1108" s="9">
        <f>IFERROR(__xludf.DUMMYFUNCTION("""COMPUTED_VALUE"""),2015.0)</f>
        <v>2015</v>
      </c>
      <c r="F1108" s="9">
        <f>IFERROR(__xludf.DUMMYFUNCTION("""COMPUTED_VALUE"""),750.0)</f>
        <v>750</v>
      </c>
      <c r="G1108" s="9">
        <f>IFERROR(__xludf.DUMMYFUNCTION("""COMPUTED_VALUE"""),6.0)</f>
        <v>6</v>
      </c>
      <c r="H1108" s="10">
        <f>IFERROR(__xludf.DUMMYFUNCTION("""COMPUTED_VALUE"""),1.0)</f>
        <v>1</v>
      </c>
      <c r="I1108" s="11">
        <f>IFERROR(__xludf.DUMMYFUNCTION("""COMPUTED_VALUE"""),627.0)</f>
        <v>627</v>
      </c>
      <c r="J1108" s="9" t="str">
        <f>IFERROR(__xludf.DUMMYFUNCTION("""COMPUTED_VALUE"""),"UK")</f>
        <v>UK</v>
      </c>
      <c r="K1108" s="8"/>
      <c r="L1108" s="12"/>
      <c r="M1108" s="13"/>
      <c r="N1108" s="13" t="str">
        <f>IFERROR(__xludf.DUMMYFUNCTION("IF(ISBLANK(M1108),"""",M1108*GOOGLEFINANCE(""USDGBP""))"),"")</f>
        <v/>
      </c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</row>
    <row r="1109">
      <c r="A1109" s="8" t="str">
        <f>IFERROR(__xludf.DUMMYFUNCTION("""COMPUTED_VALUE"""),"115416620161200750")</f>
        <v>115416620161200750</v>
      </c>
      <c r="B1109" s="9" t="str">
        <f>IFERROR(__xludf.DUMMYFUNCTION("""COMPUTED_VALUE"""),"France")</f>
        <v>France</v>
      </c>
      <c r="C1109" s="9" t="str">
        <f>IFERROR(__xludf.DUMMYFUNCTION("""COMPUTED_VALUE"""),"burgundy")</f>
        <v>burgundy</v>
      </c>
      <c r="D1109" s="9" t="str">
        <f>IFERROR(__xludf.DUMMYFUNCTION("""COMPUTED_VALUE"""),"Hubert Lignier, Morey-Saint-Denis Premier Cru, Clos Baulet")</f>
        <v>Hubert Lignier, Morey-Saint-Denis Premier Cru, Clos Baulet</v>
      </c>
      <c r="E1109" s="9">
        <f>IFERROR(__xludf.DUMMYFUNCTION("""COMPUTED_VALUE"""),2016.0)</f>
        <v>2016</v>
      </c>
      <c r="F1109" s="9">
        <f>IFERROR(__xludf.DUMMYFUNCTION("""COMPUTED_VALUE"""),750.0)</f>
        <v>750</v>
      </c>
      <c r="G1109" s="9">
        <f>IFERROR(__xludf.DUMMYFUNCTION("""COMPUTED_VALUE"""),12.0)</f>
        <v>12</v>
      </c>
      <c r="H1109" s="10">
        <f>IFERROR(__xludf.DUMMYFUNCTION("""COMPUTED_VALUE"""),2.0)</f>
        <v>2</v>
      </c>
      <c r="I1109" s="11">
        <f>IFERROR(__xludf.DUMMYFUNCTION("""COMPUTED_VALUE"""),840.0)</f>
        <v>840</v>
      </c>
      <c r="J1109" s="9" t="str">
        <f>IFERROR(__xludf.DUMMYFUNCTION("""COMPUTED_VALUE"""),"UK")</f>
        <v>UK</v>
      </c>
      <c r="K1109" s="8"/>
      <c r="L1109" s="12"/>
      <c r="M1109" s="13"/>
      <c r="N1109" s="13" t="str">
        <f>IFERROR(__xludf.DUMMYFUNCTION("IF(ISBLANK(M1109),"""",M1109*GOOGLEFINANCE(""USDGBP""))"),"")</f>
        <v/>
      </c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</row>
    <row r="1110">
      <c r="A1110" s="8" t="str">
        <f>IFERROR(__xludf.DUMMYFUNCTION("""COMPUTED_VALUE"""),"104536720170600750")</f>
        <v>104536720170600750</v>
      </c>
      <c r="B1110" s="9" t="str">
        <f>IFERROR(__xludf.DUMMYFUNCTION("""COMPUTED_VALUE"""),"France")</f>
        <v>France</v>
      </c>
      <c r="C1110" s="9" t="str">
        <f>IFERROR(__xludf.DUMMYFUNCTION("""COMPUTED_VALUE"""),"burgundy")</f>
        <v>burgundy</v>
      </c>
      <c r="D1110" s="9" t="str">
        <f>IFERROR(__xludf.DUMMYFUNCTION("""COMPUTED_VALUE"""),"Hubert Lignier, Morey-Saint-Denis Premier Cru, La Riotte")</f>
        <v>Hubert Lignier, Morey-Saint-Denis Premier Cru, La Riotte</v>
      </c>
      <c r="E1110" s="9">
        <f>IFERROR(__xludf.DUMMYFUNCTION("""COMPUTED_VALUE"""),2017.0)</f>
        <v>2017</v>
      </c>
      <c r="F1110" s="9">
        <f>IFERROR(__xludf.DUMMYFUNCTION("""COMPUTED_VALUE"""),750.0)</f>
        <v>750</v>
      </c>
      <c r="G1110" s="9">
        <f>IFERROR(__xludf.DUMMYFUNCTION("""COMPUTED_VALUE"""),6.0)</f>
        <v>6</v>
      </c>
      <c r="H1110" s="10">
        <f>IFERROR(__xludf.DUMMYFUNCTION("""COMPUTED_VALUE"""),1.0)</f>
        <v>1</v>
      </c>
      <c r="I1110" s="11">
        <f>IFERROR(__xludf.DUMMYFUNCTION("""COMPUTED_VALUE"""),710.0)</f>
        <v>710</v>
      </c>
      <c r="J1110" s="9" t="str">
        <f>IFERROR(__xludf.DUMMYFUNCTION("""COMPUTED_VALUE"""),"UK")</f>
        <v>UK</v>
      </c>
      <c r="K1110" s="8"/>
      <c r="L1110" s="12"/>
      <c r="M1110" s="13"/>
      <c r="N1110" s="13" t="str">
        <f>IFERROR(__xludf.DUMMYFUNCTION("IF(ISBLANK(M1110),"""",M1110*GOOGLEFINANCE(""USDGBP""))"),"")</f>
        <v/>
      </c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</row>
    <row r="1111">
      <c r="A1111" s="8" t="str">
        <f>IFERROR(__xludf.DUMMYFUNCTION("""COMPUTED_VALUE"""),"104534120130600750")</f>
        <v>104534120130600750</v>
      </c>
      <c r="B1111" s="9" t="str">
        <f>IFERROR(__xludf.DUMMYFUNCTION("""COMPUTED_VALUE"""),"France")</f>
        <v>France</v>
      </c>
      <c r="C1111" s="9" t="str">
        <f>IFERROR(__xludf.DUMMYFUNCTION("""COMPUTED_VALUE"""),"burgundy")</f>
        <v>burgundy</v>
      </c>
      <c r="D1111" s="9" t="str">
        <f>IFERROR(__xludf.DUMMYFUNCTION("""COMPUTED_VALUE"""),"Hubert Lignier, Morey-Saint-Denis Premier Cru, Les Chaffots")</f>
        <v>Hubert Lignier, Morey-Saint-Denis Premier Cru, Les Chaffots</v>
      </c>
      <c r="E1111" s="9">
        <f>IFERROR(__xludf.DUMMYFUNCTION("""COMPUTED_VALUE"""),2013.0)</f>
        <v>2013</v>
      </c>
      <c r="F1111" s="9">
        <f>IFERROR(__xludf.DUMMYFUNCTION("""COMPUTED_VALUE"""),750.0)</f>
        <v>750</v>
      </c>
      <c r="G1111" s="9">
        <f>IFERROR(__xludf.DUMMYFUNCTION("""COMPUTED_VALUE"""),6.0)</f>
        <v>6</v>
      </c>
      <c r="H1111" s="10">
        <f>IFERROR(__xludf.DUMMYFUNCTION("""COMPUTED_VALUE"""),1.0)</f>
        <v>1</v>
      </c>
      <c r="I1111" s="11">
        <f>IFERROR(__xludf.DUMMYFUNCTION("""COMPUTED_VALUE"""),510.0)</f>
        <v>510</v>
      </c>
      <c r="J1111" s="9" t="str">
        <f>IFERROR(__xludf.DUMMYFUNCTION("""COMPUTED_VALUE"""),"UK")</f>
        <v>UK</v>
      </c>
      <c r="K1111" s="8"/>
      <c r="L1111" s="12"/>
      <c r="M1111" s="13"/>
      <c r="N1111" s="13" t="str">
        <f>IFERROR(__xludf.DUMMYFUNCTION("IF(ISBLANK(M1111),"""",M1111*GOOGLEFINANCE(""USDGBP""))"),"")</f>
        <v/>
      </c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</row>
    <row r="1112">
      <c r="A1112" s="8" t="str">
        <f>IFERROR(__xludf.DUMMYFUNCTION("""COMPUTED_VALUE"""),"104532520181200750")</f>
        <v>104532520181200750</v>
      </c>
      <c r="B1112" s="9" t="str">
        <f>IFERROR(__xludf.DUMMYFUNCTION("""COMPUTED_VALUE"""),"France")</f>
        <v>France</v>
      </c>
      <c r="C1112" s="9" t="str">
        <f>IFERROR(__xludf.DUMMYFUNCTION("""COMPUTED_VALUE"""),"burgundy")</f>
        <v>burgundy</v>
      </c>
      <c r="D1112" s="9" t="str">
        <f>IFERROR(__xludf.DUMMYFUNCTION("""COMPUTED_VALUE"""),"Hubert Lignier, Morey-Saint-Denis, Rouge")</f>
        <v>Hubert Lignier, Morey-Saint-Denis, Rouge</v>
      </c>
      <c r="E1112" s="9">
        <f>IFERROR(__xludf.DUMMYFUNCTION("""COMPUTED_VALUE"""),2018.0)</f>
        <v>2018</v>
      </c>
      <c r="F1112" s="9">
        <f>IFERROR(__xludf.DUMMYFUNCTION("""COMPUTED_VALUE"""),750.0)</f>
        <v>750</v>
      </c>
      <c r="G1112" s="9">
        <f>IFERROR(__xludf.DUMMYFUNCTION("""COMPUTED_VALUE"""),12.0)</f>
        <v>12</v>
      </c>
      <c r="H1112" s="10">
        <f>IFERROR(__xludf.DUMMYFUNCTION("""COMPUTED_VALUE"""),1.0)</f>
        <v>1</v>
      </c>
      <c r="I1112" s="11">
        <f>IFERROR(__xludf.DUMMYFUNCTION("""COMPUTED_VALUE"""),1969.0)</f>
        <v>1969</v>
      </c>
      <c r="J1112" s="9" t="str">
        <f>IFERROR(__xludf.DUMMYFUNCTION("""COMPUTED_VALUE"""),"UK")</f>
        <v>UK</v>
      </c>
      <c r="K1112" s="8"/>
      <c r="L1112" s="12"/>
      <c r="M1112" s="13"/>
      <c r="N1112" s="13" t="str">
        <f>IFERROR(__xludf.DUMMYFUNCTION("IF(ISBLANK(M1112),"""",M1112*GOOGLEFINANCE(""USDGBP""))"),"")</f>
        <v/>
      </c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</row>
    <row r="1113">
      <c r="A1113" s="8" t="str">
        <f>IFERROR(__xludf.DUMMYFUNCTION("""COMPUTED_VALUE"""),"104537020190301500")</f>
        <v>104537020190301500</v>
      </c>
      <c r="B1113" s="9" t="str">
        <f>IFERROR(__xludf.DUMMYFUNCTION("""COMPUTED_VALUE"""),"France")</f>
        <v>France</v>
      </c>
      <c r="C1113" s="9" t="str">
        <f>IFERROR(__xludf.DUMMYFUNCTION("""COMPUTED_VALUE"""),"burgundy")</f>
        <v>burgundy</v>
      </c>
      <c r="D1113" s="9" t="str">
        <f>IFERROR(__xludf.DUMMYFUNCTION("""COMPUTED_VALUE"""),"Hubert Lignier, Morey-Saint-Denis, Vieilles Vignes")</f>
        <v>Hubert Lignier, Morey-Saint-Denis, Vieilles Vignes</v>
      </c>
      <c r="E1113" s="9">
        <f>IFERROR(__xludf.DUMMYFUNCTION("""COMPUTED_VALUE"""),2019.0)</f>
        <v>2019</v>
      </c>
      <c r="F1113" s="9">
        <f>IFERROR(__xludf.DUMMYFUNCTION("""COMPUTED_VALUE"""),1500.0)</f>
        <v>1500</v>
      </c>
      <c r="G1113" s="9">
        <f>IFERROR(__xludf.DUMMYFUNCTION("""COMPUTED_VALUE"""),3.0)</f>
        <v>3</v>
      </c>
      <c r="H1113" s="10">
        <f>IFERROR(__xludf.DUMMYFUNCTION("""COMPUTED_VALUE"""),1.0)</f>
        <v>1</v>
      </c>
      <c r="I1113" s="11">
        <f>IFERROR(__xludf.DUMMYFUNCTION("""COMPUTED_VALUE"""),720.0)</f>
        <v>720</v>
      </c>
      <c r="J1113" s="9" t="str">
        <f>IFERROR(__xludf.DUMMYFUNCTION("""COMPUTED_VALUE"""),"UK")</f>
        <v>UK</v>
      </c>
      <c r="K1113" s="8"/>
      <c r="L1113" s="12"/>
      <c r="M1113" s="13"/>
      <c r="N1113" s="13" t="str">
        <f>IFERROR(__xludf.DUMMYFUNCTION("IF(ISBLANK(M1113),"""",M1113*GOOGLEFINANCE(""USDGBP""))"),"")</f>
        <v/>
      </c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</row>
    <row r="1114">
      <c r="A1114" s="8" t="str">
        <f>IFERROR(__xludf.DUMMYFUNCTION("""COMPUTED_VALUE"""),"117088120121200750")</f>
        <v>117088120121200750</v>
      </c>
      <c r="B1114" s="9" t="str">
        <f>IFERROR(__xludf.DUMMYFUNCTION("""COMPUTED_VALUE"""),"France")</f>
        <v>France</v>
      </c>
      <c r="C1114" s="9" t="str">
        <f>IFERROR(__xludf.DUMMYFUNCTION("""COMPUTED_VALUE"""),"burgundy")</f>
        <v>burgundy</v>
      </c>
      <c r="D1114" s="9" t="str">
        <f>IFERROR(__xludf.DUMMYFUNCTION("""COMPUTED_VALUE"""),"Hubert Lignier, Nuits-Saint-Georges Premier Cru, Les Didiers")</f>
        <v>Hubert Lignier, Nuits-Saint-Georges Premier Cru, Les Didiers</v>
      </c>
      <c r="E1114" s="9">
        <f>IFERROR(__xludf.DUMMYFUNCTION("""COMPUTED_VALUE"""),2012.0)</f>
        <v>2012</v>
      </c>
      <c r="F1114" s="9">
        <f>IFERROR(__xludf.DUMMYFUNCTION("""COMPUTED_VALUE"""),750.0)</f>
        <v>750</v>
      </c>
      <c r="G1114" s="9">
        <f>IFERROR(__xludf.DUMMYFUNCTION("""COMPUTED_VALUE"""),12.0)</f>
        <v>12</v>
      </c>
      <c r="H1114" s="10">
        <f>IFERROR(__xludf.DUMMYFUNCTION("""COMPUTED_VALUE"""),1.0)</f>
        <v>1</v>
      </c>
      <c r="I1114" s="11">
        <f>IFERROR(__xludf.DUMMYFUNCTION("""COMPUTED_VALUE"""),2452.0)</f>
        <v>2452</v>
      </c>
      <c r="J1114" s="9" t="str">
        <f>IFERROR(__xludf.DUMMYFUNCTION("""COMPUTED_VALUE"""),"UK")</f>
        <v>UK</v>
      </c>
      <c r="K1114" s="8"/>
      <c r="L1114" s="12"/>
      <c r="M1114" s="13"/>
      <c r="N1114" s="13" t="str">
        <f>IFERROR(__xludf.DUMMYFUNCTION("IF(ISBLANK(M1114),"""",M1114*GOOGLEFINANCE(""USDGBP""))"),"")</f>
        <v/>
      </c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</row>
    <row r="1115">
      <c r="A1115" s="8" t="str">
        <f>IFERROR(__xludf.DUMMYFUNCTION("""COMPUTED_VALUE"""),"117088120131200750")</f>
        <v>117088120131200750</v>
      </c>
      <c r="B1115" s="9" t="str">
        <f>IFERROR(__xludf.DUMMYFUNCTION("""COMPUTED_VALUE"""),"France")</f>
        <v>France</v>
      </c>
      <c r="C1115" s="9" t="str">
        <f>IFERROR(__xludf.DUMMYFUNCTION("""COMPUTED_VALUE"""),"burgundy")</f>
        <v>burgundy</v>
      </c>
      <c r="D1115" s="9" t="str">
        <f>IFERROR(__xludf.DUMMYFUNCTION("""COMPUTED_VALUE"""),"Hubert Lignier, Nuits-Saint-Georges Premier Cru, Les Didiers")</f>
        <v>Hubert Lignier, Nuits-Saint-Georges Premier Cru, Les Didiers</v>
      </c>
      <c r="E1115" s="9">
        <f>IFERROR(__xludf.DUMMYFUNCTION("""COMPUTED_VALUE"""),2013.0)</f>
        <v>2013</v>
      </c>
      <c r="F1115" s="9">
        <f>IFERROR(__xludf.DUMMYFUNCTION("""COMPUTED_VALUE"""),750.0)</f>
        <v>750</v>
      </c>
      <c r="G1115" s="9">
        <f>IFERROR(__xludf.DUMMYFUNCTION("""COMPUTED_VALUE"""),12.0)</f>
        <v>12</v>
      </c>
      <c r="H1115" s="10">
        <f>IFERROR(__xludf.DUMMYFUNCTION("""COMPUTED_VALUE"""),1.0)</f>
        <v>1</v>
      </c>
      <c r="I1115" s="11">
        <f>IFERROR(__xludf.DUMMYFUNCTION("""COMPUTED_VALUE"""),1007.0)</f>
        <v>1007</v>
      </c>
      <c r="J1115" s="9" t="str">
        <f>IFERROR(__xludf.DUMMYFUNCTION("""COMPUTED_VALUE"""),"UK")</f>
        <v>UK</v>
      </c>
      <c r="K1115" s="8"/>
      <c r="L1115" s="12"/>
      <c r="M1115" s="13"/>
      <c r="N1115" s="13" t="str">
        <f>IFERROR(__xludf.DUMMYFUNCTION("IF(ISBLANK(M1115),"""",M1115*GOOGLEFINANCE(""USDGBP""))"),"")</f>
        <v/>
      </c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</row>
    <row r="1116">
      <c r="A1116" s="8" t="str">
        <f>IFERROR(__xludf.DUMMYFUNCTION("""COMPUTED_VALUE"""),"104965520180600750")</f>
        <v>104965520180600750</v>
      </c>
      <c r="B1116" s="9" t="str">
        <f>IFERROR(__xludf.DUMMYFUNCTION("""COMPUTED_VALUE"""),"France")</f>
        <v>France</v>
      </c>
      <c r="C1116" s="9" t="str">
        <f>IFERROR(__xludf.DUMMYFUNCTION("""COMPUTED_VALUE"""),"burgundy")</f>
        <v>burgundy</v>
      </c>
      <c r="D1116" s="9" t="str">
        <f>IFERROR(__xludf.DUMMYFUNCTION("""COMPUTED_VALUE"""),"Jacques-Frederic Mugnier, Chambolle-Musigny Premier Cru, Les Fuees")</f>
        <v>Jacques-Frederic Mugnier, Chambolle-Musigny Premier Cru, Les Fuees</v>
      </c>
      <c r="E1116" s="9">
        <f>IFERROR(__xludf.DUMMYFUNCTION("""COMPUTED_VALUE"""),2018.0)</f>
        <v>2018</v>
      </c>
      <c r="F1116" s="9">
        <f>IFERROR(__xludf.DUMMYFUNCTION("""COMPUTED_VALUE"""),750.0)</f>
        <v>750</v>
      </c>
      <c r="G1116" s="9">
        <f>IFERROR(__xludf.DUMMYFUNCTION("""COMPUTED_VALUE"""),6.0)</f>
        <v>6</v>
      </c>
      <c r="H1116" s="10">
        <f>IFERROR(__xludf.DUMMYFUNCTION("""COMPUTED_VALUE"""),1.0)</f>
        <v>1</v>
      </c>
      <c r="I1116" s="11">
        <f>IFERROR(__xludf.DUMMYFUNCTION("""COMPUTED_VALUE"""),4368.0)</f>
        <v>4368</v>
      </c>
      <c r="J1116" s="9" t="str">
        <f>IFERROR(__xludf.DUMMYFUNCTION("""COMPUTED_VALUE"""),"UK")</f>
        <v>UK</v>
      </c>
      <c r="K1116" s="8"/>
      <c r="L1116" s="12"/>
      <c r="M1116" s="13"/>
      <c r="N1116" s="13" t="str">
        <f>IFERROR(__xludf.DUMMYFUNCTION("IF(ISBLANK(M1116),"""",M1116*GOOGLEFINANCE(""USDGBP""))"),"")</f>
        <v/>
      </c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</row>
    <row r="1117">
      <c r="A1117" s="8" t="str">
        <f>IFERROR(__xludf.DUMMYFUNCTION("""COMPUTED_VALUE"""),"104967120170600750")</f>
        <v>104967120170600750</v>
      </c>
      <c r="B1117" s="9" t="str">
        <f>IFERROR(__xludf.DUMMYFUNCTION("""COMPUTED_VALUE"""),"France")</f>
        <v>France</v>
      </c>
      <c r="C1117" s="9" t="str">
        <f>IFERROR(__xludf.DUMMYFUNCTION("""COMPUTED_VALUE"""),"burgundy")</f>
        <v>burgundy</v>
      </c>
      <c r="D1117" s="9" t="str">
        <f>IFERROR(__xludf.DUMMYFUNCTION("""COMPUTED_VALUE"""),"Jacques-Frederic Mugnier, Nuits-Saint-Georges Premier Cru, Clos de la Marechale Rouge")</f>
        <v>Jacques-Frederic Mugnier, Nuits-Saint-Georges Premier Cru, Clos de la Marechale Rouge</v>
      </c>
      <c r="E1117" s="9">
        <f>IFERROR(__xludf.DUMMYFUNCTION("""COMPUTED_VALUE"""),2017.0)</f>
        <v>2017</v>
      </c>
      <c r="F1117" s="9">
        <f>IFERROR(__xludf.DUMMYFUNCTION("""COMPUTED_VALUE"""),750.0)</f>
        <v>750</v>
      </c>
      <c r="G1117" s="9">
        <f>IFERROR(__xludf.DUMMYFUNCTION("""COMPUTED_VALUE"""),6.0)</f>
        <v>6</v>
      </c>
      <c r="H1117" s="10">
        <f>IFERROR(__xludf.DUMMYFUNCTION("""COMPUTED_VALUE"""),1.0)</f>
        <v>1</v>
      </c>
      <c r="I1117" s="11">
        <f>IFERROR(__xludf.DUMMYFUNCTION("""COMPUTED_VALUE"""),827.0)</f>
        <v>827</v>
      </c>
      <c r="J1117" s="9" t="str">
        <f>IFERROR(__xludf.DUMMYFUNCTION("""COMPUTED_VALUE"""),"UK")</f>
        <v>UK</v>
      </c>
      <c r="K1117" s="8"/>
      <c r="L1117" s="12"/>
      <c r="M1117" s="13"/>
      <c r="N1117" s="13" t="str">
        <f>IFERROR(__xludf.DUMMYFUNCTION("IF(ISBLANK(M1117),"""",M1117*GOOGLEFINANCE(""USDGBP""))"),"")</f>
        <v/>
      </c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</row>
    <row r="1118">
      <c r="A1118" s="8" t="str">
        <f>IFERROR(__xludf.DUMMYFUNCTION("""COMPUTED_VALUE"""),"105394820171200750")</f>
        <v>105394820171200750</v>
      </c>
      <c r="B1118" s="9" t="str">
        <f>IFERROR(__xludf.DUMMYFUNCTION("""COMPUTED_VALUE"""),"France")</f>
        <v>France</v>
      </c>
      <c r="C1118" s="9" t="str">
        <f>IFERROR(__xludf.DUMMYFUNCTION("""COMPUTED_VALUE"""),"burgundy")</f>
        <v>burgundy</v>
      </c>
      <c r="D1118" s="9" t="str">
        <f>IFERROR(__xludf.DUMMYFUNCTION("""COMPUTED_VALUE"""),"Jean-Claude Ramonet, Chassagne-Montrachet Premier Cru, Clos de la Boudriotte Rouge")</f>
        <v>Jean-Claude Ramonet, Chassagne-Montrachet Premier Cru, Clos de la Boudriotte Rouge</v>
      </c>
      <c r="E1118" s="9">
        <f>IFERROR(__xludf.DUMMYFUNCTION("""COMPUTED_VALUE"""),2017.0)</f>
        <v>2017</v>
      </c>
      <c r="F1118" s="9">
        <f>IFERROR(__xludf.DUMMYFUNCTION("""COMPUTED_VALUE"""),750.0)</f>
        <v>750</v>
      </c>
      <c r="G1118" s="9">
        <f>IFERROR(__xludf.DUMMYFUNCTION("""COMPUTED_VALUE"""),12.0)</f>
        <v>12</v>
      </c>
      <c r="H1118" s="10">
        <f>IFERROR(__xludf.DUMMYFUNCTION("""COMPUTED_VALUE"""),1.0)</f>
        <v>1</v>
      </c>
      <c r="I1118" s="11">
        <f>IFERROR(__xludf.DUMMYFUNCTION("""COMPUTED_VALUE"""),1427.0)</f>
        <v>1427</v>
      </c>
      <c r="J1118" s="9" t="str">
        <f>IFERROR(__xludf.DUMMYFUNCTION("""COMPUTED_VALUE"""),"UK")</f>
        <v>UK</v>
      </c>
      <c r="K1118" s="8"/>
      <c r="L1118" s="12"/>
      <c r="M1118" s="13"/>
      <c r="N1118" s="13" t="str">
        <f>IFERROR(__xludf.DUMMYFUNCTION("IF(ISBLANK(M1118),"""",M1118*GOOGLEFINANCE(""USDGBP""))"),"")</f>
        <v/>
      </c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</row>
    <row r="1119">
      <c r="A1119" s="8" t="str">
        <f>IFERROR(__xludf.DUMMYFUNCTION("""COMPUTED_VALUE"""),"143152620181200750")</f>
        <v>143152620181200750</v>
      </c>
      <c r="B1119" s="9" t="str">
        <f>IFERROR(__xludf.DUMMYFUNCTION("""COMPUTED_VALUE"""),"France")</f>
        <v>France</v>
      </c>
      <c r="C1119" s="9" t="str">
        <f>IFERROR(__xludf.DUMMYFUNCTION("""COMPUTED_VALUE"""),"burgundy")</f>
        <v>burgundy</v>
      </c>
      <c r="D1119" s="9" t="str">
        <f>IFERROR(__xludf.DUMMYFUNCTION("""COMPUTED_VALUE"""),"Jean-Claude Ramonet, Pernand-Vergelesses, Les Belles Filles Rouge")</f>
        <v>Jean-Claude Ramonet, Pernand-Vergelesses, Les Belles Filles Rouge</v>
      </c>
      <c r="E1119" s="9">
        <f>IFERROR(__xludf.DUMMYFUNCTION("""COMPUTED_VALUE"""),2018.0)</f>
        <v>2018</v>
      </c>
      <c r="F1119" s="9">
        <f>IFERROR(__xludf.DUMMYFUNCTION("""COMPUTED_VALUE"""),750.0)</f>
        <v>750</v>
      </c>
      <c r="G1119" s="9">
        <f>IFERROR(__xludf.DUMMYFUNCTION("""COMPUTED_VALUE"""),12.0)</f>
        <v>12</v>
      </c>
      <c r="H1119" s="10">
        <f>IFERROR(__xludf.DUMMYFUNCTION("""COMPUTED_VALUE"""),1.0)</f>
        <v>1</v>
      </c>
      <c r="I1119" s="11">
        <f>IFERROR(__xludf.DUMMYFUNCTION("""COMPUTED_VALUE"""),526.0)</f>
        <v>526</v>
      </c>
      <c r="J1119" s="9" t="str">
        <f>IFERROR(__xludf.DUMMYFUNCTION("""COMPUTED_VALUE"""),"UK")</f>
        <v>UK</v>
      </c>
      <c r="K1119" s="8"/>
      <c r="L1119" s="12"/>
      <c r="M1119" s="13"/>
      <c r="N1119" s="13" t="str">
        <f>IFERROR(__xludf.DUMMYFUNCTION("IF(ISBLANK(M1119),"""",M1119*GOOGLEFINANCE(""USDGBP""))"),"")</f>
        <v/>
      </c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</row>
    <row r="1120">
      <c r="A1120" s="8" t="str">
        <f>IFERROR(__xludf.DUMMYFUNCTION("""COMPUTED_VALUE"""),"121693220181200750")</f>
        <v>121693220181200750</v>
      </c>
      <c r="B1120" s="9" t="str">
        <f>IFERROR(__xludf.DUMMYFUNCTION("""COMPUTED_VALUE"""),"France")</f>
        <v>France</v>
      </c>
      <c r="C1120" s="9" t="str">
        <f>IFERROR(__xludf.DUMMYFUNCTION("""COMPUTED_VALUE"""),"burgundy")</f>
        <v>burgundy</v>
      </c>
      <c r="D1120" s="9" t="str">
        <f>IFERROR(__xludf.DUMMYFUNCTION("""COMPUTED_VALUE"""),"Jean-Luc &amp; Eric Burguet, Gevrey-Chambertin, Mes Favorites Vieilles Vignes")</f>
        <v>Jean-Luc &amp; Eric Burguet, Gevrey-Chambertin, Mes Favorites Vieilles Vignes</v>
      </c>
      <c r="E1120" s="9">
        <f>IFERROR(__xludf.DUMMYFUNCTION("""COMPUTED_VALUE"""),2018.0)</f>
        <v>2018</v>
      </c>
      <c r="F1120" s="9">
        <f>IFERROR(__xludf.DUMMYFUNCTION("""COMPUTED_VALUE"""),750.0)</f>
        <v>750</v>
      </c>
      <c r="G1120" s="9">
        <f>IFERROR(__xludf.DUMMYFUNCTION("""COMPUTED_VALUE"""),12.0)</f>
        <v>12</v>
      </c>
      <c r="H1120" s="10">
        <f>IFERROR(__xludf.DUMMYFUNCTION("""COMPUTED_VALUE"""),10.0)</f>
        <v>10</v>
      </c>
      <c r="I1120" s="11">
        <f>IFERROR(__xludf.DUMMYFUNCTION("""COMPUTED_VALUE"""),728.0)</f>
        <v>728</v>
      </c>
      <c r="J1120" s="9" t="str">
        <f>IFERROR(__xludf.DUMMYFUNCTION("""COMPUTED_VALUE"""),"UK")</f>
        <v>UK</v>
      </c>
      <c r="K1120" s="8"/>
      <c r="L1120" s="12"/>
      <c r="M1120" s="13"/>
      <c r="N1120" s="13" t="str">
        <f>IFERROR(__xludf.DUMMYFUNCTION("IF(ISBLANK(M1120),"""",M1120*GOOGLEFINANCE(""USDGBP""))"),"")</f>
        <v/>
      </c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</row>
    <row r="1121">
      <c r="A1121" s="8" t="str">
        <f>IFERROR(__xludf.DUMMYFUNCTION("""COMPUTED_VALUE"""),"136168720181200750")</f>
        <v>136168720181200750</v>
      </c>
      <c r="B1121" s="9" t="str">
        <f>IFERROR(__xludf.DUMMYFUNCTION("""COMPUTED_VALUE"""),"France")</f>
        <v>France</v>
      </c>
      <c r="C1121" s="9" t="str">
        <f>IFERROR(__xludf.DUMMYFUNCTION("""COMPUTED_VALUE"""),"burgundy")</f>
        <v>burgundy</v>
      </c>
      <c r="D1121" s="9" t="str">
        <f>IFERROR(__xludf.DUMMYFUNCTION("""COMPUTED_VALUE"""),"Jean-Luc &amp; Eric Burguet, Vosne-Romanee Premier Cru, Les Rouges Dessus")</f>
        <v>Jean-Luc &amp; Eric Burguet, Vosne-Romanee Premier Cru, Les Rouges Dessus</v>
      </c>
      <c r="E1121" s="9">
        <f>IFERROR(__xludf.DUMMYFUNCTION("""COMPUTED_VALUE"""),2018.0)</f>
        <v>2018</v>
      </c>
      <c r="F1121" s="9">
        <f>IFERROR(__xludf.DUMMYFUNCTION("""COMPUTED_VALUE"""),750.0)</f>
        <v>750</v>
      </c>
      <c r="G1121" s="9">
        <f>IFERROR(__xludf.DUMMYFUNCTION("""COMPUTED_VALUE"""),12.0)</f>
        <v>12</v>
      </c>
      <c r="H1121" s="10">
        <f>IFERROR(__xludf.DUMMYFUNCTION("""COMPUTED_VALUE"""),3.0)</f>
        <v>3</v>
      </c>
      <c r="I1121" s="11">
        <f>IFERROR(__xludf.DUMMYFUNCTION("""COMPUTED_VALUE"""),1198.0)</f>
        <v>1198</v>
      </c>
      <c r="J1121" s="9" t="str">
        <f>IFERROR(__xludf.DUMMYFUNCTION("""COMPUTED_VALUE"""),"UK")</f>
        <v>UK</v>
      </c>
      <c r="K1121" s="8"/>
      <c r="L1121" s="12"/>
      <c r="M1121" s="13"/>
      <c r="N1121" s="13" t="str">
        <f>IFERROR(__xludf.DUMMYFUNCTION("IF(ISBLANK(M1121),"""",M1121*GOOGLEFINANCE(""USDGBP""))"),"")</f>
        <v/>
      </c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</row>
    <row r="1122">
      <c r="A1122" s="8" t="str">
        <f>IFERROR(__xludf.DUMMYFUNCTION("""COMPUTED_VALUE"""),"104725720190600750")</f>
        <v>104725720190600750</v>
      </c>
      <c r="B1122" s="9" t="str">
        <f>IFERROR(__xludf.DUMMYFUNCTION("""COMPUTED_VALUE"""),"France")</f>
        <v>France</v>
      </c>
      <c r="C1122" s="9" t="str">
        <f>IFERROR(__xludf.DUMMYFUNCTION("""COMPUTED_VALUE"""),"burgundy")</f>
        <v>burgundy</v>
      </c>
      <c r="D1122" s="9" t="str">
        <f>IFERROR(__xludf.DUMMYFUNCTION("""COMPUTED_VALUE"""),"Jean-Marc Millot, Echezeaux Grand Cru")</f>
        <v>Jean-Marc Millot, Echezeaux Grand Cru</v>
      </c>
      <c r="E1122" s="9">
        <f>IFERROR(__xludf.DUMMYFUNCTION("""COMPUTED_VALUE"""),2019.0)</f>
        <v>2019</v>
      </c>
      <c r="F1122" s="9">
        <f>IFERROR(__xludf.DUMMYFUNCTION("""COMPUTED_VALUE"""),750.0)</f>
        <v>750</v>
      </c>
      <c r="G1122" s="9">
        <f>IFERROR(__xludf.DUMMYFUNCTION("""COMPUTED_VALUE"""),6.0)</f>
        <v>6</v>
      </c>
      <c r="H1122" s="10">
        <f>IFERROR(__xludf.DUMMYFUNCTION("""COMPUTED_VALUE"""),1.0)</f>
        <v>1</v>
      </c>
      <c r="I1122" s="11">
        <f>IFERROR(__xludf.DUMMYFUNCTION("""COMPUTED_VALUE"""),1259.0)</f>
        <v>1259</v>
      </c>
      <c r="J1122" s="9" t="str">
        <f>IFERROR(__xludf.DUMMYFUNCTION("""COMPUTED_VALUE"""),"UK")</f>
        <v>UK</v>
      </c>
      <c r="K1122" s="8"/>
      <c r="L1122" s="12"/>
      <c r="M1122" s="13"/>
      <c r="N1122" s="13" t="str">
        <f>IFERROR(__xludf.DUMMYFUNCTION("IF(ISBLANK(M1122),"""",M1122*GOOGLEFINANCE(""USDGBP""))"),"")</f>
        <v/>
      </c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</row>
    <row r="1123">
      <c r="A1123" s="8" t="str">
        <f>IFERROR(__xludf.DUMMYFUNCTION("""COMPUTED_VALUE"""),"104725720210600750")</f>
        <v>104725720210600750</v>
      </c>
      <c r="B1123" s="9" t="str">
        <f>IFERROR(__xludf.DUMMYFUNCTION("""COMPUTED_VALUE"""),"France")</f>
        <v>France</v>
      </c>
      <c r="C1123" s="9" t="str">
        <f>IFERROR(__xludf.DUMMYFUNCTION("""COMPUTED_VALUE"""),"burgundy")</f>
        <v>burgundy</v>
      </c>
      <c r="D1123" s="9" t="str">
        <f>IFERROR(__xludf.DUMMYFUNCTION("""COMPUTED_VALUE"""),"Jean-Marc Millot, Echezeaux Grand Cru")</f>
        <v>Jean-Marc Millot, Echezeaux Grand Cru</v>
      </c>
      <c r="E1123" s="9">
        <f>IFERROR(__xludf.DUMMYFUNCTION("""COMPUTED_VALUE"""),2021.0)</f>
        <v>2021</v>
      </c>
      <c r="F1123" s="9">
        <f>IFERROR(__xludf.DUMMYFUNCTION("""COMPUTED_VALUE"""),750.0)</f>
        <v>750</v>
      </c>
      <c r="G1123" s="9">
        <f>IFERROR(__xludf.DUMMYFUNCTION("""COMPUTED_VALUE"""),6.0)</f>
        <v>6</v>
      </c>
      <c r="H1123" s="10">
        <f>IFERROR(__xludf.DUMMYFUNCTION("""COMPUTED_VALUE"""),1.0)</f>
        <v>1</v>
      </c>
      <c r="I1123" s="11">
        <f>IFERROR(__xludf.DUMMYFUNCTION("""COMPUTED_VALUE"""),1333.0)</f>
        <v>1333</v>
      </c>
      <c r="J1123" s="9" t="str">
        <f>IFERROR(__xludf.DUMMYFUNCTION("""COMPUTED_VALUE"""),"UK")</f>
        <v>UK</v>
      </c>
      <c r="K1123" s="8"/>
      <c r="L1123" s="12"/>
      <c r="M1123" s="13"/>
      <c r="N1123" s="13" t="str">
        <f>IFERROR(__xludf.DUMMYFUNCTION("IF(ISBLANK(M1123),"""",M1123*GOOGLEFINANCE(""USDGBP""))"),"")</f>
        <v/>
      </c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</row>
    <row r="1124">
      <c r="A1124" s="8" t="str">
        <f>IFERROR(__xludf.DUMMYFUNCTION("""COMPUTED_VALUE"""),"177066120190600750")</f>
        <v>177066120190600750</v>
      </c>
      <c r="B1124" s="9" t="str">
        <f>IFERROR(__xludf.DUMMYFUNCTION("""COMPUTED_VALUE"""),"France")</f>
        <v>France</v>
      </c>
      <c r="C1124" s="9" t="str">
        <f>IFERROR(__xludf.DUMMYFUNCTION("""COMPUTED_VALUE"""),"burgundy")</f>
        <v>burgundy</v>
      </c>
      <c r="D1124" s="9" t="str">
        <f>IFERROR(__xludf.DUMMYFUNCTION("""COMPUTED_VALUE"""),"Jean-Marie Fourrier, Bonnes Mares Grand Cru, Vieille Vigne")</f>
        <v>Jean-Marie Fourrier, Bonnes Mares Grand Cru, Vieille Vigne</v>
      </c>
      <c r="E1124" s="9">
        <f>IFERROR(__xludf.DUMMYFUNCTION("""COMPUTED_VALUE"""),2019.0)</f>
        <v>2019</v>
      </c>
      <c r="F1124" s="9">
        <f>IFERROR(__xludf.DUMMYFUNCTION("""COMPUTED_VALUE"""),750.0)</f>
        <v>750</v>
      </c>
      <c r="G1124" s="9">
        <f>IFERROR(__xludf.DUMMYFUNCTION("""COMPUTED_VALUE"""),6.0)</f>
        <v>6</v>
      </c>
      <c r="H1124" s="10">
        <f>IFERROR(__xludf.DUMMYFUNCTION("""COMPUTED_VALUE"""),1.0)</f>
        <v>1</v>
      </c>
      <c r="I1124" s="11">
        <f>IFERROR(__xludf.DUMMYFUNCTION("""COMPUTED_VALUE"""),3990.0)</f>
        <v>3990</v>
      </c>
      <c r="J1124" s="9" t="str">
        <f>IFERROR(__xludf.DUMMYFUNCTION("""COMPUTED_VALUE"""),"UK")</f>
        <v>UK</v>
      </c>
      <c r="K1124" s="8"/>
      <c r="L1124" s="12"/>
      <c r="M1124" s="13"/>
      <c r="N1124" s="13" t="str">
        <f>IFERROR(__xludf.DUMMYFUNCTION("IF(ISBLANK(M1124),"""",M1124*GOOGLEFINANCE(""USDGBP""))"),"")</f>
        <v/>
      </c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</row>
    <row r="1125">
      <c r="A1125" s="8" t="str">
        <f>IFERROR(__xludf.DUMMYFUNCTION("""COMPUTED_VALUE"""),"138351920170601500")</f>
        <v>138351920170601500</v>
      </c>
      <c r="B1125" s="9" t="str">
        <f>IFERROR(__xludf.DUMMYFUNCTION("""COMPUTED_VALUE"""),"France")</f>
        <v>France</v>
      </c>
      <c r="C1125" s="9" t="str">
        <f>IFERROR(__xludf.DUMMYFUNCTION("""COMPUTED_VALUE"""),"burgundy")</f>
        <v>burgundy</v>
      </c>
      <c r="D1125" s="9" t="str">
        <f>IFERROR(__xludf.DUMMYFUNCTION("""COMPUTED_VALUE"""),"Jean-Marie Fourrier, Bourgogne, Pinot Noir")</f>
        <v>Jean-Marie Fourrier, Bourgogne, Pinot Noir</v>
      </c>
      <c r="E1125" s="9">
        <f>IFERROR(__xludf.DUMMYFUNCTION("""COMPUTED_VALUE"""),2017.0)</f>
        <v>2017</v>
      </c>
      <c r="F1125" s="9">
        <f>IFERROR(__xludf.DUMMYFUNCTION("""COMPUTED_VALUE"""),1500.0)</f>
        <v>1500</v>
      </c>
      <c r="G1125" s="9">
        <f>IFERROR(__xludf.DUMMYFUNCTION("""COMPUTED_VALUE"""),6.0)</f>
        <v>6</v>
      </c>
      <c r="H1125" s="10">
        <f>IFERROR(__xludf.DUMMYFUNCTION("""COMPUTED_VALUE"""),1.0)</f>
        <v>1</v>
      </c>
      <c r="I1125" s="11">
        <f>IFERROR(__xludf.DUMMYFUNCTION("""COMPUTED_VALUE"""),629.0)</f>
        <v>629</v>
      </c>
      <c r="J1125" s="9" t="str">
        <f>IFERROR(__xludf.DUMMYFUNCTION("""COMPUTED_VALUE"""),"UK")</f>
        <v>UK</v>
      </c>
      <c r="K1125" s="8"/>
      <c r="L1125" s="12"/>
      <c r="M1125" s="13"/>
      <c r="N1125" s="13" t="str">
        <f>IFERROR(__xludf.DUMMYFUNCTION("IF(ISBLANK(M1125),"""",M1125*GOOGLEFINANCE(""USDGBP""))"),"")</f>
        <v/>
      </c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</row>
    <row r="1126">
      <c r="A1126" s="8" t="str">
        <f>IFERROR(__xludf.DUMMYFUNCTION("""COMPUTED_VALUE"""),"138351920181200750")</f>
        <v>138351920181200750</v>
      </c>
      <c r="B1126" s="9" t="str">
        <f>IFERROR(__xludf.DUMMYFUNCTION("""COMPUTED_VALUE"""),"France")</f>
        <v>France</v>
      </c>
      <c r="C1126" s="9" t="str">
        <f>IFERROR(__xludf.DUMMYFUNCTION("""COMPUTED_VALUE"""),"burgundy")</f>
        <v>burgundy</v>
      </c>
      <c r="D1126" s="9" t="str">
        <f>IFERROR(__xludf.DUMMYFUNCTION("""COMPUTED_VALUE"""),"Jean-Marie Fourrier, Bourgogne, Pinot Noir")</f>
        <v>Jean-Marie Fourrier, Bourgogne, Pinot Noir</v>
      </c>
      <c r="E1126" s="9">
        <f>IFERROR(__xludf.DUMMYFUNCTION("""COMPUTED_VALUE"""),2018.0)</f>
        <v>2018</v>
      </c>
      <c r="F1126" s="9">
        <f>IFERROR(__xludf.DUMMYFUNCTION("""COMPUTED_VALUE"""),750.0)</f>
        <v>750</v>
      </c>
      <c r="G1126" s="9">
        <f>IFERROR(__xludf.DUMMYFUNCTION("""COMPUTED_VALUE"""),12.0)</f>
        <v>12</v>
      </c>
      <c r="H1126" s="10">
        <f>IFERROR(__xludf.DUMMYFUNCTION("""COMPUTED_VALUE"""),3.0)</f>
        <v>3</v>
      </c>
      <c r="I1126" s="11">
        <f>IFERROR(__xludf.DUMMYFUNCTION("""COMPUTED_VALUE"""),459.0)</f>
        <v>459</v>
      </c>
      <c r="J1126" s="9" t="str">
        <f>IFERROR(__xludf.DUMMYFUNCTION("""COMPUTED_VALUE"""),"UK")</f>
        <v>UK</v>
      </c>
      <c r="K1126" s="8"/>
      <c r="L1126" s="12"/>
      <c r="M1126" s="13"/>
      <c r="N1126" s="13" t="str">
        <f>IFERROR(__xludf.DUMMYFUNCTION("IF(ISBLANK(M1126),"""",M1126*GOOGLEFINANCE(""USDGBP""))"),"")</f>
        <v/>
      </c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</row>
    <row r="1127">
      <c r="A1127" s="8" t="str">
        <f>IFERROR(__xludf.DUMMYFUNCTION("""COMPUTED_VALUE"""),"138351920180601500")</f>
        <v>138351920180601500</v>
      </c>
      <c r="B1127" s="9" t="str">
        <f>IFERROR(__xludf.DUMMYFUNCTION("""COMPUTED_VALUE"""),"France")</f>
        <v>France</v>
      </c>
      <c r="C1127" s="9" t="str">
        <f>IFERROR(__xludf.DUMMYFUNCTION("""COMPUTED_VALUE"""),"burgundy")</f>
        <v>burgundy</v>
      </c>
      <c r="D1127" s="9" t="str">
        <f>IFERROR(__xludf.DUMMYFUNCTION("""COMPUTED_VALUE"""),"Jean-Marie Fourrier, Bourgogne, Pinot Noir")</f>
        <v>Jean-Marie Fourrier, Bourgogne, Pinot Noir</v>
      </c>
      <c r="E1127" s="9">
        <f>IFERROR(__xludf.DUMMYFUNCTION("""COMPUTED_VALUE"""),2018.0)</f>
        <v>2018</v>
      </c>
      <c r="F1127" s="9">
        <f>IFERROR(__xludf.DUMMYFUNCTION("""COMPUTED_VALUE"""),1500.0)</f>
        <v>1500</v>
      </c>
      <c r="G1127" s="9">
        <f>IFERROR(__xludf.DUMMYFUNCTION("""COMPUTED_VALUE"""),6.0)</f>
        <v>6</v>
      </c>
      <c r="H1127" s="10">
        <f>IFERROR(__xludf.DUMMYFUNCTION("""COMPUTED_VALUE"""),1.0)</f>
        <v>1</v>
      </c>
      <c r="I1127" s="11">
        <f>IFERROR(__xludf.DUMMYFUNCTION("""COMPUTED_VALUE"""),488.0)</f>
        <v>488</v>
      </c>
      <c r="J1127" s="9" t="str">
        <f>IFERROR(__xludf.DUMMYFUNCTION("""COMPUTED_VALUE"""),"UK")</f>
        <v>UK</v>
      </c>
      <c r="K1127" s="8"/>
      <c r="L1127" s="12"/>
      <c r="M1127" s="13"/>
      <c r="N1127" s="13" t="str">
        <f>IFERROR(__xludf.DUMMYFUNCTION("IF(ISBLANK(M1127),"""",M1127*GOOGLEFINANCE(""USDGBP""))"),"")</f>
        <v/>
      </c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</row>
    <row r="1128">
      <c r="A1128" s="8" t="str">
        <f>IFERROR(__xludf.DUMMYFUNCTION("""COMPUTED_VALUE"""),"138355120190600750")</f>
        <v>138355120190600750</v>
      </c>
      <c r="B1128" s="9" t="str">
        <f>IFERROR(__xludf.DUMMYFUNCTION("""COMPUTED_VALUE"""),"France")</f>
        <v>France</v>
      </c>
      <c r="C1128" s="9" t="str">
        <f>IFERROR(__xludf.DUMMYFUNCTION("""COMPUTED_VALUE"""),"burgundy")</f>
        <v>burgundy</v>
      </c>
      <c r="D1128" s="9" t="str">
        <f>IFERROR(__xludf.DUMMYFUNCTION("""COMPUTED_VALUE"""),"Jean-Marie Fourrier, Chambolle-Musigny Premier Cru, Les Amoureuses Vieille Vigne")</f>
        <v>Jean-Marie Fourrier, Chambolle-Musigny Premier Cru, Les Amoureuses Vieille Vigne</v>
      </c>
      <c r="E1128" s="9">
        <f>IFERROR(__xludf.DUMMYFUNCTION("""COMPUTED_VALUE"""),2019.0)</f>
        <v>2019</v>
      </c>
      <c r="F1128" s="9">
        <f>IFERROR(__xludf.DUMMYFUNCTION("""COMPUTED_VALUE"""),750.0)</f>
        <v>750</v>
      </c>
      <c r="G1128" s="9">
        <f>IFERROR(__xludf.DUMMYFUNCTION("""COMPUTED_VALUE"""),6.0)</f>
        <v>6</v>
      </c>
      <c r="H1128" s="10">
        <f>IFERROR(__xludf.DUMMYFUNCTION("""COMPUTED_VALUE"""),1.0)</f>
        <v>1</v>
      </c>
      <c r="I1128" s="11">
        <f>IFERROR(__xludf.DUMMYFUNCTION("""COMPUTED_VALUE"""),4633.0)</f>
        <v>4633</v>
      </c>
      <c r="J1128" s="9" t="str">
        <f>IFERROR(__xludf.DUMMYFUNCTION("""COMPUTED_VALUE"""),"UK")</f>
        <v>UK</v>
      </c>
      <c r="K1128" s="8"/>
      <c r="L1128" s="12"/>
      <c r="M1128" s="13"/>
      <c r="N1128" s="13" t="str">
        <f>IFERROR(__xludf.DUMMYFUNCTION("IF(ISBLANK(M1128),"""",M1128*GOOGLEFINANCE(""USDGBP""))"),"")</f>
        <v/>
      </c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</row>
    <row r="1129">
      <c r="A1129" s="8" t="str">
        <f>IFERROR(__xludf.DUMMYFUNCTION("""COMPUTED_VALUE"""),"135070220150600750")</f>
        <v>135070220150600750</v>
      </c>
      <c r="B1129" s="9" t="str">
        <f>IFERROR(__xludf.DUMMYFUNCTION("""COMPUTED_VALUE"""),"France")</f>
        <v>France</v>
      </c>
      <c r="C1129" s="9" t="str">
        <f>IFERROR(__xludf.DUMMYFUNCTION("""COMPUTED_VALUE"""),"burgundy")</f>
        <v>burgundy</v>
      </c>
      <c r="D1129" s="9" t="str">
        <f>IFERROR(__xludf.DUMMYFUNCTION("""COMPUTED_VALUE"""),"Jean-Marie Fourrier, Vosne-Romanee, Aux Reas Vieille Vigne")</f>
        <v>Jean-Marie Fourrier, Vosne-Romanee, Aux Reas Vieille Vigne</v>
      </c>
      <c r="E1129" s="9">
        <f>IFERROR(__xludf.DUMMYFUNCTION("""COMPUTED_VALUE"""),2015.0)</f>
        <v>2015</v>
      </c>
      <c r="F1129" s="9">
        <f>IFERROR(__xludf.DUMMYFUNCTION("""COMPUTED_VALUE"""),750.0)</f>
        <v>750</v>
      </c>
      <c r="G1129" s="9">
        <f>IFERROR(__xludf.DUMMYFUNCTION("""COMPUTED_VALUE"""),6.0)</f>
        <v>6</v>
      </c>
      <c r="H1129" s="10">
        <f>IFERROR(__xludf.DUMMYFUNCTION("""COMPUTED_VALUE"""),1.0)</f>
        <v>1</v>
      </c>
      <c r="I1129" s="11">
        <f>IFERROR(__xludf.DUMMYFUNCTION("""COMPUTED_VALUE"""),728.0)</f>
        <v>728</v>
      </c>
      <c r="J1129" s="9" t="str">
        <f>IFERROR(__xludf.DUMMYFUNCTION("""COMPUTED_VALUE"""),"UK")</f>
        <v>UK</v>
      </c>
      <c r="K1129" s="8"/>
      <c r="L1129" s="12"/>
      <c r="M1129" s="13"/>
      <c r="N1129" s="13" t="str">
        <f>IFERROR(__xludf.DUMMYFUNCTION("IF(ISBLANK(M1129),"""",M1129*GOOGLEFINANCE(""USDGBP""))"),"")</f>
        <v/>
      </c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</row>
    <row r="1130">
      <c r="A1130" s="8" t="str">
        <f>IFERROR(__xludf.DUMMYFUNCTION("""COMPUTED_VALUE"""),"135070220180600750")</f>
        <v>135070220180600750</v>
      </c>
      <c r="B1130" s="9" t="str">
        <f>IFERROR(__xludf.DUMMYFUNCTION("""COMPUTED_VALUE"""),"France")</f>
        <v>France</v>
      </c>
      <c r="C1130" s="9" t="str">
        <f>IFERROR(__xludf.DUMMYFUNCTION("""COMPUTED_VALUE"""),"burgundy")</f>
        <v>burgundy</v>
      </c>
      <c r="D1130" s="9" t="str">
        <f>IFERROR(__xludf.DUMMYFUNCTION("""COMPUTED_VALUE"""),"Jean-Marie Fourrier, Vosne-Romanee, Aux Reas Vieille Vigne")</f>
        <v>Jean-Marie Fourrier, Vosne-Romanee, Aux Reas Vieille Vigne</v>
      </c>
      <c r="E1130" s="9">
        <f>IFERROR(__xludf.DUMMYFUNCTION("""COMPUTED_VALUE"""),2018.0)</f>
        <v>2018</v>
      </c>
      <c r="F1130" s="9">
        <f>IFERROR(__xludf.DUMMYFUNCTION("""COMPUTED_VALUE"""),750.0)</f>
        <v>750</v>
      </c>
      <c r="G1130" s="9">
        <f>IFERROR(__xludf.DUMMYFUNCTION("""COMPUTED_VALUE"""),6.0)</f>
        <v>6</v>
      </c>
      <c r="H1130" s="10">
        <f>IFERROR(__xludf.DUMMYFUNCTION("""COMPUTED_VALUE"""),2.0)</f>
        <v>2</v>
      </c>
      <c r="I1130" s="11">
        <f>IFERROR(__xludf.DUMMYFUNCTION("""COMPUTED_VALUE"""),615.0)</f>
        <v>615</v>
      </c>
      <c r="J1130" s="9" t="str">
        <f>IFERROR(__xludf.DUMMYFUNCTION("""COMPUTED_VALUE"""),"UK")</f>
        <v>UK</v>
      </c>
      <c r="K1130" s="8"/>
      <c r="L1130" s="12"/>
      <c r="M1130" s="13"/>
      <c r="N1130" s="13" t="str">
        <f>IFERROR(__xludf.DUMMYFUNCTION("IF(ISBLANK(M1130),"""",M1130*GOOGLEFINANCE(""USDGBP""))"),"")</f>
        <v/>
      </c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</row>
    <row r="1131">
      <c r="A1131" s="8" t="str">
        <f>IFERROR(__xludf.DUMMYFUNCTION("""COMPUTED_VALUE"""),"135070220190600750")</f>
        <v>135070220190600750</v>
      </c>
      <c r="B1131" s="9" t="str">
        <f>IFERROR(__xludf.DUMMYFUNCTION("""COMPUTED_VALUE"""),"France")</f>
        <v>France</v>
      </c>
      <c r="C1131" s="9" t="str">
        <f>IFERROR(__xludf.DUMMYFUNCTION("""COMPUTED_VALUE"""),"burgundy")</f>
        <v>burgundy</v>
      </c>
      <c r="D1131" s="9" t="str">
        <f>IFERROR(__xludf.DUMMYFUNCTION("""COMPUTED_VALUE"""),"Jean-Marie Fourrier, Vosne-Romanee, Aux Reas Vieille Vigne")</f>
        <v>Jean-Marie Fourrier, Vosne-Romanee, Aux Reas Vieille Vigne</v>
      </c>
      <c r="E1131" s="9">
        <f>IFERROR(__xludf.DUMMYFUNCTION("""COMPUTED_VALUE"""),2019.0)</f>
        <v>2019</v>
      </c>
      <c r="F1131" s="9">
        <f>IFERROR(__xludf.DUMMYFUNCTION("""COMPUTED_VALUE"""),750.0)</f>
        <v>750</v>
      </c>
      <c r="G1131" s="9">
        <f>IFERROR(__xludf.DUMMYFUNCTION("""COMPUTED_VALUE"""),6.0)</f>
        <v>6</v>
      </c>
      <c r="H1131" s="10">
        <f>IFERROR(__xludf.DUMMYFUNCTION("""COMPUTED_VALUE"""),1.0)</f>
        <v>1</v>
      </c>
      <c r="I1131" s="11">
        <f>IFERROR(__xludf.DUMMYFUNCTION("""COMPUTED_VALUE"""),771.0)</f>
        <v>771</v>
      </c>
      <c r="J1131" s="9" t="str">
        <f>IFERROR(__xludf.DUMMYFUNCTION("""COMPUTED_VALUE"""),"UK")</f>
        <v>UK</v>
      </c>
      <c r="K1131" s="8"/>
      <c r="L1131" s="12"/>
      <c r="M1131" s="13"/>
      <c r="N1131" s="13" t="str">
        <f>IFERROR(__xludf.DUMMYFUNCTION("IF(ISBLANK(M1131),"""",M1131*GOOGLEFINANCE(""USDGBP""))"),"")</f>
        <v/>
      </c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</row>
    <row r="1132">
      <c r="A1132" s="8" t="str">
        <f>IFERROR(__xludf.DUMMYFUNCTION("""COMPUTED_VALUE"""),"102877520080600750")</f>
        <v>102877520080600750</v>
      </c>
      <c r="B1132" s="9" t="str">
        <f>IFERROR(__xludf.DUMMYFUNCTION("""COMPUTED_VALUE"""),"France")</f>
        <v>France</v>
      </c>
      <c r="C1132" s="9" t="str">
        <f>IFERROR(__xludf.DUMMYFUNCTION("""COMPUTED_VALUE"""),"burgundy")</f>
        <v>burgundy</v>
      </c>
      <c r="D1132" s="9" t="str">
        <f>IFERROR(__xludf.DUMMYFUNCTION("""COMPUTED_VALUE"""),"Joseph Drouhin, Beaune Premier Cru, Le Clos des Mouches Rouge")</f>
        <v>Joseph Drouhin, Beaune Premier Cru, Le Clos des Mouches Rouge</v>
      </c>
      <c r="E1132" s="9">
        <f>IFERROR(__xludf.DUMMYFUNCTION("""COMPUTED_VALUE"""),2008.0)</f>
        <v>2008</v>
      </c>
      <c r="F1132" s="9">
        <f>IFERROR(__xludf.DUMMYFUNCTION("""COMPUTED_VALUE"""),750.0)</f>
        <v>750</v>
      </c>
      <c r="G1132" s="9">
        <f>IFERROR(__xludf.DUMMYFUNCTION("""COMPUTED_VALUE"""),6.0)</f>
        <v>6</v>
      </c>
      <c r="H1132" s="10">
        <f>IFERROR(__xludf.DUMMYFUNCTION("""COMPUTED_VALUE"""),1.0)</f>
        <v>1</v>
      </c>
      <c r="I1132" s="11">
        <f>IFERROR(__xludf.DUMMYFUNCTION("""COMPUTED_VALUE"""),877.0)</f>
        <v>877</v>
      </c>
      <c r="J1132" s="9" t="str">
        <f>IFERROR(__xludf.DUMMYFUNCTION("""COMPUTED_VALUE"""),"UK")</f>
        <v>UK</v>
      </c>
      <c r="K1132" s="8"/>
      <c r="L1132" s="12"/>
      <c r="M1132" s="13"/>
      <c r="N1132" s="13" t="str">
        <f>IFERROR(__xludf.DUMMYFUNCTION("IF(ISBLANK(M1132),"""",M1132*GOOGLEFINANCE(""USDGBP""))"),"")</f>
        <v/>
      </c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</row>
    <row r="1133">
      <c r="A1133" s="8" t="str">
        <f>IFERROR(__xludf.DUMMYFUNCTION("""COMPUTED_VALUE"""),"102877520111200750")</f>
        <v>102877520111200750</v>
      </c>
      <c r="B1133" s="9" t="str">
        <f>IFERROR(__xludf.DUMMYFUNCTION("""COMPUTED_VALUE"""),"France")</f>
        <v>France</v>
      </c>
      <c r="C1133" s="9" t="str">
        <f>IFERROR(__xludf.DUMMYFUNCTION("""COMPUTED_VALUE"""),"burgundy")</f>
        <v>burgundy</v>
      </c>
      <c r="D1133" s="9" t="str">
        <f>IFERROR(__xludf.DUMMYFUNCTION("""COMPUTED_VALUE"""),"Joseph Drouhin, Beaune Premier Cru, Le Clos des Mouches Rouge")</f>
        <v>Joseph Drouhin, Beaune Premier Cru, Le Clos des Mouches Rouge</v>
      </c>
      <c r="E1133" s="9">
        <f>IFERROR(__xludf.DUMMYFUNCTION("""COMPUTED_VALUE"""),2011.0)</f>
        <v>2011</v>
      </c>
      <c r="F1133" s="9">
        <f>IFERROR(__xludf.DUMMYFUNCTION("""COMPUTED_VALUE"""),750.0)</f>
        <v>750</v>
      </c>
      <c r="G1133" s="9">
        <f>IFERROR(__xludf.DUMMYFUNCTION("""COMPUTED_VALUE"""),12.0)</f>
        <v>12</v>
      </c>
      <c r="H1133" s="10">
        <f>IFERROR(__xludf.DUMMYFUNCTION("""COMPUTED_VALUE"""),2.0)</f>
        <v>2</v>
      </c>
      <c r="I1133" s="11">
        <f>IFERROR(__xludf.DUMMYFUNCTION("""COMPUTED_VALUE"""),1635.0)</f>
        <v>1635</v>
      </c>
      <c r="J1133" s="9" t="str">
        <f>IFERROR(__xludf.DUMMYFUNCTION("""COMPUTED_VALUE"""),"UK")</f>
        <v>UK</v>
      </c>
      <c r="K1133" s="8"/>
      <c r="L1133" s="12"/>
      <c r="M1133" s="13"/>
      <c r="N1133" s="13" t="str">
        <f>IFERROR(__xludf.DUMMYFUNCTION("IF(ISBLANK(M1133),"""",M1133*GOOGLEFINANCE(""USDGBP""))"),"")</f>
        <v/>
      </c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</row>
    <row r="1134">
      <c r="A1134" s="8" t="str">
        <f>IFERROR(__xludf.DUMMYFUNCTION("""COMPUTED_VALUE"""),"102877520121200750")</f>
        <v>102877520121200750</v>
      </c>
      <c r="B1134" s="9" t="str">
        <f>IFERROR(__xludf.DUMMYFUNCTION("""COMPUTED_VALUE"""),"France")</f>
        <v>France</v>
      </c>
      <c r="C1134" s="9" t="str">
        <f>IFERROR(__xludf.DUMMYFUNCTION("""COMPUTED_VALUE"""),"burgundy")</f>
        <v>burgundy</v>
      </c>
      <c r="D1134" s="9" t="str">
        <f>IFERROR(__xludf.DUMMYFUNCTION("""COMPUTED_VALUE"""),"Joseph Drouhin, Beaune Premier Cru, Le Clos des Mouches Rouge")</f>
        <v>Joseph Drouhin, Beaune Premier Cru, Le Clos des Mouches Rouge</v>
      </c>
      <c r="E1134" s="9">
        <f>IFERROR(__xludf.DUMMYFUNCTION("""COMPUTED_VALUE"""),2012.0)</f>
        <v>2012</v>
      </c>
      <c r="F1134" s="9">
        <f>IFERROR(__xludf.DUMMYFUNCTION("""COMPUTED_VALUE"""),750.0)</f>
        <v>750</v>
      </c>
      <c r="G1134" s="9">
        <f>IFERROR(__xludf.DUMMYFUNCTION("""COMPUTED_VALUE"""),12.0)</f>
        <v>12</v>
      </c>
      <c r="H1134" s="10">
        <f>IFERROR(__xludf.DUMMYFUNCTION("""COMPUTED_VALUE"""),1.0)</f>
        <v>1</v>
      </c>
      <c r="I1134" s="11">
        <f>IFERROR(__xludf.DUMMYFUNCTION("""COMPUTED_VALUE"""),1243.0)</f>
        <v>1243</v>
      </c>
      <c r="J1134" s="9" t="str">
        <f>IFERROR(__xludf.DUMMYFUNCTION("""COMPUTED_VALUE"""),"UK")</f>
        <v>UK</v>
      </c>
      <c r="K1134" s="8"/>
      <c r="L1134" s="12"/>
      <c r="M1134" s="13"/>
      <c r="N1134" s="13" t="str">
        <f>IFERROR(__xludf.DUMMYFUNCTION("IF(ISBLANK(M1134),"""",M1134*GOOGLEFINANCE(""USDGBP""))"),"")</f>
        <v/>
      </c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</row>
    <row r="1135">
      <c r="A1135" s="8" t="str">
        <f>IFERROR(__xludf.DUMMYFUNCTION("""COMPUTED_VALUE"""),"102877520180600750")</f>
        <v>102877520180600750</v>
      </c>
      <c r="B1135" s="9" t="str">
        <f>IFERROR(__xludf.DUMMYFUNCTION("""COMPUTED_VALUE"""),"France")</f>
        <v>France</v>
      </c>
      <c r="C1135" s="9" t="str">
        <f>IFERROR(__xludf.DUMMYFUNCTION("""COMPUTED_VALUE"""),"burgundy")</f>
        <v>burgundy</v>
      </c>
      <c r="D1135" s="9" t="str">
        <f>IFERROR(__xludf.DUMMYFUNCTION("""COMPUTED_VALUE"""),"Joseph Drouhin, Beaune Premier Cru, Le Clos des Mouches Rouge")</f>
        <v>Joseph Drouhin, Beaune Premier Cru, Le Clos des Mouches Rouge</v>
      </c>
      <c r="E1135" s="9">
        <f>IFERROR(__xludf.DUMMYFUNCTION("""COMPUTED_VALUE"""),2018.0)</f>
        <v>2018</v>
      </c>
      <c r="F1135" s="9">
        <f>IFERROR(__xludf.DUMMYFUNCTION("""COMPUTED_VALUE"""),750.0)</f>
        <v>750</v>
      </c>
      <c r="G1135" s="9">
        <f>IFERROR(__xludf.DUMMYFUNCTION("""COMPUTED_VALUE"""),6.0)</f>
        <v>6</v>
      </c>
      <c r="H1135" s="10">
        <f>IFERROR(__xludf.DUMMYFUNCTION("""COMPUTED_VALUE"""),12.0)</f>
        <v>12</v>
      </c>
      <c r="I1135" s="11">
        <f>IFERROR(__xludf.DUMMYFUNCTION("""COMPUTED_VALUE"""),551.0)</f>
        <v>551</v>
      </c>
      <c r="J1135" s="9" t="str">
        <f>IFERROR(__xludf.DUMMYFUNCTION("""COMPUTED_VALUE"""),"UK")</f>
        <v>UK</v>
      </c>
      <c r="K1135" s="8"/>
      <c r="L1135" s="12"/>
      <c r="M1135" s="13"/>
      <c r="N1135" s="13" t="str">
        <f>IFERROR(__xludf.DUMMYFUNCTION("IF(ISBLANK(M1135),"""",M1135*GOOGLEFINANCE(""USDGBP""))"),"")</f>
        <v/>
      </c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</row>
    <row r="1136">
      <c r="A1136" s="8" t="str">
        <f>IFERROR(__xludf.DUMMYFUNCTION("""COMPUTED_VALUE"""),"102877520190600750")</f>
        <v>102877520190600750</v>
      </c>
      <c r="B1136" s="9" t="str">
        <f>IFERROR(__xludf.DUMMYFUNCTION("""COMPUTED_VALUE"""),"France")</f>
        <v>France</v>
      </c>
      <c r="C1136" s="9" t="str">
        <f>IFERROR(__xludf.DUMMYFUNCTION("""COMPUTED_VALUE"""),"burgundy")</f>
        <v>burgundy</v>
      </c>
      <c r="D1136" s="9" t="str">
        <f>IFERROR(__xludf.DUMMYFUNCTION("""COMPUTED_VALUE"""),"Joseph Drouhin, Beaune Premier Cru, Le Clos des Mouches Rouge")</f>
        <v>Joseph Drouhin, Beaune Premier Cru, Le Clos des Mouches Rouge</v>
      </c>
      <c r="E1136" s="9">
        <f>IFERROR(__xludf.DUMMYFUNCTION("""COMPUTED_VALUE"""),2019.0)</f>
        <v>2019</v>
      </c>
      <c r="F1136" s="9">
        <f>IFERROR(__xludf.DUMMYFUNCTION("""COMPUTED_VALUE"""),750.0)</f>
        <v>750</v>
      </c>
      <c r="G1136" s="9">
        <f>IFERROR(__xludf.DUMMYFUNCTION("""COMPUTED_VALUE"""),6.0)</f>
        <v>6</v>
      </c>
      <c r="H1136" s="10">
        <f>IFERROR(__xludf.DUMMYFUNCTION("""COMPUTED_VALUE"""),2.0)</f>
        <v>2</v>
      </c>
      <c r="I1136" s="11">
        <f>IFERROR(__xludf.DUMMYFUNCTION("""COMPUTED_VALUE"""),559.0)</f>
        <v>559</v>
      </c>
      <c r="J1136" s="9" t="str">
        <f>IFERROR(__xludf.DUMMYFUNCTION("""COMPUTED_VALUE"""),"UK")</f>
        <v>UK</v>
      </c>
      <c r="K1136" s="8"/>
      <c r="L1136" s="12"/>
      <c r="M1136" s="13"/>
      <c r="N1136" s="13" t="str">
        <f>IFERROR(__xludf.DUMMYFUNCTION("IF(ISBLANK(M1136),"""",M1136*GOOGLEFINANCE(""USDGBP""))"),"")</f>
        <v/>
      </c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</row>
    <row r="1137">
      <c r="A1137" s="8" t="str">
        <f>IFERROR(__xludf.DUMMYFUNCTION("""COMPUTED_VALUE"""),"102880520110300750")</f>
        <v>102880520110300750</v>
      </c>
      <c r="B1137" s="9" t="str">
        <f>IFERROR(__xludf.DUMMYFUNCTION("""COMPUTED_VALUE"""),"France")</f>
        <v>France</v>
      </c>
      <c r="C1137" s="9" t="str">
        <f>IFERROR(__xludf.DUMMYFUNCTION("""COMPUTED_VALUE"""),"burgundy")</f>
        <v>burgundy</v>
      </c>
      <c r="D1137" s="9" t="str">
        <f>IFERROR(__xludf.DUMMYFUNCTION("""COMPUTED_VALUE"""),"Joseph Drouhin, Bonnes Mares Grand Cru")</f>
        <v>Joseph Drouhin, Bonnes Mares Grand Cru</v>
      </c>
      <c r="E1137" s="9">
        <f>IFERROR(__xludf.DUMMYFUNCTION("""COMPUTED_VALUE"""),2011.0)</f>
        <v>2011</v>
      </c>
      <c r="F1137" s="9">
        <f>IFERROR(__xludf.DUMMYFUNCTION("""COMPUTED_VALUE"""),750.0)</f>
        <v>750</v>
      </c>
      <c r="G1137" s="9">
        <f>IFERROR(__xludf.DUMMYFUNCTION("""COMPUTED_VALUE"""),3.0)</f>
        <v>3</v>
      </c>
      <c r="H1137" s="10">
        <f>IFERROR(__xludf.DUMMYFUNCTION("""COMPUTED_VALUE"""),1.0)</f>
        <v>1</v>
      </c>
      <c r="I1137" s="11">
        <f>IFERROR(__xludf.DUMMYFUNCTION("""COMPUTED_VALUE"""),1167.0)</f>
        <v>1167</v>
      </c>
      <c r="J1137" s="9" t="str">
        <f>IFERROR(__xludf.DUMMYFUNCTION("""COMPUTED_VALUE"""),"UK")</f>
        <v>UK</v>
      </c>
      <c r="K1137" s="8"/>
      <c r="L1137" s="12"/>
      <c r="M1137" s="13"/>
      <c r="N1137" s="13" t="str">
        <f>IFERROR(__xludf.DUMMYFUNCTION("IF(ISBLANK(M1137),"""",M1137*GOOGLEFINANCE(""USDGBP""))"),"")</f>
        <v/>
      </c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</row>
    <row r="1138">
      <c r="A1138" s="8" t="str">
        <f>IFERROR(__xludf.DUMMYFUNCTION("""COMPUTED_VALUE"""),"102880520130300750")</f>
        <v>102880520130300750</v>
      </c>
      <c r="B1138" s="9" t="str">
        <f>IFERROR(__xludf.DUMMYFUNCTION("""COMPUTED_VALUE"""),"France")</f>
        <v>France</v>
      </c>
      <c r="C1138" s="9" t="str">
        <f>IFERROR(__xludf.DUMMYFUNCTION("""COMPUTED_VALUE"""),"burgundy")</f>
        <v>burgundy</v>
      </c>
      <c r="D1138" s="9" t="str">
        <f>IFERROR(__xludf.DUMMYFUNCTION("""COMPUTED_VALUE"""),"Joseph Drouhin, Bonnes Mares Grand Cru")</f>
        <v>Joseph Drouhin, Bonnes Mares Grand Cru</v>
      </c>
      <c r="E1138" s="9">
        <f>IFERROR(__xludf.DUMMYFUNCTION("""COMPUTED_VALUE"""),2013.0)</f>
        <v>2013</v>
      </c>
      <c r="F1138" s="9">
        <f>IFERROR(__xludf.DUMMYFUNCTION("""COMPUTED_VALUE"""),750.0)</f>
        <v>750</v>
      </c>
      <c r="G1138" s="9">
        <f>IFERROR(__xludf.DUMMYFUNCTION("""COMPUTED_VALUE"""),3.0)</f>
        <v>3</v>
      </c>
      <c r="H1138" s="10">
        <f>IFERROR(__xludf.DUMMYFUNCTION("""COMPUTED_VALUE"""),1.0)</f>
        <v>1</v>
      </c>
      <c r="I1138" s="11">
        <f>IFERROR(__xludf.DUMMYFUNCTION("""COMPUTED_VALUE"""),928.0)</f>
        <v>928</v>
      </c>
      <c r="J1138" s="9" t="str">
        <f>IFERROR(__xludf.DUMMYFUNCTION("""COMPUTED_VALUE"""),"UK")</f>
        <v>UK</v>
      </c>
      <c r="K1138" s="8"/>
      <c r="L1138" s="12"/>
      <c r="M1138" s="13"/>
      <c r="N1138" s="13" t="str">
        <f>IFERROR(__xludf.DUMMYFUNCTION("IF(ISBLANK(M1138),"""",M1138*GOOGLEFINANCE(""USDGBP""))"),"")</f>
        <v/>
      </c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</row>
    <row r="1139">
      <c r="A1139" s="8" t="str">
        <f>IFERROR(__xludf.DUMMYFUNCTION("""COMPUTED_VALUE"""),"102880520190600750")</f>
        <v>102880520190600750</v>
      </c>
      <c r="B1139" s="9" t="str">
        <f>IFERROR(__xludf.DUMMYFUNCTION("""COMPUTED_VALUE"""),"France")</f>
        <v>France</v>
      </c>
      <c r="C1139" s="9" t="str">
        <f>IFERROR(__xludf.DUMMYFUNCTION("""COMPUTED_VALUE"""),"burgundy")</f>
        <v>burgundy</v>
      </c>
      <c r="D1139" s="9" t="str">
        <f>IFERROR(__xludf.DUMMYFUNCTION("""COMPUTED_VALUE"""),"Joseph Drouhin, Bonnes Mares Grand Cru")</f>
        <v>Joseph Drouhin, Bonnes Mares Grand Cru</v>
      </c>
      <c r="E1139" s="9">
        <f>IFERROR(__xludf.DUMMYFUNCTION("""COMPUTED_VALUE"""),2019.0)</f>
        <v>2019</v>
      </c>
      <c r="F1139" s="9">
        <f>IFERROR(__xludf.DUMMYFUNCTION("""COMPUTED_VALUE"""),750.0)</f>
        <v>750</v>
      </c>
      <c r="G1139" s="9">
        <f>IFERROR(__xludf.DUMMYFUNCTION("""COMPUTED_VALUE"""),6.0)</f>
        <v>6</v>
      </c>
      <c r="H1139" s="10">
        <f>IFERROR(__xludf.DUMMYFUNCTION("""COMPUTED_VALUE"""),1.0)</f>
        <v>1</v>
      </c>
      <c r="I1139" s="11">
        <f>IFERROR(__xludf.DUMMYFUNCTION("""COMPUTED_VALUE"""),2641.0)</f>
        <v>2641</v>
      </c>
      <c r="J1139" s="9" t="str">
        <f>IFERROR(__xludf.DUMMYFUNCTION("""COMPUTED_VALUE"""),"UK")</f>
        <v>UK</v>
      </c>
      <c r="K1139" s="8"/>
      <c r="L1139" s="12"/>
      <c r="M1139" s="13"/>
      <c r="N1139" s="13" t="str">
        <f>IFERROR(__xludf.DUMMYFUNCTION("IF(ISBLANK(M1139),"""",M1139*GOOGLEFINANCE(""USDGBP""))"),"")</f>
        <v/>
      </c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</row>
    <row r="1140">
      <c r="A1140" s="8" t="str">
        <f>IFERROR(__xludf.DUMMYFUNCTION("""COMPUTED_VALUE"""),"102886320170600750")</f>
        <v>102886320170600750</v>
      </c>
      <c r="B1140" s="9" t="str">
        <f>IFERROR(__xludf.DUMMYFUNCTION("""COMPUTED_VALUE"""),"France")</f>
        <v>France</v>
      </c>
      <c r="C1140" s="9" t="str">
        <f>IFERROR(__xludf.DUMMYFUNCTION("""COMPUTED_VALUE"""),"burgundy")</f>
        <v>burgundy</v>
      </c>
      <c r="D1140" s="9" t="str">
        <f>IFERROR(__xludf.DUMMYFUNCTION("""COMPUTED_VALUE"""),"Joseph Drouhin, Chambertin-Clos de Beze Grand Cru")</f>
        <v>Joseph Drouhin, Chambertin-Clos de Beze Grand Cru</v>
      </c>
      <c r="E1140" s="9">
        <f>IFERROR(__xludf.DUMMYFUNCTION("""COMPUTED_VALUE"""),2017.0)</f>
        <v>2017</v>
      </c>
      <c r="F1140" s="9">
        <f>IFERROR(__xludf.DUMMYFUNCTION("""COMPUTED_VALUE"""),750.0)</f>
        <v>750</v>
      </c>
      <c r="G1140" s="9">
        <f>IFERROR(__xludf.DUMMYFUNCTION("""COMPUTED_VALUE"""),6.0)</f>
        <v>6</v>
      </c>
      <c r="H1140" s="10">
        <f>IFERROR(__xludf.DUMMYFUNCTION("""COMPUTED_VALUE"""),3.0)</f>
        <v>3</v>
      </c>
      <c r="I1140" s="11">
        <f>IFERROR(__xludf.DUMMYFUNCTION("""COMPUTED_VALUE"""),1943.0)</f>
        <v>1943</v>
      </c>
      <c r="J1140" s="9" t="str">
        <f>IFERROR(__xludf.DUMMYFUNCTION("""COMPUTED_VALUE"""),"UK")</f>
        <v>UK</v>
      </c>
      <c r="K1140" s="8"/>
      <c r="L1140" s="12"/>
      <c r="M1140" s="13"/>
      <c r="N1140" s="13" t="str">
        <f>IFERROR(__xludf.DUMMYFUNCTION("IF(ISBLANK(M1140),"""",M1140*GOOGLEFINANCE(""USDGBP""))"),"")</f>
        <v/>
      </c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</row>
    <row r="1141">
      <c r="A1141" s="8" t="str">
        <f>IFERROR(__xludf.DUMMYFUNCTION("""COMPUTED_VALUE"""),"102886320180600750")</f>
        <v>102886320180600750</v>
      </c>
      <c r="B1141" s="9" t="str">
        <f>IFERROR(__xludf.DUMMYFUNCTION("""COMPUTED_VALUE"""),"France")</f>
        <v>France</v>
      </c>
      <c r="C1141" s="9" t="str">
        <f>IFERROR(__xludf.DUMMYFUNCTION("""COMPUTED_VALUE"""),"burgundy")</f>
        <v>burgundy</v>
      </c>
      <c r="D1141" s="9" t="str">
        <f>IFERROR(__xludf.DUMMYFUNCTION("""COMPUTED_VALUE"""),"Joseph Drouhin, Chambertin-Clos de Beze Grand Cru")</f>
        <v>Joseph Drouhin, Chambertin-Clos de Beze Grand Cru</v>
      </c>
      <c r="E1141" s="9">
        <f>IFERROR(__xludf.DUMMYFUNCTION("""COMPUTED_VALUE"""),2018.0)</f>
        <v>2018</v>
      </c>
      <c r="F1141" s="9">
        <f>IFERROR(__xludf.DUMMYFUNCTION("""COMPUTED_VALUE"""),750.0)</f>
        <v>750</v>
      </c>
      <c r="G1141" s="9">
        <f>IFERROR(__xludf.DUMMYFUNCTION("""COMPUTED_VALUE"""),6.0)</f>
        <v>6</v>
      </c>
      <c r="H1141" s="10">
        <f>IFERROR(__xludf.DUMMYFUNCTION("""COMPUTED_VALUE"""),1.0)</f>
        <v>1</v>
      </c>
      <c r="I1141" s="11">
        <f>IFERROR(__xludf.DUMMYFUNCTION("""COMPUTED_VALUE"""),2453.0)</f>
        <v>2453</v>
      </c>
      <c r="J1141" s="9" t="str">
        <f>IFERROR(__xludf.DUMMYFUNCTION("""COMPUTED_VALUE"""),"UK")</f>
        <v>UK</v>
      </c>
      <c r="K1141" s="8"/>
      <c r="L1141" s="12"/>
      <c r="M1141" s="13"/>
      <c r="N1141" s="13" t="str">
        <f>IFERROR(__xludf.DUMMYFUNCTION("IF(ISBLANK(M1141),"""",M1141*GOOGLEFINANCE(""USDGBP""))"),"")</f>
        <v/>
      </c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</row>
    <row r="1142">
      <c r="A1142" s="8" t="str">
        <f>IFERROR(__xludf.DUMMYFUNCTION("""COMPUTED_VALUE"""),"102888920170600750")</f>
        <v>102888920170600750</v>
      </c>
      <c r="B1142" s="9" t="str">
        <f>IFERROR(__xludf.DUMMYFUNCTION("""COMPUTED_VALUE"""),"France")</f>
        <v>France</v>
      </c>
      <c r="C1142" s="9" t="str">
        <f>IFERROR(__xludf.DUMMYFUNCTION("""COMPUTED_VALUE"""),"burgundy")</f>
        <v>burgundy</v>
      </c>
      <c r="D1142" s="9" t="str">
        <f>IFERROR(__xludf.DUMMYFUNCTION("""COMPUTED_VALUE"""),"Joseph Drouhin, Chambolle-Musigny Premier Cru")</f>
        <v>Joseph Drouhin, Chambolle-Musigny Premier Cru</v>
      </c>
      <c r="E1142" s="9">
        <f>IFERROR(__xludf.DUMMYFUNCTION("""COMPUTED_VALUE"""),2017.0)</f>
        <v>2017</v>
      </c>
      <c r="F1142" s="9">
        <f>IFERROR(__xludf.DUMMYFUNCTION("""COMPUTED_VALUE"""),750.0)</f>
        <v>750</v>
      </c>
      <c r="G1142" s="9">
        <f>IFERROR(__xludf.DUMMYFUNCTION("""COMPUTED_VALUE"""),6.0)</f>
        <v>6</v>
      </c>
      <c r="H1142" s="10">
        <f>IFERROR(__xludf.DUMMYFUNCTION("""COMPUTED_VALUE"""),2.0)</f>
        <v>2</v>
      </c>
      <c r="I1142" s="11">
        <f>IFERROR(__xludf.DUMMYFUNCTION("""COMPUTED_VALUE"""),476.0)</f>
        <v>476</v>
      </c>
      <c r="J1142" s="9" t="str">
        <f>IFERROR(__xludf.DUMMYFUNCTION("""COMPUTED_VALUE"""),"UK")</f>
        <v>UK</v>
      </c>
      <c r="K1142" s="8"/>
      <c r="L1142" s="12"/>
      <c r="M1142" s="13"/>
      <c r="N1142" s="13" t="str">
        <f>IFERROR(__xludf.DUMMYFUNCTION("IF(ISBLANK(M1142),"""",M1142*GOOGLEFINANCE(""USDGBP""))"),"")</f>
        <v/>
      </c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</row>
    <row r="1143">
      <c r="A1143" s="8" t="str">
        <f>IFERROR(__xludf.DUMMYFUNCTION("""COMPUTED_VALUE"""),"102888920180600750")</f>
        <v>102888920180600750</v>
      </c>
      <c r="B1143" s="9" t="str">
        <f>IFERROR(__xludf.DUMMYFUNCTION("""COMPUTED_VALUE"""),"France")</f>
        <v>France</v>
      </c>
      <c r="C1143" s="9" t="str">
        <f>IFERROR(__xludf.DUMMYFUNCTION("""COMPUTED_VALUE"""),"burgundy")</f>
        <v>burgundy</v>
      </c>
      <c r="D1143" s="9" t="str">
        <f>IFERROR(__xludf.DUMMYFUNCTION("""COMPUTED_VALUE"""),"Joseph Drouhin, Chambolle-Musigny Premier Cru")</f>
        <v>Joseph Drouhin, Chambolle-Musigny Premier Cru</v>
      </c>
      <c r="E1143" s="9">
        <f>IFERROR(__xludf.DUMMYFUNCTION("""COMPUTED_VALUE"""),2018.0)</f>
        <v>2018</v>
      </c>
      <c r="F1143" s="9">
        <f>IFERROR(__xludf.DUMMYFUNCTION("""COMPUTED_VALUE"""),750.0)</f>
        <v>750</v>
      </c>
      <c r="G1143" s="9">
        <f>IFERROR(__xludf.DUMMYFUNCTION("""COMPUTED_VALUE"""),6.0)</f>
        <v>6</v>
      </c>
      <c r="H1143" s="10">
        <f>IFERROR(__xludf.DUMMYFUNCTION("""COMPUTED_VALUE"""),2.0)</f>
        <v>2</v>
      </c>
      <c r="I1143" s="11">
        <f>IFERROR(__xludf.DUMMYFUNCTION("""COMPUTED_VALUE"""),450.0)</f>
        <v>450</v>
      </c>
      <c r="J1143" s="9" t="str">
        <f>IFERROR(__xludf.DUMMYFUNCTION("""COMPUTED_VALUE"""),"UK")</f>
        <v>UK</v>
      </c>
      <c r="K1143" s="8"/>
      <c r="L1143" s="12"/>
      <c r="M1143" s="13"/>
      <c r="N1143" s="13" t="str">
        <f>IFERROR(__xludf.DUMMYFUNCTION("IF(ISBLANK(M1143),"""",M1143*GOOGLEFINANCE(""USDGBP""))"),"")</f>
        <v/>
      </c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</row>
    <row r="1144">
      <c r="A1144" s="8" t="str">
        <f>IFERROR(__xludf.DUMMYFUNCTION("""COMPUTED_VALUE"""),"102889220190600750")</f>
        <v>102889220190600750</v>
      </c>
      <c r="B1144" s="9" t="str">
        <f>IFERROR(__xludf.DUMMYFUNCTION("""COMPUTED_VALUE"""),"France")</f>
        <v>France</v>
      </c>
      <c r="C1144" s="9" t="str">
        <f>IFERROR(__xludf.DUMMYFUNCTION("""COMPUTED_VALUE"""),"burgundy")</f>
        <v>burgundy</v>
      </c>
      <c r="D1144" s="9" t="str">
        <f>IFERROR(__xludf.DUMMYFUNCTION("""COMPUTED_VALUE"""),"Joseph Drouhin, Chambolle-Musigny Premier Cru, Les Amoureuses")</f>
        <v>Joseph Drouhin, Chambolle-Musigny Premier Cru, Les Amoureuses</v>
      </c>
      <c r="E1144" s="9">
        <f>IFERROR(__xludf.DUMMYFUNCTION("""COMPUTED_VALUE"""),2019.0)</f>
        <v>2019</v>
      </c>
      <c r="F1144" s="9">
        <f>IFERROR(__xludf.DUMMYFUNCTION("""COMPUTED_VALUE"""),750.0)</f>
        <v>750</v>
      </c>
      <c r="G1144" s="9">
        <f>IFERROR(__xludf.DUMMYFUNCTION("""COMPUTED_VALUE"""),6.0)</f>
        <v>6</v>
      </c>
      <c r="H1144" s="10">
        <f>IFERROR(__xludf.DUMMYFUNCTION("""COMPUTED_VALUE"""),1.0)</f>
        <v>1</v>
      </c>
      <c r="I1144" s="11">
        <f>IFERROR(__xludf.DUMMYFUNCTION("""COMPUTED_VALUE"""),3417.0)</f>
        <v>3417</v>
      </c>
      <c r="J1144" s="9" t="str">
        <f>IFERROR(__xludf.DUMMYFUNCTION("""COMPUTED_VALUE"""),"UK")</f>
        <v>UK</v>
      </c>
      <c r="K1144" s="8"/>
      <c r="L1144" s="12"/>
      <c r="M1144" s="13"/>
      <c r="N1144" s="13" t="str">
        <f>IFERROR(__xludf.DUMMYFUNCTION("IF(ISBLANK(M1144),"""",M1144*GOOGLEFINANCE(""USDGBP""))"),"")</f>
        <v/>
      </c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</row>
    <row r="1145">
      <c r="A1145" s="8" t="str">
        <f>IFERROR(__xludf.DUMMYFUNCTION("""COMPUTED_VALUE"""),"102890620140600750")</f>
        <v>102890620140600750</v>
      </c>
      <c r="B1145" s="9" t="str">
        <f>IFERROR(__xludf.DUMMYFUNCTION("""COMPUTED_VALUE"""),"France")</f>
        <v>France</v>
      </c>
      <c r="C1145" s="9" t="str">
        <f>IFERROR(__xludf.DUMMYFUNCTION("""COMPUTED_VALUE"""),"burgundy")</f>
        <v>burgundy</v>
      </c>
      <c r="D1145" s="9" t="str">
        <f>IFERROR(__xludf.DUMMYFUNCTION("""COMPUTED_VALUE"""),"Joseph Drouhin, Chambolle-Musigny Premier Cru, Les Baudes")</f>
        <v>Joseph Drouhin, Chambolle-Musigny Premier Cru, Les Baudes</v>
      </c>
      <c r="E1145" s="9">
        <f>IFERROR(__xludf.DUMMYFUNCTION("""COMPUTED_VALUE"""),2014.0)</f>
        <v>2014</v>
      </c>
      <c r="F1145" s="9">
        <f>IFERROR(__xludf.DUMMYFUNCTION("""COMPUTED_VALUE"""),750.0)</f>
        <v>750</v>
      </c>
      <c r="G1145" s="9">
        <f>IFERROR(__xludf.DUMMYFUNCTION("""COMPUTED_VALUE"""),6.0)</f>
        <v>6</v>
      </c>
      <c r="H1145" s="10">
        <f>IFERROR(__xludf.DUMMYFUNCTION("""COMPUTED_VALUE"""),2.0)</f>
        <v>2</v>
      </c>
      <c r="I1145" s="11">
        <f>IFERROR(__xludf.DUMMYFUNCTION("""COMPUTED_VALUE"""),806.0)</f>
        <v>806</v>
      </c>
      <c r="J1145" s="9" t="str">
        <f>IFERROR(__xludf.DUMMYFUNCTION("""COMPUTED_VALUE"""),"UK")</f>
        <v>UK</v>
      </c>
      <c r="K1145" s="8"/>
      <c r="L1145" s="12"/>
      <c r="M1145" s="13"/>
      <c r="N1145" s="13" t="str">
        <f>IFERROR(__xludf.DUMMYFUNCTION("IF(ISBLANK(M1145),"""",M1145*GOOGLEFINANCE(""USDGBP""))"),"")</f>
        <v/>
      </c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</row>
    <row r="1146">
      <c r="A1146" s="8" t="str">
        <f>IFERROR(__xludf.DUMMYFUNCTION("""COMPUTED_VALUE"""),"102890620180600750")</f>
        <v>102890620180600750</v>
      </c>
      <c r="B1146" s="9" t="str">
        <f>IFERROR(__xludf.DUMMYFUNCTION("""COMPUTED_VALUE"""),"France")</f>
        <v>France</v>
      </c>
      <c r="C1146" s="9" t="str">
        <f>IFERROR(__xludf.DUMMYFUNCTION("""COMPUTED_VALUE"""),"burgundy")</f>
        <v>burgundy</v>
      </c>
      <c r="D1146" s="9" t="str">
        <f>IFERROR(__xludf.DUMMYFUNCTION("""COMPUTED_VALUE"""),"Joseph Drouhin, Chambolle-Musigny Premier Cru, Les Baudes")</f>
        <v>Joseph Drouhin, Chambolle-Musigny Premier Cru, Les Baudes</v>
      </c>
      <c r="E1146" s="9">
        <f>IFERROR(__xludf.DUMMYFUNCTION("""COMPUTED_VALUE"""),2018.0)</f>
        <v>2018</v>
      </c>
      <c r="F1146" s="9">
        <f>IFERROR(__xludf.DUMMYFUNCTION("""COMPUTED_VALUE"""),750.0)</f>
        <v>750</v>
      </c>
      <c r="G1146" s="9">
        <f>IFERROR(__xludf.DUMMYFUNCTION("""COMPUTED_VALUE"""),6.0)</f>
        <v>6</v>
      </c>
      <c r="H1146" s="10">
        <f>IFERROR(__xludf.DUMMYFUNCTION("""COMPUTED_VALUE"""),1.0)</f>
        <v>1</v>
      </c>
      <c r="I1146" s="11">
        <f>IFERROR(__xludf.DUMMYFUNCTION("""COMPUTED_VALUE"""),649.0)</f>
        <v>649</v>
      </c>
      <c r="J1146" s="9" t="str">
        <f>IFERROR(__xludf.DUMMYFUNCTION("""COMPUTED_VALUE"""),"UK")</f>
        <v>UK</v>
      </c>
      <c r="K1146" s="8"/>
      <c r="L1146" s="12"/>
      <c r="M1146" s="13"/>
      <c r="N1146" s="13" t="str">
        <f>IFERROR(__xludf.DUMMYFUNCTION("IF(ISBLANK(M1146),"""",M1146*GOOGLEFINANCE(""USDGBP""))"),"")</f>
        <v/>
      </c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</row>
    <row r="1147">
      <c r="A1147" s="8" t="str">
        <f>IFERROR(__xludf.DUMMYFUNCTION("""COMPUTED_VALUE"""),"102896420190600750")</f>
        <v>102896420190600750</v>
      </c>
      <c r="B1147" s="9" t="str">
        <f>IFERROR(__xludf.DUMMYFUNCTION("""COMPUTED_VALUE"""),"France")</f>
        <v>France</v>
      </c>
      <c r="C1147" s="9" t="str">
        <f>IFERROR(__xludf.DUMMYFUNCTION("""COMPUTED_VALUE"""),"burgundy")</f>
        <v>burgundy</v>
      </c>
      <c r="D1147" s="9" t="str">
        <f>IFERROR(__xludf.DUMMYFUNCTION("""COMPUTED_VALUE"""),"Joseph Drouhin, Charmes-Chambertin Grand Cru")</f>
        <v>Joseph Drouhin, Charmes-Chambertin Grand Cru</v>
      </c>
      <c r="E1147" s="9">
        <f>IFERROR(__xludf.DUMMYFUNCTION("""COMPUTED_VALUE"""),2019.0)</f>
        <v>2019</v>
      </c>
      <c r="F1147" s="9">
        <f>IFERROR(__xludf.DUMMYFUNCTION("""COMPUTED_VALUE"""),750.0)</f>
        <v>750</v>
      </c>
      <c r="G1147" s="9">
        <f>IFERROR(__xludf.DUMMYFUNCTION("""COMPUTED_VALUE"""),6.0)</f>
        <v>6</v>
      </c>
      <c r="H1147" s="10">
        <f>IFERROR(__xludf.DUMMYFUNCTION("""COMPUTED_VALUE"""),1.0)</f>
        <v>1</v>
      </c>
      <c r="I1147" s="11">
        <f>IFERROR(__xludf.DUMMYFUNCTION("""COMPUTED_VALUE"""),1040.0)</f>
        <v>1040</v>
      </c>
      <c r="J1147" s="9" t="str">
        <f>IFERROR(__xludf.DUMMYFUNCTION("""COMPUTED_VALUE"""),"UK")</f>
        <v>UK</v>
      </c>
      <c r="K1147" s="8"/>
      <c r="L1147" s="12"/>
      <c r="M1147" s="13"/>
      <c r="N1147" s="13" t="str">
        <f>IFERROR(__xludf.DUMMYFUNCTION("IF(ISBLANK(M1147),"""",M1147*GOOGLEFINANCE(""USDGBP""))"),"")</f>
        <v/>
      </c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</row>
    <row r="1148">
      <c r="A1148" s="8" t="str">
        <f>IFERROR(__xludf.DUMMYFUNCTION("""COMPUTED_VALUE"""),"102896420200300750")</f>
        <v>102896420200300750</v>
      </c>
      <c r="B1148" s="9" t="str">
        <f>IFERROR(__xludf.DUMMYFUNCTION("""COMPUTED_VALUE"""),"France")</f>
        <v>France</v>
      </c>
      <c r="C1148" s="9" t="str">
        <f>IFERROR(__xludf.DUMMYFUNCTION("""COMPUTED_VALUE"""),"burgundy")</f>
        <v>burgundy</v>
      </c>
      <c r="D1148" s="9" t="str">
        <f>IFERROR(__xludf.DUMMYFUNCTION("""COMPUTED_VALUE"""),"Joseph Drouhin, Charmes-Chambertin Grand Cru")</f>
        <v>Joseph Drouhin, Charmes-Chambertin Grand Cru</v>
      </c>
      <c r="E1148" s="9">
        <f>IFERROR(__xludf.DUMMYFUNCTION("""COMPUTED_VALUE"""),2020.0)</f>
        <v>2020</v>
      </c>
      <c r="F1148" s="9">
        <f>IFERROR(__xludf.DUMMYFUNCTION("""COMPUTED_VALUE"""),750.0)</f>
        <v>750</v>
      </c>
      <c r="G1148" s="9">
        <f>IFERROR(__xludf.DUMMYFUNCTION("""COMPUTED_VALUE"""),3.0)</f>
        <v>3</v>
      </c>
      <c r="H1148" s="10">
        <f>IFERROR(__xludf.DUMMYFUNCTION("""COMPUTED_VALUE"""),1.0)</f>
        <v>1</v>
      </c>
      <c r="I1148" s="11">
        <f>IFERROR(__xludf.DUMMYFUNCTION("""COMPUTED_VALUE"""),594.0)</f>
        <v>594</v>
      </c>
      <c r="J1148" s="9" t="str">
        <f>IFERROR(__xludf.DUMMYFUNCTION("""COMPUTED_VALUE"""),"UK")</f>
        <v>UK</v>
      </c>
      <c r="K1148" s="8"/>
      <c r="L1148" s="12"/>
      <c r="M1148" s="13"/>
      <c r="N1148" s="13" t="str">
        <f>IFERROR(__xludf.DUMMYFUNCTION("IF(ISBLANK(M1148),"""",M1148*GOOGLEFINANCE(""USDGBP""))"),"")</f>
        <v/>
      </c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</row>
    <row r="1149">
      <c r="A1149" s="8" t="str">
        <f>IFERROR(__xludf.DUMMYFUNCTION("""COMPUTED_VALUE"""),"102901720180600750")</f>
        <v>102901720180600750</v>
      </c>
      <c r="B1149" s="9" t="str">
        <f>IFERROR(__xludf.DUMMYFUNCTION("""COMPUTED_VALUE"""),"France")</f>
        <v>France</v>
      </c>
      <c r="C1149" s="9" t="str">
        <f>IFERROR(__xludf.DUMMYFUNCTION("""COMPUTED_VALUE"""),"burgundy")</f>
        <v>burgundy</v>
      </c>
      <c r="D1149" s="9" t="str">
        <f>IFERROR(__xludf.DUMMYFUNCTION("""COMPUTED_VALUE"""),"Joseph Drouhin, Clos Saint-Denis Grand Cru")</f>
        <v>Joseph Drouhin, Clos Saint-Denis Grand Cru</v>
      </c>
      <c r="E1149" s="9">
        <f>IFERROR(__xludf.DUMMYFUNCTION("""COMPUTED_VALUE"""),2018.0)</f>
        <v>2018</v>
      </c>
      <c r="F1149" s="9">
        <f>IFERROR(__xludf.DUMMYFUNCTION("""COMPUTED_VALUE"""),750.0)</f>
        <v>750</v>
      </c>
      <c r="G1149" s="9">
        <f>IFERROR(__xludf.DUMMYFUNCTION("""COMPUTED_VALUE"""),6.0)</f>
        <v>6</v>
      </c>
      <c r="H1149" s="10">
        <f>IFERROR(__xludf.DUMMYFUNCTION("""COMPUTED_VALUE"""),1.0)</f>
        <v>1</v>
      </c>
      <c r="I1149" s="11">
        <f>IFERROR(__xludf.DUMMYFUNCTION("""COMPUTED_VALUE"""),923.0)</f>
        <v>923</v>
      </c>
      <c r="J1149" s="9" t="str">
        <f>IFERROR(__xludf.DUMMYFUNCTION("""COMPUTED_VALUE"""),"UK")</f>
        <v>UK</v>
      </c>
      <c r="K1149" s="8"/>
      <c r="L1149" s="12"/>
      <c r="M1149" s="13"/>
      <c r="N1149" s="13" t="str">
        <f>IFERROR(__xludf.DUMMYFUNCTION("IF(ISBLANK(M1149),"""",M1149*GOOGLEFINANCE(""USDGBP""))"),"")</f>
        <v/>
      </c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</row>
    <row r="1150">
      <c r="A1150" s="8" t="str">
        <f>IFERROR(__xludf.DUMMYFUNCTION("""COMPUTED_VALUE"""),"102902020160600750")</f>
        <v>102902020160600750</v>
      </c>
      <c r="B1150" s="9" t="str">
        <f>IFERROR(__xludf.DUMMYFUNCTION("""COMPUTED_VALUE"""),"France")</f>
        <v>France</v>
      </c>
      <c r="C1150" s="9" t="str">
        <f>IFERROR(__xludf.DUMMYFUNCTION("""COMPUTED_VALUE"""),"burgundy")</f>
        <v>burgundy</v>
      </c>
      <c r="D1150" s="9" t="str">
        <f>IFERROR(__xludf.DUMMYFUNCTION("""COMPUTED_VALUE"""),"Joseph Drouhin, Clos de Vougeot Grand Cru")</f>
        <v>Joseph Drouhin, Clos de Vougeot Grand Cru</v>
      </c>
      <c r="E1150" s="9">
        <f>IFERROR(__xludf.DUMMYFUNCTION("""COMPUTED_VALUE"""),2016.0)</f>
        <v>2016</v>
      </c>
      <c r="F1150" s="9">
        <f>IFERROR(__xludf.DUMMYFUNCTION("""COMPUTED_VALUE"""),750.0)</f>
        <v>750</v>
      </c>
      <c r="G1150" s="9">
        <f>IFERROR(__xludf.DUMMYFUNCTION("""COMPUTED_VALUE"""),6.0)</f>
        <v>6</v>
      </c>
      <c r="H1150" s="10">
        <f>IFERROR(__xludf.DUMMYFUNCTION("""COMPUTED_VALUE"""),4.0)</f>
        <v>4</v>
      </c>
      <c r="I1150" s="11">
        <f>IFERROR(__xludf.DUMMYFUNCTION("""COMPUTED_VALUE"""),1091.0)</f>
        <v>1091</v>
      </c>
      <c r="J1150" s="9" t="str">
        <f>IFERROR(__xludf.DUMMYFUNCTION("""COMPUTED_VALUE"""),"UK")</f>
        <v>UK</v>
      </c>
      <c r="K1150" s="8"/>
      <c r="L1150" s="12"/>
      <c r="M1150" s="13"/>
      <c r="N1150" s="13" t="str">
        <f>IFERROR(__xludf.DUMMYFUNCTION("IF(ISBLANK(M1150),"""",M1150*GOOGLEFINANCE(""USDGBP""))"),"")</f>
        <v/>
      </c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</row>
    <row r="1151">
      <c r="A1151" s="8" t="str">
        <f>IFERROR(__xludf.DUMMYFUNCTION("""COMPUTED_VALUE"""),"102902020170600750")</f>
        <v>102902020170600750</v>
      </c>
      <c r="B1151" s="9" t="str">
        <f>IFERROR(__xludf.DUMMYFUNCTION("""COMPUTED_VALUE"""),"France")</f>
        <v>France</v>
      </c>
      <c r="C1151" s="9" t="str">
        <f>IFERROR(__xludf.DUMMYFUNCTION("""COMPUTED_VALUE"""),"burgundy")</f>
        <v>burgundy</v>
      </c>
      <c r="D1151" s="9" t="str">
        <f>IFERROR(__xludf.DUMMYFUNCTION("""COMPUTED_VALUE"""),"Joseph Drouhin, Clos de Vougeot Grand Cru")</f>
        <v>Joseph Drouhin, Clos de Vougeot Grand Cru</v>
      </c>
      <c r="E1151" s="9">
        <f>IFERROR(__xludf.DUMMYFUNCTION("""COMPUTED_VALUE"""),2017.0)</f>
        <v>2017</v>
      </c>
      <c r="F1151" s="9">
        <f>IFERROR(__xludf.DUMMYFUNCTION("""COMPUTED_VALUE"""),750.0)</f>
        <v>750</v>
      </c>
      <c r="G1151" s="9">
        <f>IFERROR(__xludf.DUMMYFUNCTION("""COMPUTED_VALUE"""),6.0)</f>
        <v>6</v>
      </c>
      <c r="H1151" s="10">
        <f>IFERROR(__xludf.DUMMYFUNCTION("""COMPUTED_VALUE"""),2.0)</f>
        <v>2</v>
      </c>
      <c r="I1151" s="11">
        <f>IFERROR(__xludf.DUMMYFUNCTION("""COMPUTED_VALUE"""),1013.0)</f>
        <v>1013</v>
      </c>
      <c r="J1151" s="9" t="str">
        <f>IFERROR(__xludf.DUMMYFUNCTION("""COMPUTED_VALUE"""),"UK")</f>
        <v>UK</v>
      </c>
      <c r="K1151" s="8"/>
      <c r="L1151" s="12"/>
      <c r="M1151" s="13"/>
      <c r="N1151" s="13" t="str">
        <f>IFERROR(__xludf.DUMMYFUNCTION("IF(ISBLANK(M1151),"""",M1151*GOOGLEFINANCE(""USDGBP""))"),"")</f>
        <v/>
      </c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</row>
    <row r="1152">
      <c r="A1152" s="8" t="str">
        <f>IFERROR(__xludf.DUMMYFUNCTION("""COMPUTED_VALUE"""),"102902020180600750")</f>
        <v>102902020180600750</v>
      </c>
      <c r="B1152" s="9" t="str">
        <f>IFERROR(__xludf.DUMMYFUNCTION("""COMPUTED_VALUE"""),"France")</f>
        <v>France</v>
      </c>
      <c r="C1152" s="9" t="str">
        <f>IFERROR(__xludf.DUMMYFUNCTION("""COMPUTED_VALUE"""),"burgundy")</f>
        <v>burgundy</v>
      </c>
      <c r="D1152" s="9" t="str">
        <f>IFERROR(__xludf.DUMMYFUNCTION("""COMPUTED_VALUE"""),"Joseph Drouhin, Clos de Vougeot Grand Cru")</f>
        <v>Joseph Drouhin, Clos de Vougeot Grand Cru</v>
      </c>
      <c r="E1152" s="9">
        <f>IFERROR(__xludf.DUMMYFUNCTION("""COMPUTED_VALUE"""),2018.0)</f>
        <v>2018</v>
      </c>
      <c r="F1152" s="9">
        <f>IFERROR(__xludf.DUMMYFUNCTION("""COMPUTED_VALUE"""),750.0)</f>
        <v>750</v>
      </c>
      <c r="G1152" s="9">
        <f>IFERROR(__xludf.DUMMYFUNCTION("""COMPUTED_VALUE"""),6.0)</f>
        <v>6</v>
      </c>
      <c r="H1152" s="10">
        <f>IFERROR(__xludf.DUMMYFUNCTION("""COMPUTED_VALUE"""),15.0)</f>
        <v>15</v>
      </c>
      <c r="I1152" s="11">
        <f>IFERROR(__xludf.DUMMYFUNCTION("""COMPUTED_VALUE"""),1157.0)</f>
        <v>1157</v>
      </c>
      <c r="J1152" s="9" t="str">
        <f>IFERROR(__xludf.DUMMYFUNCTION("""COMPUTED_VALUE"""),"UK")</f>
        <v>UK</v>
      </c>
      <c r="K1152" s="8"/>
      <c r="L1152" s="12"/>
      <c r="M1152" s="13"/>
      <c r="N1152" s="13" t="str">
        <f>IFERROR(__xludf.DUMMYFUNCTION("IF(ISBLANK(M1152),"""",M1152*GOOGLEFINANCE(""USDGBP""))"),"")</f>
        <v/>
      </c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</row>
    <row r="1153">
      <c r="A1153" s="8" t="str">
        <f>IFERROR(__xludf.DUMMYFUNCTION("""COMPUTED_VALUE"""),"102900420180600750")</f>
        <v>102900420180600750</v>
      </c>
      <c r="B1153" s="9" t="str">
        <f>IFERROR(__xludf.DUMMYFUNCTION("""COMPUTED_VALUE"""),"France")</f>
        <v>France</v>
      </c>
      <c r="C1153" s="9" t="str">
        <f>IFERROR(__xludf.DUMMYFUNCTION("""COMPUTED_VALUE"""),"burgundy")</f>
        <v>burgundy</v>
      </c>
      <c r="D1153" s="9" t="str">
        <f>IFERROR(__xludf.DUMMYFUNCTION("""COMPUTED_VALUE"""),"Joseph Drouhin, Clos de la Roche Grand Cru")</f>
        <v>Joseph Drouhin, Clos de la Roche Grand Cru</v>
      </c>
      <c r="E1153" s="9">
        <f>IFERROR(__xludf.DUMMYFUNCTION("""COMPUTED_VALUE"""),2018.0)</f>
        <v>2018</v>
      </c>
      <c r="F1153" s="9">
        <f>IFERROR(__xludf.DUMMYFUNCTION("""COMPUTED_VALUE"""),750.0)</f>
        <v>750</v>
      </c>
      <c r="G1153" s="9">
        <f>IFERROR(__xludf.DUMMYFUNCTION("""COMPUTED_VALUE"""),6.0)</f>
        <v>6</v>
      </c>
      <c r="H1153" s="10">
        <f>IFERROR(__xludf.DUMMYFUNCTION("""COMPUTED_VALUE"""),2.0)</f>
        <v>2</v>
      </c>
      <c r="I1153" s="11">
        <f>IFERROR(__xludf.DUMMYFUNCTION("""COMPUTED_VALUE"""),1008.0)</f>
        <v>1008</v>
      </c>
      <c r="J1153" s="9" t="str">
        <f>IFERROR(__xludf.DUMMYFUNCTION("""COMPUTED_VALUE"""),"UK")</f>
        <v>UK</v>
      </c>
      <c r="K1153" s="8"/>
      <c r="L1153" s="12"/>
      <c r="M1153" s="13"/>
      <c r="N1153" s="13" t="str">
        <f>IFERROR(__xludf.DUMMYFUNCTION("IF(ISBLANK(M1153),"""",M1153*GOOGLEFINANCE(""USDGBP""))"),"")</f>
        <v/>
      </c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</row>
    <row r="1154">
      <c r="A1154" s="8" t="str">
        <f>IFERROR(__xludf.DUMMYFUNCTION("""COMPUTED_VALUE"""),"102900420190300750")</f>
        <v>102900420190300750</v>
      </c>
      <c r="B1154" s="9" t="str">
        <f>IFERROR(__xludf.DUMMYFUNCTION("""COMPUTED_VALUE"""),"France")</f>
        <v>France</v>
      </c>
      <c r="C1154" s="9" t="str">
        <f>IFERROR(__xludf.DUMMYFUNCTION("""COMPUTED_VALUE"""),"burgundy")</f>
        <v>burgundy</v>
      </c>
      <c r="D1154" s="9" t="str">
        <f>IFERROR(__xludf.DUMMYFUNCTION("""COMPUTED_VALUE"""),"Joseph Drouhin, Clos de la Roche Grand Cru")</f>
        <v>Joseph Drouhin, Clos de la Roche Grand Cru</v>
      </c>
      <c r="E1154" s="9">
        <f>IFERROR(__xludf.DUMMYFUNCTION("""COMPUTED_VALUE"""),2019.0)</f>
        <v>2019</v>
      </c>
      <c r="F1154" s="9">
        <f>IFERROR(__xludf.DUMMYFUNCTION("""COMPUTED_VALUE"""),750.0)</f>
        <v>750</v>
      </c>
      <c r="G1154" s="9">
        <f>IFERROR(__xludf.DUMMYFUNCTION("""COMPUTED_VALUE"""),3.0)</f>
        <v>3</v>
      </c>
      <c r="H1154" s="10">
        <f>IFERROR(__xludf.DUMMYFUNCTION("""COMPUTED_VALUE"""),2.0)</f>
        <v>2</v>
      </c>
      <c r="I1154" s="11">
        <f>IFERROR(__xludf.DUMMYFUNCTION("""COMPUTED_VALUE"""),599.0)</f>
        <v>599</v>
      </c>
      <c r="J1154" s="9" t="str">
        <f>IFERROR(__xludf.DUMMYFUNCTION("""COMPUTED_VALUE"""),"UK")</f>
        <v>UK</v>
      </c>
      <c r="K1154" s="8"/>
      <c r="L1154" s="12"/>
      <c r="M1154" s="13"/>
      <c r="N1154" s="13" t="str">
        <f>IFERROR(__xludf.DUMMYFUNCTION("IF(ISBLANK(M1154),"""",M1154*GOOGLEFINANCE(""USDGBP""))"),"")</f>
        <v/>
      </c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</row>
    <row r="1155">
      <c r="A1155" s="8" t="str">
        <f>IFERROR(__xludf.DUMMYFUNCTION("""COMPUTED_VALUE"""),"102903320180600750")</f>
        <v>102903320180600750</v>
      </c>
      <c r="B1155" s="9" t="str">
        <f>IFERROR(__xludf.DUMMYFUNCTION("""COMPUTED_VALUE"""),"France")</f>
        <v>France</v>
      </c>
      <c r="C1155" s="9" t="str">
        <f>IFERROR(__xludf.DUMMYFUNCTION("""COMPUTED_VALUE"""),"burgundy")</f>
        <v>burgundy</v>
      </c>
      <c r="D1155" s="9" t="str">
        <f>IFERROR(__xludf.DUMMYFUNCTION("""COMPUTED_VALUE"""),"Joseph Drouhin, Corton Grand Cru")</f>
        <v>Joseph Drouhin, Corton Grand Cru</v>
      </c>
      <c r="E1155" s="9">
        <f>IFERROR(__xludf.DUMMYFUNCTION("""COMPUTED_VALUE"""),2018.0)</f>
        <v>2018</v>
      </c>
      <c r="F1155" s="9">
        <f>IFERROR(__xludf.DUMMYFUNCTION("""COMPUTED_VALUE"""),750.0)</f>
        <v>750</v>
      </c>
      <c r="G1155" s="9">
        <f>IFERROR(__xludf.DUMMYFUNCTION("""COMPUTED_VALUE"""),6.0)</f>
        <v>6</v>
      </c>
      <c r="H1155" s="10">
        <f>IFERROR(__xludf.DUMMYFUNCTION("""COMPUTED_VALUE"""),4.0)</f>
        <v>4</v>
      </c>
      <c r="I1155" s="11">
        <f>IFERROR(__xludf.DUMMYFUNCTION("""COMPUTED_VALUE"""),901.0)</f>
        <v>901</v>
      </c>
      <c r="J1155" s="9" t="str">
        <f>IFERROR(__xludf.DUMMYFUNCTION("""COMPUTED_VALUE"""),"UK")</f>
        <v>UK</v>
      </c>
      <c r="K1155" s="8"/>
      <c r="L1155" s="12"/>
      <c r="M1155" s="13"/>
      <c r="N1155" s="13" t="str">
        <f>IFERROR(__xludf.DUMMYFUNCTION("IF(ISBLANK(M1155),"""",M1155*GOOGLEFINANCE(""USDGBP""))"),"")</f>
        <v/>
      </c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</row>
    <row r="1156">
      <c r="A1156" s="8" t="str">
        <f>IFERROR(__xludf.DUMMYFUNCTION("""COMPUTED_VALUE"""),"102905920170600750")</f>
        <v>102905920170600750</v>
      </c>
      <c r="B1156" s="9" t="str">
        <f>IFERROR(__xludf.DUMMYFUNCTION("""COMPUTED_VALUE"""),"France")</f>
        <v>France</v>
      </c>
      <c r="C1156" s="9" t="str">
        <f>IFERROR(__xludf.DUMMYFUNCTION("""COMPUTED_VALUE"""),"burgundy")</f>
        <v>burgundy</v>
      </c>
      <c r="D1156" s="9" t="str">
        <f>IFERROR(__xludf.DUMMYFUNCTION("""COMPUTED_VALUE"""),"Joseph Drouhin, Echezeaux Grand Cru")</f>
        <v>Joseph Drouhin, Echezeaux Grand Cru</v>
      </c>
      <c r="E1156" s="9">
        <f>IFERROR(__xludf.DUMMYFUNCTION("""COMPUTED_VALUE"""),2017.0)</f>
        <v>2017</v>
      </c>
      <c r="F1156" s="9">
        <f>IFERROR(__xludf.DUMMYFUNCTION("""COMPUTED_VALUE"""),750.0)</f>
        <v>750</v>
      </c>
      <c r="G1156" s="9">
        <f>IFERROR(__xludf.DUMMYFUNCTION("""COMPUTED_VALUE"""),6.0)</f>
        <v>6</v>
      </c>
      <c r="H1156" s="10">
        <f>IFERROR(__xludf.DUMMYFUNCTION("""COMPUTED_VALUE"""),2.0)</f>
        <v>2</v>
      </c>
      <c r="I1156" s="11">
        <f>IFERROR(__xludf.DUMMYFUNCTION("""COMPUTED_VALUE"""),1437.0)</f>
        <v>1437</v>
      </c>
      <c r="J1156" s="9" t="str">
        <f>IFERROR(__xludf.DUMMYFUNCTION("""COMPUTED_VALUE"""),"UK")</f>
        <v>UK</v>
      </c>
      <c r="K1156" s="8"/>
      <c r="L1156" s="12"/>
      <c r="M1156" s="13"/>
      <c r="N1156" s="13" t="str">
        <f>IFERROR(__xludf.DUMMYFUNCTION("IF(ISBLANK(M1156),"""",M1156*GOOGLEFINANCE(""USDGBP""))"),"")</f>
        <v/>
      </c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</row>
    <row r="1157">
      <c r="A1157" s="8" t="str">
        <f>IFERROR(__xludf.DUMMYFUNCTION("""COMPUTED_VALUE"""),"102905920180600750")</f>
        <v>102905920180600750</v>
      </c>
      <c r="B1157" s="9" t="str">
        <f>IFERROR(__xludf.DUMMYFUNCTION("""COMPUTED_VALUE"""),"France")</f>
        <v>France</v>
      </c>
      <c r="C1157" s="9" t="str">
        <f>IFERROR(__xludf.DUMMYFUNCTION("""COMPUTED_VALUE"""),"burgundy")</f>
        <v>burgundy</v>
      </c>
      <c r="D1157" s="9" t="str">
        <f>IFERROR(__xludf.DUMMYFUNCTION("""COMPUTED_VALUE"""),"Joseph Drouhin, Echezeaux Grand Cru")</f>
        <v>Joseph Drouhin, Echezeaux Grand Cru</v>
      </c>
      <c r="E1157" s="9">
        <f>IFERROR(__xludf.DUMMYFUNCTION("""COMPUTED_VALUE"""),2018.0)</f>
        <v>2018</v>
      </c>
      <c r="F1157" s="9">
        <f>IFERROR(__xludf.DUMMYFUNCTION("""COMPUTED_VALUE"""),750.0)</f>
        <v>750</v>
      </c>
      <c r="G1157" s="9">
        <f>IFERROR(__xludf.DUMMYFUNCTION("""COMPUTED_VALUE"""),6.0)</f>
        <v>6</v>
      </c>
      <c r="H1157" s="10">
        <f>IFERROR(__xludf.DUMMYFUNCTION("""COMPUTED_VALUE"""),1.0)</f>
        <v>1</v>
      </c>
      <c r="I1157" s="11">
        <f>IFERROR(__xludf.DUMMYFUNCTION("""COMPUTED_VALUE"""),1213.0)</f>
        <v>1213</v>
      </c>
      <c r="J1157" s="9" t="str">
        <f>IFERROR(__xludf.DUMMYFUNCTION("""COMPUTED_VALUE"""),"UK")</f>
        <v>UK</v>
      </c>
      <c r="K1157" s="8"/>
      <c r="L1157" s="12"/>
      <c r="M1157" s="13"/>
      <c r="N1157" s="13" t="str">
        <f>IFERROR(__xludf.DUMMYFUNCTION("IF(ISBLANK(M1157),"""",M1157*GOOGLEFINANCE(""USDGBP""))"),"")</f>
        <v/>
      </c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</row>
    <row r="1158">
      <c r="A1158" s="8" t="str">
        <f>IFERROR(__xludf.DUMMYFUNCTION("""COMPUTED_VALUE"""),"102907520180600750")</f>
        <v>102907520180600750</v>
      </c>
      <c r="B1158" s="9" t="str">
        <f>IFERROR(__xludf.DUMMYFUNCTION("""COMPUTED_VALUE"""),"France")</f>
        <v>France</v>
      </c>
      <c r="C1158" s="9" t="str">
        <f>IFERROR(__xludf.DUMMYFUNCTION("""COMPUTED_VALUE"""),"burgundy")</f>
        <v>burgundy</v>
      </c>
      <c r="D1158" s="9" t="str">
        <f>IFERROR(__xludf.DUMMYFUNCTION("""COMPUTED_VALUE"""),"Joseph Drouhin, Gevrey-Chambertin Premier Cru")</f>
        <v>Joseph Drouhin, Gevrey-Chambertin Premier Cru</v>
      </c>
      <c r="E1158" s="9">
        <f>IFERROR(__xludf.DUMMYFUNCTION("""COMPUTED_VALUE"""),2018.0)</f>
        <v>2018</v>
      </c>
      <c r="F1158" s="9">
        <f>IFERROR(__xludf.DUMMYFUNCTION("""COMPUTED_VALUE"""),750.0)</f>
        <v>750</v>
      </c>
      <c r="G1158" s="9">
        <f>IFERROR(__xludf.DUMMYFUNCTION("""COMPUTED_VALUE"""),6.0)</f>
        <v>6</v>
      </c>
      <c r="H1158" s="10">
        <f>IFERROR(__xludf.DUMMYFUNCTION("""COMPUTED_VALUE"""),3.0)</f>
        <v>3</v>
      </c>
      <c r="I1158" s="11">
        <f>IFERROR(__xludf.DUMMYFUNCTION("""COMPUTED_VALUE"""),251.0)</f>
        <v>251</v>
      </c>
      <c r="J1158" s="9" t="str">
        <f>IFERROR(__xludf.DUMMYFUNCTION("""COMPUTED_VALUE"""),"UK")</f>
        <v>UK</v>
      </c>
      <c r="K1158" s="8"/>
      <c r="L1158" s="12"/>
      <c r="M1158" s="13"/>
      <c r="N1158" s="13" t="str">
        <f>IFERROR(__xludf.DUMMYFUNCTION("IF(ISBLANK(M1158),"""",M1158*GOOGLEFINANCE(""USDGBP""))"),"")</f>
        <v/>
      </c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</row>
    <row r="1159">
      <c r="A1159" s="8" t="str">
        <f>IFERROR(__xludf.DUMMYFUNCTION("""COMPUTED_VALUE"""),"102913420140300750")</f>
        <v>102913420140300750</v>
      </c>
      <c r="B1159" s="9" t="str">
        <f>IFERROR(__xludf.DUMMYFUNCTION("""COMPUTED_VALUE"""),"France")</f>
        <v>France</v>
      </c>
      <c r="C1159" s="9" t="str">
        <f>IFERROR(__xludf.DUMMYFUNCTION("""COMPUTED_VALUE"""),"burgundy")</f>
        <v>burgundy</v>
      </c>
      <c r="D1159" s="9" t="str">
        <f>IFERROR(__xludf.DUMMYFUNCTION("""COMPUTED_VALUE"""),"Joseph Drouhin, Grands Echezeaux Grand Cru")</f>
        <v>Joseph Drouhin, Grands Echezeaux Grand Cru</v>
      </c>
      <c r="E1159" s="9">
        <f>IFERROR(__xludf.DUMMYFUNCTION("""COMPUTED_VALUE"""),2014.0)</f>
        <v>2014</v>
      </c>
      <c r="F1159" s="9">
        <f>IFERROR(__xludf.DUMMYFUNCTION("""COMPUTED_VALUE"""),750.0)</f>
        <v>750</v>
      </c>
      <c r="G1159" s="9">
        <f>IFERROR(__xludf.DUMMYFUNCTION("""COMPUTED_VALUE"""),3.0)</f>
        <v>3</v>
      </c>
      <c r="H1159" s="10">
        <f>IFERROR(__xludf.DUMMYFUNCTION("""COMPUTED_VALUE"""),1.0)</f>
        <v>1</v>
      </c>
      <c r="I1159" s="11">
        <f>IFERROR(__xludf.DUMMYFUNCTION("""COMPUTED_VALUE"""),879.0)</f>
        <v>879</v>
      </c>
      <c r="J1159" s="9" t="str">
        <f>IFERROR(__xludf.DUMMYFUNCTION("""COMPUTED_VALUE"""),"UK")</f>
        <v>UK</v>
      </c>
      <c r="K1159" s="8"/>
      <c r="L1159" s="12"/>
      <c r="M1159" s="13"/>
      <c r="N1159" s="13" t="str">
        <f>IFERROR(__xludf.DUMMYFUNCTION("IF(ISBLANK(M1159),"""",M1159*GOOGLEFINANCE(""USDGBP""))"),"")</f>
        <v/>
      </c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</row>
    <row r="1160">
      <c r="A1160" s="8" t="str">
        <f>IFERROR(__xludf.DUMMYFUNCTION("""COMPUTED_VALUE"""),"102913420180600750")</f>
        <v>102913420180600750</v>
      </c>
      <c r="B1160" s="9" t="str">
        <f>IFERROR(__xludf.DUMMYFUNCTION("""COMPUTED_VALUE"""),"France")</f>
        <v>France</v>
      </c>
      <c r="C1160" s="9" t="str">
        <f>IFERROR(__xludf.DUMMYFUNCTION("""COMPUTED_VALUE"""),"burgundy")</f>
        <v>burgundy</v>
      </c>
      <c r="D1160" s="9" t="str">
        <f>IFERROR(__xludf.DUMMYFUNCTION("""COMPUTED_VALUE"""),"Joseph Drouhin, Grands Echezeaux Grand Cru")</f>
        <v>Joseph Drouhin, Grands Echezeaux Grand Cru</v>
      </c>
      <c r="E1160" s="9">
        <f>IFERROR(__xludf.DUMMYFUNCTION("""COMPUTED_VALUE"""),2018.0)</f>
        <v>2018</v>
      </c>
      <c r="F1160" s="9">
        <f>IFERROR(__xludf.DUMMYFUNCTION("""COMPUTED_VALUE"""),750.0)</f>
        <v>750</v>
      </c>
      <c r="G1160" s="9">
        <f>IFERROR(__xludf.DUMMYFUNCTION("""COMPUTED_VALUE"""),6.0)</f>
        <v>6</v>
      </c>
      <c r="H1160" s="10">
        <f>IFERROR(__xludf.DUMMYFUNCTION("""COMPUTED_VALUE"""),2.0)</f>
        <v>2</v>
      </c>
      <c r="I1160" s="11">
        <f>IFERROR(__xludf.DUMMYFUNCTION("""COMPUTED_VALUE"""),2261.0)</f>
        <v>2261</v>
      </c>
      <c r="J1160" s="9" t="str">
        <f>IFERROR(__xludf.DUMMYFUNCTION("""COMPUTED_VALUE"""),"UK")</f>
        <v>UK</v>
      </c>
      <c r="K1160" s="8"/>
      <c r="L1160" s="12"/>
      <c r="M1160" s="13"/>
      <c r="N1160" s="13" t="str">
        <f>IFERROR(__xludf.DUMMYFUNCTION("IF(ISBLANK(M1160),"""",M1160*GOOGLEFINANCE(""USDGBP""))"),"")</f>
        <v/>
      </c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</row>
    <row r="1161">
      <c r="A1161" s="8" t="str">
        <f>IFERROR(__xludf.DUMMYFUNCTION("""COMPUTED_VALUE"""),"102914720180600750")</f>
        <v>102914720180600750</v>
      </c>
      <c r="B1161" s="9" t="str">
        <f>IFERROR(__xludf.DUMMYFUNCTION("""COMPUTED_VALUE"""),"France")</f>
        <v>France</v>
      </c>
      <c r="C1161" s="9" t="str">
        <f>IFERROR(__xludf.DUMMYFUNCTION("""COMPUTED_VALUE"""),"burgundy")</f>
        <v>burgundy</v>
      </c>
      <c r="D1161" s="9" t="str">
        <f>IFERROR(__xludf.DUMMYFUNCTION("""COMPUTED_VALUE"""),"Joseph Drouhin, Griotte-Chambertin Grand Cru")</f>
        <v>Joseph Drouhin, Griotte-Chambertin Grand Cru</v>
      </c>
      <c r="E1161" s="9">
        <f>IFERROR(__xludf.DUMMYFUNCTION("""COMPUTED_VALUE"""),2018.0)</f>
        <v>2018</v>
      </c>
      <c r="F1161" s="9">
        <f>IFERROR(__xludf.DUMMYFUNCTION("""COMPUTED_VALUE"""),750.0)</f>
        <v>750</v>
      </c>
      <c r="G1161" s="9">
        <f>IFERROR(__xludf.DUMMYFUNCTION("""COMPUTED_VALUE"""),6.0)</f>
        <v>6</v>
      </c>
      <c r="H1161" s="10">
        <f>IFERROR(__xludf.DUMMYFUNCTION("""COMPUTED_VALUE"""),2.0)</f>
        <v>2</v>
      </c>
      <c r="I1161" s="11">
        <f>IFERROR(__xludf.DUMMYFUNCTION("""COMPUTED_VALUE"""),1951.0)</f>
        <v>1951</v>
      </c>
      <c r="J1161" s="9" t="str">
        <f>IFERROR(__xludf.DUMMYFUNCTION("""COMPUTED_VALUE"""),"UK")</f>
        <v>UK</v>
      </c>
      <c r="K1161" s="8"/>
      <c r="L1161" s="12"/>
      <c r="M1161" s="13"/>
      <c r="N1161" s="13" t="str">
        <f>IFERROR(__xludf.DUMMYFUNCTION("IF(ISBLANK(M1161),"""",M1161*GOOGLEFINANCE(""USDGBP""))"),"")</f>
        <v/>
      </c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</row>
    <row r="1162">
      <c r="A1162" s="8" t="str">
        <f>IFERROR(__xludf.DUMMYFUNCTION("""COMPUTED_VALUE"""),"102914720200300750")</f>
        <v>102914720200300750</v>
      </c>
      <c r="B1162" s="9" t="str">
        <f>IFERROR(__xludf.DUMMYFUNCTION("""COMPUTED_VALUE"""),"France")</f>
        <v>France</v>
      </c>
      <c r="C1162" s="9" t="str">
        <f>IFERROR(__xludf.DUMMYFUNCTION("""COMPUTED_VALUE"""),"burgundy")</f>
        <v>burgundy</v>
      </c>
      <c r="D1162" s="9" t="str">
        <f>IFERROR(__xludf.DUMMYFUNCTION("""COMPUTED_VALUE"""),"Joseph Drouhin, Griotte-Chambertin Grand Cru")</f>
        <v>Joseph Drouhin, Griotte-Chambertin Grand Cru</v>
      </c>
      <c r="E1162" s="9">
        <f>IFERROR(__xludf.DUMMYFUNCTION("""COMPUTED_VALUE"""),2020.0)</f>
        <v>2020</v>
      </c>
      <c r="F1162" s="9">
        <f>IFERROR(__xludf.DUMMYFUNCTION("""COMPUTED_VALUE"""),750.0)</f>
        <v>750</v>
      </c>
      <c r="G1162" s="9">
        <f>IFERROR(__xludf.DUMMYFUNCTION("""COMPUTED_VALUE"""),3.0)</f>
        <v>3</v>
      </c>
      <c r="H1162" s="10">
        <f>IFERROR(__xludf.DUMMYFUNCTION("""COMPUTED_VALUE"""),1.0)</f>
        <v>1</v>
      </c>
      <c r="I1162" s="11">
        <f>IFERROR(__xludf.DUMMYFUNCTION("""COMPUTED_VALUE"""),1388.0)</f>
        <v>1388</v>
      </c>
      <c r="J1162" s="9" t="str">
        <f>IFERROR(__xludf.DUMMYFUNCTION("""COMPUTED_VALUE"""),"UK")</f>
        <v>UK</v>
      </c>
      <c r="K1162" s="8"/>
      <c r="L1162" s="12"/>
      <c r="M1162" s="13"/>
      <c r="N1162" s="13" t="str">
        <f>IFERROR(__xludf.DUMMYFUNCTION("IF(ISBLANK(M1162),"""",M1162*GOOGLEFINANCE(""USDGBP""))"),"")</f>
        <v/>
      </c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</row>
    <row r="1163">
      <c r="A1163" s="8" t="str">
        <f>IFERROR(__xludf.DUMMYFUNCTION("""COMPUTED_VALUE"""),"102924820150300750")</f>
        <v>102924820150300750</v>
      </c>
      <c r="B1163" s="9" t="str">
        <f>IFERROR(__xludf.DUMMYFUNCTION("""COMPUTED_VALUE"""),"France")</f>
        <v>France</v>
      </c>
      <c r="C1163" s="9" t="str">
        <f>IFERROR(__xludf.DUMMYFUNCTION("""COMPUTED_VALUE"""),"burgundy")</f>
        <v>burgundy</v>
      </c>
      <c r="D1163" s="9" t="str">
        <f>IFERROR(__xludf.DUMMYFUNCTION("""COMPUTED_VALUE"""),"Joseph Drouhin, Musigny Grand Cru")</f>
        <v>Joseph Drouhin, Musigny Grand Cru</v>
      </c>
      <c r="E1163" s="9">
        <f>IFERROR(__xludf.DUMMYFUNCTION("""COMPUTED_VALUE"""),2015.0)</f>
        <v>2015</v>
      </c>
      <c r="F1163" s="9">
        <f>IFERROR(__xludf.DUMMYFUNCTION("""COMPUTED_VALUE"""),750.0)</f>
        <v>750</v>
      </c>
      <c r="G1163" s="9">
        <f>IFERROR(__xludf.DUMMYFUNCTION("""COMPUTED_VALUE"""),3.0)</f>
        <v>3</v>
      </c>
      <c r="H1163" s="10">
        <f>IFERROR(__xludf.DUMMYFUNCTION("""COMPUTED_VALUE"""),1.0)</f>
        <v>1</v>
      </c>
      <c r="I1163" s="11">
        <f>IFERROR(__xludf.DUMMYFUNCTION("""COMPUTED_VALUE"""),2660.0)</f>
        <v>2660</v>
      </c>
      <c r="J1163" s="9" t="str">
        <f>IFERROR(__xludf.DUMMYFUNCTION("""COMPUTED_VALUE"""),"UK")</f>
        <v>UK</v>
      </c>
      <c r="K1163" s="8"/>
      <c r="L1163" s="12"/>
      <c r="M1163" s="13"/>
      <c r="N1163" s="13" t="str">
        <f>IFERROR(__xludf.DUMMYFUNCTION("IF(ISBLANK(M1163),"""",M1163*GOOGLEFINANCE(""USDGBP""))"),"")</f>
        <v/>
      </c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</row>
    <row r="1164">
      <c r="A1164" s="8" t="str">
        <f>IFERROR(__xludf.DUMMYFUNCTION("""COMPUTED_VALUE"""),"102943720170600750")</f>
        <v>102943720170600750</v>
      </c>
      <c r="B1164" s="9" t="str">
        <f>IFERROR(__xludf.DUMMYFUNCTION("""COMPUTED_VALUE"""),"France")</f>
        <v>France</v>
      </c>
      <c r="C1164" s="9" t="str">
        <f>IFERROR(__xludf.DUMMYFUNCTION("""COMPUTED_VALUE"""),"burgundy")</f>
        <v>burgundy</v>
      </c>
      <c r="D1164" s="9" t="str">
        <f>IFERROR(__xludf.DUMMYFUNCTION("""COMPUTED_VALUE"""),"Joseph Drouhin, Vosne-Romanee")</f>
        <v>Joseph Drouhin, Vosne-Romanee</v>
      </c>
      <c r="E1164" s="9">
        <f>IFERROR(__xludf.DUMMYFUNCTION("""COMPUTED_VALUE"""),2017.0)</f>
        <v>2017</v>
      </c>
      <c r="F1164" s="9">
        <f>IFERROR(__xludf.DUMMYFUNCTION("""COMPUTED_VALUE"""),750.0)</f>
        <v>750</v>
      </c>
      <c r="G1164" s="9">
        <f>IFERROR(__xludf.DUMMYFUNCTION("""COMPUTED_VALUE"""),6.0)</f>
        <v>6</v>
      </c>
      <c r="H1164" s="10">
        <f>IFERROR(__xludf.DUMMYFUNCTION("""COMPUTED_VALUE"""),1.0)</f>
        <v>1</v>
      </c>
      <c r="I1164" s="11">
        <f>IFERROR(__xludf.DUMMYFUNCTION("""COMPUTED_VALUE"""),336.0)</f>
        <v>336</v>
      </c>
      <c r="J1164" s="9" t="str">
        <f>IFERROR(__xludf.DUMMYFUNCTION("""COMPUTED_VALUE"""),"UK")</f>
        <v>UK</v>
      </c>
      <c r="K1164" s="8"/>
      <c r="L1164" s="12"/>
      <c r="M1164" s="13"/>
      <c r="N1164" s="13" t="str">
        <f>IFERROR(__xludf.DUMMYFUNCTION("IF(ISBLANK(M1164),"""",M1164*GOOGLEFINANCE(""USDGBP""))"),"")</f>
        <v/>
      </c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</row>
    <row r="1165">
      <c r="A1165" s="8" t="str">
        <f>IFERROR(__xludf.DUMMYFUNCTION("""COMPUTED_VALUE"""),"102947920190600750")</f>
        <v>102947920190600750</v>
      </c>
      <c r="B1165" s="9" t="str">
        <f>IFERROR(__xludf.DUMMYFUNCTION("""COMPUTED_VALUE"""),"France")</f>
        <v>France</v>
      </c>
      <c r="C1165" s="9" t="str">
        <f>IFERROR(__xludf.DUMMYFUNCTION("""COMPUTED_VALUE"""),"burgundy")</f>
        <v>burgundy</v>
      </c>
      <c r="D1165" s="9" t="str">
        <f>IFERROR(__xludf.DUMMYFUNCTION("""COMPUTED_VALUE"""),"Joseph Drouhin, Vosne-Romanee Premier Cru, Les Petits Monts")</f>
        <v>Joseph Drouhin, Vosne-Romanee Premier Cru, Les Petits Monts</v>
      </c>
      <c r="E1165" s="9">
        <f>IFERROR(__xludf.DUMMYFUNCTION("""COMPUTED_VALUE"""),2019.0)</f>
        <v>2019</v>
      </c>
      <c r="F1165" s="9">
        <f>IFERROR(__xludf.DUMMYFUNCTION("""COMPUTED_VALUE"""),750.0)</f>
        <v>750</v>
      </c>
      <c r="G1165" s="9">
        <f>IFERROR(__xludf.DUMMYFUNCTION("""COMPUTED_VALUE"""),6.0)</f>
        <v>6</v>
      </c>
      <c r="H1165" s="10">
        <f>IFERROR(__xludf.DUMMYFUNCTION("""COMPUTED_VALUE"""),2.0)</f>
        <v>2</v>
      </c>
      <c r="I1165" s="11">
        <f>IFERROR(__xludf.DUMMYFUNCTION("""COMPUTED_VALUE"""),2721.0)</f>
        <v>2721</v>
      </c>
      <c r="J1165" s="9" t="str">
        <f>IFERROR(__xludf.DUMMYFUNCTION("""COMPUTED_VALUE"""),"UK")</f>
        <v>UK</v>
      </c>
      <c r="K1165" s="8"/>
      <c r="L1165" s="12"/>
      <c r="M1165" s="13"/>
      <c r="N1165" s="13" t="str">
        <f>IFERROR(__xludf.DUMMYFUNCTION("IF(ISBLANK(M1165),"""",M1165*GOOGLEFINANCE(""USDGBP""))"),"")</f>
        <v/>
      </c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</row>
    <row r="1166">
      <c r="A1166" s="8" t="str">
        <f>IFERROR(__xludf.DUMMYFUNCTION("""COMPUTED_VALUE"""),"131211320190600750")</f>
        <v>131211320190600750</v>
      </c>
      <c r="B1166" s="9" t="str">
        <f>IFERROR(__xludf.DUMMYFUNCTION("""COMPUTED_VALUE"""),"France")</f>
        <v>France</v>
      </c>
      <c r="C1166" s="9" t="str">
        <f>IFERROR(__xludf.DUMMYFUNCTION("""COMPUTED_VALUE"""),"burgundy")</f>
        <v>burgundy</v>
      </c>
      <c r="D1166" s="9" t="str">
        <f>IFERROR(__xludf.DUMMYFUNCTION("""COMPUTED_VALUE"""),"Joseph Faiveley, Chambolle-Musigny Premier Cru, Les Charmes")</f>
        <v>Joseph Faiveley, Chambolle-Musigny Premier Cru, Les Charmes</v>
      </c>
      <c r="E1166" s="9">
        <f>IFERROR(__xludf.DUMMYFUNCTION("""COMPUTED_VALUE"""),2019.0)</f>
        <v>2019</v>
      </c>
      <c r="F1166" s="9">
        <f>IFERROR(__xludf.DUMMYFUNCTION("""COMPUTED_VALUE"""),750.0)</f>
        <v>750</v>
      </c>
      <c r="G1166" s="9">
        <f>IFERROR(__xludf.DUMMYFUNCTION("""COMPUTED_VALUE"""),6.0)</f>
        <v>6</v>
      </c>
      <c r="H1166" s="10">
        <f>IFERROR(__xludf.DUMMYFUNCTION("""COMPUTED_VALUE"""),1.0)</f>
        <v>1</v>
      </c>
      <c r="I1166" s="11">
        <f>IFERROR(__xludf.DUMMYFUNCTION("""COMPUTED_VALUE"""),526.0)</f>
        <v>526</v>
      </c>
      <c r="J1166" s="9" t="str">
        <f>IFERROR(__xludf.DUMMYFUNCTION("""COMPUTED_VALUE"""),"UK")</f>
        <v>UK</v>
      </c>
      <c r="K1166" s="8"/>
      <c r="L1166" s="12"/>
      <c r="M1166" s="13"/>
      <c r="N1166" s="13" t="str">
        <f>IFERROR(__xludf.DUMMYFUNCTION("IF(ISBLANK(M1166),"""",M1166*GOOGLEFINANCE(""USDGBP""))"),"")</f>
        <v/>
      </c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</row>
    <row r="1167">
      <c r="A1167" s="8" t="str">
        <f>IFERROR(__xludf.DUMMYFUNCTION("""COMPUTED_VALUE"""),"103133520140600750")</f>
        <v>103133520140600750</v>
      </c>
      <c r="B1167" s="9" t="str">
        <f>IFERROR(__xludf.DUMMYFUNCTION("""COMPUTED_VALUE"""),"France")</f>
        <v>France</v>
      </c>
      <c r="C1167" s="9" t="str">
        <f>IFERROR(__xludf.DUMMYFUNCTION("""COMPUTED_VALUE"""),"burgundy")</f>
        <v>burgundy</v>
      </c>
      <c r="D1167" s="9" t="str">
        <f>IFERROR(__xludf.DUMMYFUNCTION("""COMPUTED_VALUE"""),"Joseph Faiveley, Clos Saint-Denis Grand Cru")</f>
        <v>Joseph Faiveley, Clos Saint-Denis Grand Cru</v>
      </c>
      <c r="E1167" s="9">
        <f>IFERROR(__xludf.DUMMYFUNCTION("""COMPUTED_VALUE"""),2014.0)</f>
        <v>2014</v>
      </c>
      <c r="F1167" s="9">
        <f>IFERROR(__xludf.DUMMYFUNCTION("""COMPUTED_VALUE"""),750.0)</f>
        <v>750</v>
      </c>
      <c r="G1167" s="9">
        <f>IFERROR(__xludf.DUMMYFUNCTION("""COMPUTED_VALUE"""),6.0)</f>
        <v>6</v>
      </c>
      <c r="H1167" s="10">
        <f>IFERROR(__xludf.DUMMYFUNCTION("""COMPUTED_VALUE"""),1.0)</f>
        <v>1</v>
      </c>
      <c r="I1167" s="11">
        <f>IFERROR(__xludf.DUMMYFUNCTION("""COMPUTED_VALUE"""),868.0)</f>
        <v>868</v>
      </c>
      <c r="J1167" s="9" t="str">
        <f>IFERROR(__xludf.DUMMYFUNCTION("""COMPUTED_VALUE"""),"UK")</f>
        <v>UK</v>
      </c>
      <c r="K1167" s="8"/>
      <c r="L1167" s="12"/>
      <c r="M1167" s="13"/>
      <c r="N1167" s="13" t="str">
        <f>IFERROR(__xludf.DUMMYFUNCTION("IF(ISBLANK(M1167),"""",M1167*GOOGLEFINANCE(""USDGBP""))"),"")</f>
        <v/>
      </c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</row>
    <row r="1168">
      <c r="A1168" s="8" t="str">
        <f>IFERROR(__xludf.DUMMYFUNCTION("""COMPUTED_VALUE"""),"103132220170600750")</f>
        <v>103132220170600750</v>
      </c>
      <c r="B1168" s="9" t="str">
        <f>IFERROR(__xludf.DUMMYFUNCTION("""COMPUTED_VALUE"""),"France")</f>
        <v>France</v>
      </c>
      <c r="C1168" s="9" t="str">
        <f>IFERROR(__xludf.DUMMYFUNCTION("""COMPUTED_VALUE"""),"burgundy")</f>
        <v>burgundy</v>
      </c>
      <c r="D1168" s="9" t="str">
        <f>IFERROR(__xludf.DUMMYFUNCTION("""COMPUTED_VALUE"""),"Joseph Faiveley, Clos de la Roche Grand Cru")</f>
        <v>Joseph Faiveley, Clos de la Roche Grand Cru</v>
      </c>
      <c r="E1168" s="9">
        <f>IFERROR(__xludf.DUMMYFUNCTION("""COMPUTED_VALUE"""),2017.0)</f>
        <v>2017</v>
      </c>
      <c r="F1168" s="9">
        <f>IFERROR(__xludf.DUMMYFUNCTION("""COMPUTED_VALUE"""),750.0)</f>
        <v>750</v>
      </c>
      <c r="G1168" s="9">
        <f>IFERROR(__xludf.DUMMYFUNCTION("""COMPUTED_VALUE"""),6.0)</f>
        <v>6</v>
      </c>
      <c r="H1168" s="10">
        <f>IFERROR(__xludf.DUMMYFUNCTION("""COMPUTED_VALUE"""),2.0)</f>
        <v>2</v>
      </c>
      <c r="I1168" s="11">
        <f>IFERROR(__xludf.DUMMYFUNCTION("""COMPUTED_VALUE"""),1114.0)</f>
        <v>1114</v>
      </c>
      <c r="J1168" s="9" t="str">
        <f>IFERROR(__xludf.DUMMYFUNCTION("""COMPUTED_VALUE"""),"UK")</f>
        <v>UK</v>
      </c>
      <c r="K1168" s="8"/>
      <c r="L1168" s="12"/>
      <c r="M1168" s="13"/>
      <c r="N1168" s="13" t="str">
        <f>IFERROR(__xludf.DUMMYFUNCTION("IF(ISBLANK(M1168),"""",M1168*GOOGLEFINANCE(""USDGBP""))"),"")</f>
        <v/>
      </c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</row>
    <row r="1169">
      <c r="A1169" s="8" t="str">
        <f>IFERROR(__xludf.DUMMYFUNCTION("""COMPUTED_VALUE"""),"105633020181200750")</f>
        <v>105633020181200750</v>
      </c>
      <c r="B1169" s="9" t="str">
        <f>IFERROR(__xludf.DUMMYFUNCTION("""COMPUTED_VALUE"""),"France")</f>
        <v>France</v>
      </c>
      <c r="C1169" s="9" t="str">
        <f>IFERROR(__xludf.DUMMYFUNCTION("""COMPUTED_VALUE"""),"burgundy")</f>
        <v>burgundy</v>
      </c>
      <c r="D1169" s="9" t="str">
        <f>IFERROR(__xludf.DUMMYFUNCTION("""COMPUTED_VALUE"""),"Joseph Roty, Charmes-Chambertin Grand Cru, Tres Vieilles Vignes")</f>
        <v>Joseph Roty, Charmes-Chambertin Grand Cru, Tres Vieilles Vignes</v>
      </c>
      <c r="E1169" s="9">
        <f>IFERROR(__xludf.DUMMYFUNCTION("""COMPUTED_VALUE"""),2018.0)</f>
        <v>2018</v>
      </c>
      <c r="F1169" s="9">
        <f>IFERROR(__xludf.DUMMYFUNCTION("""COMPUTED_VALUE"""),750.0)</f>
        <v>750</v>
      </c>
      <c r="G1169" s="9">
        <f>IFERROR(__xludf.DUMMYFUNCTION("""COMPUTED_VALUE"""),12.0)</f>
        <v>12</v>
      </c>
      <c r="H1169" s="10">
        <f>IFERROR(__xludf.DUMMYFUNCTION("""COMPUTED_VALUE"""),1.0)</f>
        <v>1</v>
      </c>
      <c r="I1169" s="11">
        <f>IFERROR(__xludf.DUMMYFUNCTION("""COMPUTED_VALUE"""),3888.0)</f>
        <v>3888</v>
      </c>
      <c r="J1169" s="9" t="str">
        <f>IFERROR(__xludf.DUMMYFUNCTION("""COMPUTED_VALUE"""),"UK")</f>
        <v>UK</v>
      </c>
      <c r="K1169" s="8"/>
      <c r="L1169" s="12"/>
      <c r="M1169" s="13"/>
      <c r="N1169" s="13" t="str">
        <f>IFERROR(__xludf.DUMMYFUNCTION("IF(ISBLANK(M1169),"""",M1169*GOOGLEFINANCE(""USDGBP""))"),"")</f>
        <v/>
      </c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</row>
    <row r="1170">
      <c r="A1170" s="8" t="str">
        <f>IFERROR(__xludf.DUMMYFUNCTION("""COMPUTED_VALUE"""),"105633020190600750")</f>
        <v>105633020190600750</v>
      </c>
      <c r="B1170" s="9" t="str">
        <f>IFERROR(__xludf.DUMMYFUNCTION("""COMPUTED_VALUE"""),"France")</f>
        <v>France</v>
      </c>
      <c r="C1170" s="9" t="str">
        <f>IFERROR(__xludf.DUMMYFUNCTION("""COMPUTED_VALUE"""),"burgundy")</f>
        <v>burgundy</v>
      </c>
      <c r="D1170" s="9" t="str">
        <f>IFERROR(__xludf.DUMMYFUNCTION("""COMPUTED_VALUE"""),"Joseph Roty, Charmes-Chambertin Grand Cru, Tres Vieilles Vignes")</f>
        <v>Joseph Roty, Charmes-Chambertin Grand Cru, Tres Vieilles Vignes</v>
      </c>
      <c r="E1170" s="9">
        <f>IFERROR(__xludf.DUMMYFUNCTION("""COMPUTED_VALUE"""),2019.0)</f>
        <v>2019</v>
      </c>
      <c r="F1170" s="9">
        <f>IFERROR(__xludf.DUMMYFUNCTION("""COMPUTED_VALUE"""),750.0)</f>
        <v>750</v>
      </c>
      <c r="G1170" s="9">
        <f>IFERROR(__xludf.DUMMYFUNCTION("""COMPUTED_VALUE"""),6.0)</f>
        <v>6</v>
      </c>
      <c r="H1170" s="10">
        <f>IFERROR(__xludf.DUMMYFUNCTION("""COMPUTED_VALUE"""),2.0)</f>
        <v>2</v>
      </c>
      <c r="I1170" s="11">
        <f>IFERROR(__xludf.DUMMYFUNCTION("""COMPUTED_VALUE"""),2379.0)</f>
        <v>2379</v>
      </c>
      <c r="J1170" s="9" t="str">
        <f>IFERROR(__xludf.DUMMYFUNCTION("""COMPUTED_VALUE"""),"UK")</f>
        <v>UK</v>
      </c>
      <c r="K1170" s="8"/>
      <c r="L1170" s="12"/>
      <c r="M1170" s="13"/>
      <c r="N1170" s="13" t="str">
        <f>IFERROR(__xludf.DUMMYFUNCTION("IF(ISBLANK(M1170),"""",M1170*GOOGLEFINANCE(""USDGBP""))"),"")</f>
        <v/>
      </c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</row>
    <row r="1171">
      <c r="A1171" s="8" t="str">
        <f>IFERROR(__xludf.DUMMYFUNCTION("""COMPUTED_VALUE"""),"105637220171200750")</f>
        <v>105637220171200750</v>
      </c>
      <c r="B1171" s="9" t="str">
        <f>IFERROR(__xludf.DUMMYFUNCTION("""COMPUTED_VALUE"""),"France")</f>
        <v>France</v>
      </c>
      <c r="C1171" s="9" t="str">
        <f>IFERROR(__xludf.DUMMYFUNCTION("""COMPUTED_VALUE"""),"burgundy")</f>
        <v>burgundy</v>
      </c>
      <c r="D1171" s="9" t="str">
        <f>IFERROR(__xludf.DUMMYFUNCTION("""COMPUTED_VALUE"""),"Joseph Roty, Gevrey-Chambertin, Champs-Chenys")</f>
        <v>Joseph Roty, Gevrey-Chambertin, Champs-Chenys</v>
      </c>
      <c r="E1171" s="9">
        <f>IFERROR(__xludf.DUMMYFUNCTION("""COMPUTED_VALUE"""),2017.0)</f>
        <v>2017</v>
      </c>
      <c r="F1171" s="9">
        <f>IFERROR(__xludf.DUMMYFUNCTION("""COMPUTED_VALUE"""),750.0)</f>
        <v>750</v>
      </c>
      <c r="G1171" s="9">
        <f>IFERROR(__xludf.DUMMYFUNCTION("""COMPUTED_VALUE"""),12.0)</f>
        <v>12</v>
      </c>
      <c r="H1171" s="10">
        <f>IFERROR(__xludf.DUMMYFUNCTION("""COMPUTED_VALUE"""),1.0)</f>
        <v>1</v>
      </c>
      <c r="I1171" s="11">
        <f>IFERROR(__xludf.DUMMYFUNCTION("""COMPUTED_VALUE"""),795.0)</f>
        <v>795</v>
      </c>
      <c r="J1171" s="9" t="str">
        <f>IFERROR(__xludf.DUMMYFUNCTION("""COMPUTED_VALUE"""),"UK")</f>
        <v>UK</v>
      </c>
      <c r="K1171" s="8"/>
      <c r="L1171" s="12"/>
      <c r="M1171" s="13"/>
      <c r="N1171" s="13" t="str">
        <f>IFERROR(__xludf.DUMMYFUNCTION("IF(ISBLANK(M1171),"""",M1171*GOOGLEFINANCE(""USDGBP""))"),"")</f>
        <v/>
      </c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</row>
    <row r="1172">
      <c r="A1172" s="8" t="str">
        <f>IFERROR(__xludf.DUMMYFUNCTION("""COMPUTED_VALUE"""),"104112520190600750")</f>
        <v>104112520190600750</v>
      </c>
      <c r="B1172" s="9" t="str">
        <f>IFERROR(__xludf.DUMMYFUNCTION("""COMPUTED_VALUE"""),"France")</f>
        <v>France</v>
      </c>
      <c r="C1172" s="9" t="str">
        <f>IFERROR(__xludf.DUMMYFUNCTION("""COMPUTED_VALUE"""),"burgundy")</f>
        <v>burgundy</v>
      </c>
      <c r="D1172" s="9" t="str">
        <f>IFERROR(__xludf.DUMMYFUNCTION("""COMPUTED_VALUE"""),"Louis Latour, Romanee-Saint-Vivant Grand Cru, Les Quatre Journaux")</f>
        <v>Louis Latour, Romanee-Saint-Vivant Grand Cru, Les Quatre Journaux</v>
      </c>
      <c r="E1172" s="9">
        <f>IFERROR(__xludf.DUMMYFUNCTION("""COMPUTED_VALUE"""),2019.0)</f>
        <v>2019</v>
      </c>
      <c r="F1172" s="9">
        <f>IFERROR(__xludf.DUMMYFUNCTION("""COMPUTED_VALUE"""),750.0)</f>
        <v>750</v>
      </c>
      <c r="G1172" s="9">
        <f>IFERROR(__xludf.DUMMYFUNCTION("""COMPUTED_VALUE"""),6.0)</f>
        <v>6</v>
      </c>
      <c r="H1172" s="10">
        <f>IFERROR(__xludf.DUMMYFUNCTION("""COMPUTED_VALUE"""),3.0)</f>
        <v>3</v>
      </c>
      <c r="I1172" s="11">
        <f>IFERROR(__xludf.DUMMYFUNCTION("""COMPUTED_VALUE"""),2389.0)</f>
        <v>2389</v>
      </c>
      <c r="J1172" s="9" t="str">
        <f>IFERROR(__xludf.DUMMYFUNCTION("""COMPUTED_VALUE"""),"UK")</f>
        <v>UK</v>
      </c>
      <c r="K1172" s="8"/>
      <c r="L1172" s="12"/>
      <c r="M1172" s="13"/>
      <c r="N1172" s="13" t="str">
        <f>IFERROR(__xludf.DUMMYFUNCTION("IF(ISBLANK(M1172),"""",M1172*GOOGLEFINANCE(""USDGBP""))"),"")</f>
        <v/>
      </c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</row>
    <row r="1173">
      <c r="A1173" s="8" t="str">
        <f>IFERROR(__xludf.DUMMYFUNCTION("""COMPUTED_VALUE"""),"104248320200600750")</f>
        <v>104248320200600750</v>
      </c>
      <c r="B1173" s="9" t="str">
        <f>IFERROR(__xludf.DUMMYFUNCTION("""COMPUTED_VALUE"""),"France")</f>
        <v>France</v>
      </c>
      <c r="C1173" s="9" t="str">
        <f>IFERROR(__xludf.DUMMYFUNCTION("""COMPUTED_VALUE"""),"burgundy")</f>
        <v>burgundy</v>
      </c>
      <c r="D1173" s="9" t="str">
        <f>IFERROR(__xludf.DUMMYFUNCTION("""COMPUTED_VALUE"""),"Lucien Le Moine, Chambertin-Clos de Beze Grand Cru")</f>
        <v>Lucien Le Moine, Chambertin-Clos de Beze Grand Cru</v>
      </c>
      <c r="E1173" s="9">
        <f>IFERROR(__xludf.DUMMYFUNCTION("""COMPUTED_VALUE"""),2020.0)</f>
        <v>2020</v>
      </c>
      <c r="F1173" s="9">
        <f>IFERROR(__xludf.DUMMYFUNCTION("""COMPUTED_VALUE"""),750.0)</f>
        <v>750</v>
      </c>
      <c r="G1173" s="9">
        <f>IFERROR(__xludf.DUMMYFUNCTION("""COMPUTED_VALUE"""),6.0)</f>
        <v>6</v>
      </c>
      <c r="H1173" s="10">
        <f>IFERROR(__xludf.DUMMYFUNCTION("""COMPUTED_VALUE"""),1.0)</f>
        <v>1</v>
      </c>
      <c r="I1173" s="11">
        <f>IFERROR(__xludf.DUMMYFUNCTION("""COMPUTED_VALUE"""),2724.0)</f>
        <v>2724</v>
      </c>
      <c r="J1173" s="9" t="str">
        <f>IFERROR(__xludf.DUMMYFUNCTION("""COMPUTED_VALUE"""),"UK")</f>
        <v>UK</v>
      </c>
      <c r="K1173" s="8"/>
      <c r="L1173" s="12"/>
      <c r="M1173" s="13"/>
      <c r="N1173" s="13" t="str">
        <f>IFERROR(__xludf.DUMMYFUNCTION("IF(ISBLANK(M1173),"""",M1173*GOOGLEFINANCE(""USDGBP""))"),"")</f>
        <v/>
      </c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</row>
    <row r="1174">
      <c r="A1174" s="8" t="str">
        <f>IFERROR(__xludf.DUMMYFUNCTION("""COMPUTED_VALUE"""),"104250020170600750")</f>
        <v>104250020170600750</v>
      </c>
      <c r="B1174" s="9" t="str">
        <f>IFERROR(__xludf.DUMMYFUNCTION("""COMPUTED_VALUE"""),"France")</f>
        <v>France</v>
      </c>
      <c r="C1174" s="9" t="str">
        <f>IFERROR(__xludf.DUMMYFUNCTION("""COMPUTED_VALUE"""),"burgundy")</f>
        <v>burgundy</v>
      </c>
      <c r="D1174" s="9" t="str">
        <f>IFERROR(__xludf.DUMMYFUNCTION("""COMPUTED_VALUE"""),"Lucien Le Moine, Chambolle-Musigny Premier Cru, Les Charmes")</f>
        <v>Lucien Le Moine, Chambolle-Musigny Premier Cru, Les Charmes</v>
      </c>
      <c r="E1174" s="9">
        <f>IFERROR(__xludf.DUMMYFUNCTION("""COMPUTED_VALUE"""),2017.0)</f>
        <v>2017</v>
      </c>
      <c r="F1174" s="9">
        <f>IFERROR(__xludf.DUMMYFUNCTION("""COMPUTED_VALUE"""),750.0)</f>
        <v>750</v>
      </c>
      <c r="G1174" s="9">
        <f>IFERROR(__xludf.DUMMYFUNCTION("""COMPUTED_VALUE"""),6.0)</f>
        <v>6</v>
      </c>
      <c r="H1174" s="10">
        <f>IFERROR(__xludf.DUMMYFUNCTION("""COMPUTED_VALUE"""),1.0)</f>
        <v>1</v>
      </c>
      <c r="I1174" s="11">
        <f>IFERROR(__xludf.DUMMYFUNCTION("""COMPUTED_VALUE"""),969.0)</f>
        <v>969</v>
      </c>
      <c r="J1174" s="9" t="str">
        <f>IFERROR(__xludf.DUMMYFUNCTION("""COMPUTED_VALUE"""),"UK")</f>
        <v>UK</v>
      </c>
      <c r="K1174" s="8"/>
      <c r="L1174" s="12"/>
      <c r="M1174" s="13"/>
      <c r="N1174" s="13" t="str">
        <f>IFERROR(__xludf.DUMMYFUNCTION("IF(ISBLANK(M1174),"""",M1174*GOOGLEFINANCE(""USDGBP""))"),"")</f>
        <v/>
      </c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</row>
    <row r="1175">
      <c r="A1175" s="8" t="str">
        <f>IFERROR(__xludf.DUMMYFUNCTION("""COMPUTED_VALUE"""),"104252620160600750")</f>
        <v>104252620160600750</v>
      </c>
      <c r="B1175" s="9" t="str">
        <f>IFERROR(__xludf.DUMMYFUNCTION("""COMPUTED_VALUE"""),"France")</f>
        <v>France</v>
      </c>
      <c r="C1175" s="9" t="str">
        <f>IFERROR(__xludf.DUMMYFUNCTION("""COMPUTED_VALUE"""),"burgundy")</f>
        <v>burgundy</v>
      </c>
      <c r="D1175" s="9" t="str">
        <f>IFERROR(__xludf.DUMMYFUNCTION("""COMPUTED_VALUE"""),"Lucien Le Moine, Charmes-Chambertin Grand Cru")</f>
        <v>Lucien Le Moine, Charmes-Chambertin Grand Cru</v>
      </c>
      <c r="E1175" s="9">
        <f>IFERROR(__xludf.DUMMYFUNCTION("""COMPUTED_VALUE"""),2016.0)</f>
        <v>2016</v>
      </c>
      <c r="F1175" s="9">
        <f>IFERROR(__xludf.DUMMYFUNCTION("""COMPUTED_VALUE"""),750.0)</f>
        <v>750</v>
      </c>
      <c r="G1175" s="9">
        <f>IFERROR(__xludf.DUMMYFUNCTION("""COMPUTED_VALUE"""),6.0)</f>
        <v>6</v>
      </c>
      <c r="H1175" s="10">
        <f>IFERROR(__xludf.DUMMYFUNCTION("""COMPUTED_VALUE"""),1.0)</f>
        <v>1</v>
      </c>
      <c r="I1175" s="11">
        <f>IFERROR(__xludf.DUMMYFUNCTION("""COMPUTED_VALUE"""),1506.0)</f>
        <v>1506</v>
      </c>
      <c r="J1175" s="9" t="str">
        <f>IFERROR(__xludf.DUMMYFUNCTION("""COMPUTED_VALUE"""),"UK")</f>
        <v>UK</v>
      </c>
      <c r="K1175" s="8"/>
      <c r="L1175" s="12"/>
      <c r="M1175" s="13"/>
      <c r="N1175" s="13" t="str">
        <f>IFERROR(__xludf.DUMMYFUNCTION("IF(ISBLANK(M1175),"""",M1175*GOOGLEFINANCE(""USDGBP""))"),"")</f>
        <v/>
      </c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</row>
    <row r="1176">
      <c r="A1176" s="8" t="str">
        <f>IFERROR(__xludf.DUMMYFUNCTION("""COMPUTED_VALUE"""),"104255520180600750")</f>
        <v>104255520180600750</v>
      </c>
      <c r="B1176" s="9" t="str">
        <f>IFERROR(__xludf.DUMMYFUNCTION("""COMPUTED_VALUE"""),"France")</f>
        <v>France</v>
      </c>
      <c r="C1176" s="9" t="str">
        <f>IFERROR(__xludf.DUMMYFUNCTION("""COMPUTED_VALUE"""),"burgundy")</f>
        <v>burgundy</v>
      </c>
      <c r="D1176" s="9" t="str">
        <f>IFERROR(__xludf.DUMMYFUNCTION("""COMPUTED_VALUE"""),"Lucien Le Moine, Clos de Vougeot Grand Cru")</f>
        <v>Lucien Le Moine, Clos de Vougeot Grand Cru</v>
      </c>
      <c r="E1176" s="9">
        <f>IFERROR(__xludf.DUMMYFUNCTION("""COMPUTED_VALUE"""),2018.0)</f>
        <v>2018</v>
      </c>
      <c r="F1176" s="9">
        <f>IFERROR(__xludf.DUMMYFUNCTION("""COMPUTED_VALUE"""),750.0)</f>
        <v>750</v>
      </c>
      <c r="G1176" s="9">
        <f>IFERROR(__xludf.DUMMYFUNCTION("""COMPUTED_VALUE"""),6.0)</f>
        <v>6</v>
      </c>
      <c r="H1176" s="10">
        <f>IFERROR(__xludf.DUMMYFUNCTION("""COMPUTED_VALUE"""),1.0)</f>
        <v>1</v>
      </c>
      <c r="I1176" s="11">
        <f>IFERROR(__xludf.DUMMYFUNCTION("""COMPUTED_VALUE"""),1816.0)</f>
        <v>1816</v>
      </c>
      <c r="J1176" s="9" t="str">
        <f>IFERROR(__xludf.DUMMYFUNCTION("""COMPUTED_VALUE"""),"UK")</f>
        <v>UK</v>
      </c>
      <c r="K1176" s="8"/>
      <c r="L1176" s="12"/>
      <c r="M1176" s="13"/>
      <c r="N1176" s="13" t="str">
        <f>IFERROR(__xludf.DUMMYFUNCTION("IF(ISBLANK(M1176),"""",M1176*GOOGLEFINANCE(""USDGBP""))"),"")</f>
        <v/>
      </c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</row>
    <row r="1177">
      <c r="A1177" s="8" t="str">
        <f>IFERROR(__xludf.DUMMYFUNCTION("""COMPUTED_VALUE"""),"104257120170600750")</f>
        <v>104257120170600750</v>
      </c>
      <c r="B1177" s="9" t="str">
        <f>IFERROR(__xludf.DUMMYFUNCTION("""COMPUTED_VALUE"""),"France")</f>
        <v>France</v>
      </c>
      <c r="C1177" s="9" t="str">
        <f>IFERROR(__xludf.DUMMYFUNCTION("""COMPUTED_VALUE"""),"burgundy")</f>
        <v>burgundy</v>
      </c>
      <c r="D1177" s="9" t="str">
        <f>IFERROR(__xludf.DUMMYFUNCTION("""COMPUTED_VALUE"""),"Lucien Le Moine, Corton Grand Cru, Les Bressandes")</f>
        <v>Lucien Le Moine, Corton Grand Cru, Les Bressandes</v>
      </c>
      <c r="E1177" s="9">
        <f>IFERROR(__xludf.DUMMYFUNCTION("""COMPUTED_VALUE"""),2017.0)</f>
        <v>2017</v>
      </c>
      <c r="F1177" s="9">
        <f>IFERROR(__xludf.DUMMYFUNCTION("""COMPUTED_VALUE"""),750.0)</f>
        <v>750</v>
      </c>
      <c r="G1177" s="9">
        <f>IFERROR(__xludf.DUMMYFUNCTION("""COMPUTED_VALUE"""),6.0)</f>
        <v>6</v>
      </c>
      <c r="H1177" s="10">
        <f>IFERROR(__xludf.DUMMYFUNCTION("""COMPUTED_VALUE"""),1.0)</f>
        <v>1</v>
      </c>
      <c r="I1177" s="11">
        <f>IFERROR(__xludf.DUMMYFUNCTION("""COMPUTED_VALUE"""),715.0)</f>
        <v>715</v>
      </c>
      <c r="J1177" s="9" t="str">
        <f>IFERROR(__xludf.DUMMYFUNCTION("""COMPUTED_VALUE"""),"UK")</f>
        <v>UK</v>
      </c>
      <c r="K1177" s="8"/>
      <c r="L1177" s="12"/>
      <c r="M1177" s="13"/>
      <c r="N1177" s="13" t="str">
        <f>IFERROR(__xludf.DUMMYFUNCTION("IF(ISBLANK(M1177),"""",M1177*GOOGLEFINANCE(""USDGBP""))"),"")</f>
        <v/>
      </c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</row>
    <row r="1178">
      <c r="A1178" s="8" t="str">
        <f>IFERROR(__xludf.DUMMYFUNCTION("""COMPUTED_VALUE"""),"104446120180300750")</f>
        <v>104446120180300750</v>
      </c>
      <c r="B1178" s="9" t="str">
        <f>IFERROR(__xludf.DUMMYFUNCTION("""COMPUTED_VALUE"""),"France")</f>
        <v>France</v>
      </c>
      <c r="C1178" s="9" t="str">
        <f>IFERROR(__xludf.DUMMYFUNCTION("""COMPUTED_VALUE"""),"burgundy")</f>
        <v>burgundy</v>
      </c>
      <c r="D1178" s="9" t="str">
        <f>IFERROR(__xludf.DUMMYFUNCTION("""COMPUTED_VALUE"""),"Maison Leroy, Savigny-les-Beaune, Rouge")</f>
        <v>Maison Leroy, Savigny-les-Beaune, Rouge</v>
      </c>
      <c r="E1178" s="9">
        <f>IFERROR(__xludf.DUMMYFUNCTION("""COMPUTED_VALUE"""),2018.0)</f>
        <v>2018</v>
      </c>
      <c r="F1178" s="9">
        <f>IFERROR(__xludf.DUMMYFUNCTION("""COMPUTED_VALUE"""),750.0)</f>
        <v>750</v>
      </c>
      <c r="G1178" s="9">
        <f>IFERROR(__xludf.DUMMYFUNCTION("""COMPUTED_VALUE"""),3.0)</f>
        <v>3</v>
      </c>
      <c r="H1178" s="10">
        <f>IFERROR(__xludf.DUMMYFUNCTION("""COMPUTED_VALUE"""),1.0)</f>
        <v>1</v>
      </c>
      <c r="I1178" s="11">
        <f>IFERROR(__xludf.DUMMYFUNCTION("""COMPUTED_VALUE"""),1422.0)</f>
        <v>1422</v>
      </c>
      <c r="J1178" s="9" t="str">
        <f>IFERROR(__xludf.DUMMYFUNCTION("""COMPUTED_VALUE"""),"UK")</f>
        <v>UK</v>
      </c>
      <c r="K1178" s="8"/>
      <c r="L1178" s="12"/>
      <c r="M1178" s="13"/>
      <c r="N1178" s="13" t="str">
        <f>IFERROR(__xludf.DUMMYFUNCTION("IF(ISBLANK(M1178),"""",M1178*GOOGLEFINANCE(""USDGBP""))"),"")</f>
        <v/>
      </c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</row>
    <row r="1179">
      <c r="A1179" s="8" t="str">
        <f>IFERROR(__xludf.DUMMYFUNCTION("""COMPUTED_VALUE"""),"103794620190600750")</f>
        <v>103794620190600750</v>
      </c>
      <c r="B1179" s="9" t="str">
        <f>IFERROR(__xludf.DUMMYFUNCTION("""COMPUTED_VALUE"""),"France")</f>
        <v>France</v>
      </c>
      <c r="C1179" s="9" t="str">
        <f>IFERROR(__xludf.DUMMYFUNCTION("""COMPUTED_VALUE"""),"burgundy")</f>
        <v>burgundy</v>
      </c>
      <c r="D1179" s="9" t="str">
        <f>IFERROR(__xludf.DUMMYFUNCTION("""COMPUTED_VALUE"""),"Maison Louis Jadot, Chambolle-Musigny Premier Cru, Les Baudes")</f>
        <v>Maison Louis Jadot, Chambolle-Musigny Premier Cru, Les Baudes</v>
      </c>
      <c r="E1179" s="9">
        <f>IFERROR(__xludf.DUMMYFUNCTION("""COMPUTED_VALUE"""),2019.0)</f>
        <v>2019</v>
      </c>
      <c r="F1179" s="9">
        <f>IFERROR(__xludf.DUMMYFUNCTION("""COMPUTED_VALUE"""),750.0)</f>
        <v>750</v>
      </c>
      <c r="G1179" s="9">
        <f>IFERROR(__xludf.DUMMYFUNCTION("""COMPUTED_VALUE"""),6.0)</f>
        <v>6</v>
      </c>
      <c r="H1179" s="10">
        <f>IFERROR(__xludf.DUMMYFUNCTION("""COMPUTED_VALUE"""),2.0)</f>
        <v>2</v>
      </c>
      <c r="I1179" s="11">
        <f>IFERROR(__xludf.DUMMYFUNCTION("""COMPUTED_VALUE"""),420.0)</f>
        <v>420</v>
      </c>
      <c r="J1179" s="9" t="str">
        <f>IFERROR(__xludf.DUMMYFUNCTION("""COMPUTED_VALUE"""),"UK")</f>
        <v>UK</v>
      </c>
      <c r="K1179" s="8"/>
      <c r="L1179" s="12"/>
      <c r="M1179" s="13"/>
      <c r="N1179" s="13" t="str">
        <f>IFERROR(__xludf.DUMMYFUNCTION("IF(ISBLANK(M1179),"""",M1179*GOOGLEFINANCE(""USDGBP""))"),"")</f>
        <v/>
      </c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</row>
    <row r="1180">
      <c r="A1180" s="8" t="str">
        <f>IFERROR(__xludf.DUMMYFUNCTION("""COMPUTED_VALUE"""),"103800220160600750")</f>
        <v>103800220160600750</v>
      </c>
      <c r="B1180" s="9" t="str">
        <f>IFERROR(__xludf.DUMMYFUNCTION("""COMPUTED_VALUE"""),"France")</f>
        <v>France</v>
      </c>
      <c r="C1180" s="9" t="str">
        <f>IFERROR(__xludf.DUMMYFUNCTION("""COMPUTED_VALUE"""),"burgundy")</f>
        <v>burgundy</v>
      </c>
      <c r="D1180" s="9" t="str">
        <f>IFERROR(__xludf.DUMMYFUNCTION("""COMPUTED_VALUE"""),"Maison Louis Jadot, Charmes-Chambertin Grand Cru")</f>
        <v>Maison Louis Jadot, Charmes-Chambertin Grand Cru</v>
      </c>
      <c r="E1180" s="9">
        <f>IFERROR(__xludf.DUMMYFUNCTION("""COMPUTED_VALUE"""),2016.0)</f>
        <v>2016</v>
      </c>
      <c r="F1180" s="9">
        <f>IFERROR(__xludf.DUMMYFUNCTION("""COMPUTED_VALUE"""),750.0)</f>
        <v>750</v>
      </c>
      <c r="G1180" s="9">
        <f>IFERROR(__xludf.DUMMYFUNCTION("""COMPUTED_VALUE"""),6.0)</f>
        <v>6</v>
      </c>
      <c r="H1180" s="10">
        <f>IFERROR(__xludf.DUMMYFUNCTION("""COMPUTED_VALUE"""),10.0)</f>
        <v>10</v>
      </c>
      <c r="I1180" s="11">
        <f>IFERROR(__xludf.DUMMYFUNCTION("""COMPUTED_VALUE"""),735.0)</f>
        <v>735</v>
      </c>
      <c r="J1180" s="9" t="str">
        <f>IFERROR(__xludf.DUMMYFUNCTION("""COMPUTED_VALUE"""),"UK")</f>
        <v>UK</v>
      </c>
      <c r="K1180" s="8"/>
      <c r="L1180" s="12"/>
      <c r="M1180" s="13"/>
      <c r="N1180" s="13" t="str">
        <f>IFERROR(__xludf.DUMMYFUNCTION("IF(ISBLANK(M1180),"""",M1180*GOOGLEFINANCE(""USDGBP""))"),"")</f>
        <v/>
      </c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</row>
    <row r="1181">
      <c r="A1181" s="8" t="str">
        <f>IFERROR(__xludf.DUMMYFUNCTION("""COMPUTED_VALUE"""),"103808620080600750")</f>
        <v>103808620080600750</v>
      </c>
      <c r="B1181" s="9" t="str">
        <f>IFERROR(__xludf.DUMMYFUNCTION("""COMPUTED_VALUE"""),"France")</f>
        <v>France</v>
      </c>
      <c r="C1181" s="9" t="str">
        <f>IFERROR(__xludf.DUMMYFUNCTION("""COMPUTED_VALUE"""),"burgundy")</f>
        <v>burgundy</v>
      </c>
      <c r="D1181" s="9" t="str">
        <f>IFERROR(__xludf.DUMMYFUNCTION("""COMPUTED_VALUE"""),"Maison Louis Jadot, Clos de Vougeot Grand Cru")</f>
        <v>Maison Louis Jadot, Clos de Vougeot Grand Cru</v>
      </c>
      <c r="E1181" s="9">
        <f>IFERROR(__xludf.DUMMYFUNCTION("""COMPUTED_VALUE"""),2008.0)</f>
        <v>2008</v>
      </c>
      <c r="F1181" s="9">
        <f>IFERROR(__xludf.DUMMYFUNCTION("""COMPUTED_VALUE"""),750.0)</f>
        <v>750</v>
      </c>
      <c r="G1181" s="9">
        <f>IFERROR(__xludf.DUMMYFUNCTION("""COMPUTED_VALUE"""),6.0)</f>
        <v>6</v>
      </c>
      <c r="H1181" s="10">
        <f>IFERROR(__xludf.DUMMYFUNCTION("""COMPUTED_VALUE"""),1.0)</f>
        <v>1</v>
      </c>
      <c r="I1181" s="11">
        <f>IFERROR(__xludf.DUMMYFUNCTION("""COMPUTED_VALUE"""),749.0)</f>
        <v>749</v>
      </c>
      <c r="J1181" s="9" t="str">
        <f>IFERROR(__xludf.DUMMYFUNCTION("""COMPUTED_VALUE"""),"UK")</f>
        <v>UK</v>
      </c>
      <c r="K1181" s="8"/>
      <c r="L1181" s="12"/>
      <c r="M1181" s="13"/>
      <c r="N1181" s="13" t="str">
        <f>IFERROR(__xludf.DUMMYFUNCTION("IF(ISBLANK(M1181),"""",M1181*GOOGLEFINANCE(""USDGBP""))"),"")</f>
        <v/>
      </c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</row>
    <row r="1182">
      <c r="A1182" s="8" t="str">
        <f>IFERROR(__xludf.DUMMYFUNCTION("""COMPUTED_VALUE"""),"103808620130600750")</f>
        <v>103808620130600750</v>
      </c>
      <c r="B1182" s="9" t="str">
        <f>IFERROR(__xludf.DUMMYFUNCTION("""COMPUTED_VALUE"""),"France")</f>
        <v>France</v>
      </c>
      <c r="C1182" s="9" t="str">
        <f>IFERROR(__xludf.DUMMYFUNCTION("""COMPUTED_VALUE"""),"burgundy")</f>
        <v>burgundy</v>
      </c>
      <c r="D1182" s="9" t="str">
        <f>IFERROR(__xludf.DUMMYFUNCTION("""COMPUTED_VALUE"""),"Maison Louis Jadot, Clos de Vougeot Grand Cru")</f>
        <v>Maison Louis Jadot, Clos de Vougeot Grand Cru</v>
      </c>
      <c r="E1182" s="9">
        <f>IFERROR(__xludf.DUMMYFUNCTION("""COMPUTED_VALUE"""),2013.0)</f>
        <v>2013</v>
      </c>
      <c r="F1182" s="9">
        <f>IFERROR(__xludf.DUMMYFUNCTION("""COMPUTED_VALUE"""),750.0)</f>
        <v>750</v>
      </c>
      <c r="G1182" s="9">
        <f>IFERROR(__xludf.DUMMYFUNCTION("""COMPUTED_VALUE"""),6.0)</f>
        <v>6</v>
      </c>
      <c r="H1182" s="10">
        <f>IFERROR(__xludf.DUMMYFUNCTION("""COMPUTED_VALUE"""),1.0)</f>
        <v>1</v>
      </c>
      <c r="I1182" s="11">
        <f>IFERROR(__xludf.DUMMYFUNCTION("""COMPUTED_VALUE"""),593.0)</f>
        <v>593</v>
      </c>
      <c r="J1182" s="9" t="str">
        <f>IFERROR(__xludf.DUMMYFUNCTION("""COMPUTED_VALUE"""),"UK")</f>
        <v>UK</v>
      </c>
      <c r="K1182" s="8"/>
      <c r="L1182" s="12"/>
      <c r="M1182" s="13"/>
      <c r="N1182" s="13" t="str">
        <f>IFERROR(__xludf.DUMMYFUNCTION("IF(ISBLANK(M1182),"""",M1182*GOOGLEFINANCE(""USDGBP""))"),"")</f>
        <v/>
      </c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</row>
    <row r="1183">
      <c r="A1183" s="8" t="str">
        <f>IFERROR(__xludf.DUMMYFUNCTION("""COMPUTED_VALUE"""),"103808620160600750")</f>
        <v>103808620160600750</v>
      </c>
      <c r="B1183" s="9" t="str">
        <f>IFERROR(__xludf.DUMMYFUNCTION("""COMPUTED_VALUE"""),"France")</f>
        <v>France</v>
      </c>
      <c r="C1183" s="9" t="str">
        <f>IFERROR(__xludf.DUMMYFUNCTION("""COMPUTED_VALUE"""),"burgundy")</f>
        <v>burgundy</v>
      </c>
      <c r="D1183" s="9" t="str">
        <f>IFERROR(__xludf.DUMMYFUNCTION("""COMPUTED_VALUE"""),"Maison Louis Jadot, Clos de Vougeot Grand Cru")</f>
        <v>Maison Louis Jadot, Clos de Vougeot Grand Cru</v>
      </c>
      <c r="E1183" s="9">
        <f>IFERROR(__xludf.DUMMYFUNCTION("""COMPUTED_VALUE"""),2016.0)</f>
        <v>2016</v>
      </c>
      <c r="F1183" s="9">
        <f>IFERROR(__xludf.DUMMYFUNCTION("""COMPUTED_VALUE"""),750.0)</f>
        <v>750</v>
      </c>
      <c r="G1183" s="9">
        <f>IFERROR(__xludf.DUMMYFUNCTION("""COMPUTED_VALUE"""),6.0)</f>
        <v>6</v>
      </c>
      <c r="H1183" s="10">
        <f>IFERROR(__xludf.DUMMYFUNCTION("""COMPUTED_VALUE"""),7.0)</f>
        <v>7</v>
      </c>
      <c r="I1183" s="11">
        <f>IFERROR(__xludf.DUMMYFUNCTION("""COMPUTED_VALUE"""),555.0)</f>
        <v>555</v>
      </c>
      <c r="J1183" s="9" t="str">
        <f>IFERROR(__xludf.DUMMYFUNCTION("""COMPUTED_VALUE"""),"UK")</f>
        <v>UK</v>
      </c>
      <c r="K1183" s="8"/>
      <c r="L1183" s="12"/>
      <c r="M1183" s="13"/>
      <c r="N1183" s="13" t="str">
        <f>IFERROR(__xludf.DUMMYFUNCTION("IF(ISBLANK(M1183),"""",M1183*GOOGLEFINANCE(""USDGBP""))"),"")</f>
        <v/>
      </c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</row>
    <row r="1184">
      <c r="A1184" s="8" t="str">
        <f>IFERROR(__xludf.DUMMYFUNCTION("""COMPUTED_VALUE"""),"103806020150600750")</f>
        <v>103806020150600750</v>
      </c>
      <c r="B1184" s="9" t="str">
        <f>IFERROR(__xludf.DUMMYFUNCTION("""COMPUTED_VALUE"""),"France")</f>
        <v>France</v>
      </c>
      <c r="C1184" s="9" t="str">
        <f>IFERROR(__xludf.DUMMYFUNCTION("""COMPUTED_VALUE"""),"burgundy")</f>
        <v>burgundy</v>
      </c>
      <c r="D1184" s="9" t="str">
        <f>IFERROR(__xludf.DUMMYFUNCTION("""COMPUTED_VALUE"""),"Maison Louis Jadot, Clos de la Roche Grand Cru")</f>
        <v>Maison Louis Jadot, Clos de la Roche Grand Cru</v>
      </c>
      <c r="E1184" s="9">
        <f>IFERROR(__xludf.DUMMYFUNCTION("""COMPUTED_VALUE"""),2015.0)</f>
        <v>2015</v>
      </c>
      <c r="F1184" s="9">
        <f>IFERROR(__xludf.DUMMYFUNCTION("""COMPUTED_VALUE"""),750.0)</f>
        <v>750</v>
      </c>
      <c r="G1184" s="9">
        <f>IFERROR(__xludf.DUMMYFUNCTION("""COMPUTED_VALUE"""),6.0)</f>
        <v>6</v>
      </c>
      <c r="H1184" s="10">
        <f>IFERROR(__xludf.DUMMYFUNCTION("""COMPUTED_VALUE"""),3.0)</f>
        <v>3</v>
      </c>
      <c r="I1184" s="11">
        <f>IFERROR(__xludf.DUMMYFUNCTION("""COMPUTED_VALUE"""),1135.0)</f>
        <v>1135</v>
      </c>
      <c r="J1184" s="9" t="str">
        <f>IFERROR(__xludf.DUMMYFUNCTION("""COMPUTED_VALUE"""),"UK")</f>
        <v>UK</v>
      </c>
      <c r="K1184" s="8"/>
      <c r="L1184" s="12"/>
      <c r="M1184" s="13"/>
      <c r="N1184" s="13" t="str">
        <f>IFERROR(__xludf.DUMMYFUNCTION("IF(ISBLANK(M1184),"""",M1184*GOOGLEFINANCE(""USDGBP""))"),"")</f>
        <v/>
      </c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</row>
    <row r="1185">
      <c r="A1185" s="8" t="str">
        <f>IFERROR(__xludf.DUMMYFUNCTION("""COMPUTED_VALUE"""),"103806020160600750")</f>
        <v>103806020160600750</v>
      </c>
      <c r="B1185" s="9" t="str">
        <f>IFERROR(__xludf.DUMMYFUNCTION("""COMPUTED_VALUE"""),"France")</f>
        <v>France</v>
      </c>
      <c r="C1185" s="9" t="str">
        <f>IFERROR(__xludf.DUMMYFUNCTION("""COMPUTED_VALUE"""),"burgundy")</f>
        <v>burgundy</v>
      </c>
      <c r="D1185" s="9" t="str">
        <f>IFERROR(__xludf.DUMMYFUNCTION("""COMPUTED_VALUE"""),"Maison Louis Jadot, Clos de la Roche Grand Cru")</f>
        <v>Maison Louis Jadot, Clos de la Roche Grand Cru</v>
      </c>
      <c r="E1185" s="9">
        <f>IFERROR(__xludf.DUMMYFUNCTION("""COMPUTED_VALUE"""),2016.0)</f>
        <v>2016</v>
      </c>
      <c r="F1185" s="9">
        <f>IFERROR(__xludf.DUMMYFUNCTION("""COMPUTED_VALUE"""),750.0)</f>
        <v>750</v>
      </c>
      <c r="G1185" s="9">
        <f>IFERROR(__xludf.DUMMYFUNCTION("""COMPUTED_VALUE"""),6.0)</f>
        <v>6</v>
      </c>
      <c r="H1185" s="10">
        <f>IFERROR(__xludf.DUMMYFUNCTION("""COMPUTED_VALUE"""),1.0)</f>
        <v>1</v>
      </c>
      <c r="I1185" s="11">
        <f>IFERROR(__xludf.DUMMYFUNCTION("""COMPUTED_VALUE"""),839.0)</f>
        <v>839</v>
      </c>
      <c r="J1185" s="9" t="str">
        <f>IFERROR(__xludf.DUMMYFUNCTION("""COMPUTED_VALUE"""),"UK")</f>
        <v>UK</v>
      </c>
      <c r="K1185" s="8"/>
      <c r="L1185" s="12"/>
      <c r="M1185" s="13"/>
      <c r="N1185" s="13" t="str">
        <f>IFERROR(__xludf.DUMMYFUNCTION("IF(ISBLANK(M1185),"""",M1185*GOOGLEFINANCE(""USDGBP""))"),"")</f>
        <v/>
      </c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</row>
    <row r="1186">
      <c r="A1186" s="8" t="str">
        <f>IFERROR(__xludf.DUMMYFUNCTION("""COMPUTED_VALUE"""),"103806020180600750")</f>
        <v>103806020180600750</v>
      </c>
      <c r="B1186" s="9" t="str">
        <f>IFERROR(__xludf.DUMMYFUNCTION("""COMPUTED_VALUE"""),"France")</f>
        <v>France</v>
      </c>
      <c r="C1186" s="9" t="str">
        <f>IFERROR(__xludf.DUMMYFUNCTION("""COMPUTED_VALUE"""),"burgundy")</f>
        <v>burgundy</v>
      </c>
      <c r="D1186" s="9" t="str">
        <f>IFERROR(__xludf.DUMMYFUNCTION("""COMPUTED_VALUE"""),"Maison Louis Jadot, Clos de la Roche Grand Cru")</f>
        <v>Maison Louis Jadot, Clos de la Roche Grand Cru</v>
      </c>
      <c r="E1186" s="9">
        <f>IFERROR(__xludf.DUMMYFUNCTION("""COMPUTED_VALUE"""),2018.0)</f>
        <v>2018</v>
      </c>
      <c r="F1186" s="9">
        <f>IFERROR(__xludf.DUMMYFUNCTION("""COMPUTED_VALUE"""),750.0)</f>
        <v>750</v>
      </c>
      <c r="G1186" s="9">
        <f>IFERROR(__xludf.DUMMYFUNCTION("""COMPUTED_VALUE"""),6.0)</f>
        <v>6</v>
      </c>
      <c r="H1186" s="10">
        <f>IFERROR(__xludf.DUMMYFUNCTION("""COMPUTED_VALUE"""),1.0)</f>
        <v>1</v>
      </c>
      <c r="I1186" s="11">
        <f>IFERROR(__xludf.DUMMYFUNCTION("""COMPUTED_VALUE"""),951.0)</f>
        <v>951</v>
      </c>
      <c r="J1186" s="9" t="str">
        <f>IFERROR(__xludf.DUMMYFUNCTION("""COMPUTED_VALUE"""),"UK")</f>
        <v>UK</v>
      </c>
      <c r="K1186" s="8"/>
      <c r="L1186" s="12"/>
      <c r="M1186" s="13"/>
      <c r="N1186" s="13" t="str">
        <f>IFERROR(__xludf.DUMMYFUNCTION("IF(ISBLANK(M1186),"""",M1186*GOOGLEFINANCE(""USDGBP""))"),"")</f>
        <v/>
      </c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</row>
    <row r="1187">
      <c r="A1187" s="8" t="str">
        <f>IFERROR(__xludf.DUMMYFUNCTION("""COMPUTED_VALUE"""),"103838920130600750")</f>
        <v>103838920130600750</v>
      </c>
      <c r="B1187" s="9" t="str">
        <f>IFERROR(__xludf.DUMMYFUNCTION("""COMPUTED_VALUE"""),"France")</f>
        <v>France</v>
      </c>
      <c r="C1187" s="9" t="str">
        <f>IFERROR(__xludf.DUMMYFUNCTION("""COMPUTED_VALUE"""),"burgundy")</f>
        <v>burgundy</v>
      </c>
      <c r="D1187" s="9" t="str">
        <f>IFERROR(__xludf.DUMMYFUNCTION("""COMPUTED_VALUE"""),"Maison Louis Jadot, Mazis-Chambertin Grand Cru")</f>
        <v>Maison Louis Jadot, Mazis-Chambertin Grand Cru</v>
      </c>
      <c r="E1187" s="9">
        <f>IFERROR(__xludf.DUMMYFUNCTION("""COMPUTED_VALUE"""),2013.0)</f>
        <v>2013</v>
      </c>
      <c r="F1187" s="9">
        <f>IFERROR(__xludf.DUMMYFUNCTION("""COMPUTED_VALUE"""),750.0)</f>
        <v>750</v>
      </c>
      <c r="G1187" s="9">
        <f>IFERROR(__xludf.DUMMYFUNCTION("""COMPUTED_VALUE"""),6.0)</f>
        <v>6</v>
      </c>
      <c r="H1187" s="10">
        <f>IFERROR(__xludf.DUMMYFUNCTION("""COMPUTED_VALUE"""),8.0)</f>
        <v>8</v>
      </c>
      <c r="I1187" s="11">
        <f>IFERROR(__xludf.DUMMYFUNCTION("""COMPUTED_VALUE"""),1410.0)</f>
        <v>1410</v>
      </c>
      <c r="J1187" s="9" t="str">
        <f>IFERROR(__xludf.DUMMYFUNCTION("""COMPUTED_VALUE"""),"UK")</f>
        <v>UK</v>
      </c>
      <c r="K1187" s="8"/>
      <c r="L1187" s="12"/>
      <c r="M1187" s="13"/>
      <c r="N1187" s="13" t="str">
        <f>IFERROR(__xludf.DUMMYFUNCTION("IF(ISBLANK(M1187),"""",M1187*GOOGLEFINANCE(""USDGBP""))"),"")</f>
        <v/>
      </c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</row>
    <row r="1188">
      <c r="A1188" s="8" t="str">
        <f>IFERROR(__xludf.DUMMYFUNCTION("""COMPUTED_VALUE"""),"103856520180600750")</f>
        <v>103856520180600750</v>
      </c>
      <c r="B1188" s="9" t="str">
        <f>IFERROR(__xludf.DUMMYFUNCTION("""COMPUTED_VALUE"""),"France")</f>
        <v>France</v>
      </c>
      <c r="C1188" s="9" t="str">
        <f>IFERROR(__xludf.DUMMYFUNCTION("""COMPUTED_VALUE"""),"burgundy")</f>
        <v>burgundy</v>
      </c>
      <c r="D1188" s="9" t="str">
        <f>IFERROR(__xludf.DUMMYFUNCTION("""COMPUTED_VALUE"""),"Maison Louis Jadot, Nuits-Saint-Georges Premier Cru, Les Saint-Georges")</f>
        <v>Maison Louis Jadot, Nuits-Saint-Georges Premier Cru, Les Saint-Georges</v>
      </c>
      <c r="E1188" s="9">
        <f>IFERROR(__xludf.DUMMYFUNCTION("""COMPUTED_VALUE"""),2018.0)</f>
        <v>2018</v>
      </c>
      <c r="F1188" s="9">
        <f>IFERROR(__xludf.DUMMYFUNCTION("""COMPUTED_VALUE"""),750.0)</f>
        <v>750</v>
      </c>
      <c r="G1188" s="9">
        <f>IFERROR(__xludf.DUMMYFUNCTION("""COMPUTED_VALUE"""),6.0)</f>
        <v>6</v>
      </c>
      <c r="H1188" s="10">
        <f>IFERROR(__xludf.DUMMYFUNCTION("""COMPUTED_VALUE"""),8.0)</f>
        <v>8</v>
      </c>
      <c r="I1188" s="11">
        <f>IFERROR(__xludf.DUMMYFUNCTION("""COMPUTED_VALUE"""),537.0)</f>
        <v>537</v>
      </c>
      <c r="J1188" s="9" t="str">
        <f>IFERROR(__xludf.DUMMYFUNCTION("""COMPUTED_VALUE"""),"UK")</f>
        <v>UK</v>
      </c>
      <c r="K1188" s="8"/>
      <c r="L1188" s="12"/>
      <c r="M1188" s="13"/>
      <c r="N1188" s="13" t="str">
        <f>IFERROR(__xludf.DUMMYFUNCTION("IF(ISBLANK(M1188),"""",M1188*GOOGLEFINANCE(""USDGBP""))"),"")</f>
        <v/>
      </c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</row>
    <row r="1189">
      <c r="A1189" s="8" t="str">
        <f>IFERROR(__xludf.DUMMYFUNCTION("""COMPUTED_VALUE"""),"103883920170600750")</f>
        <v>103883920170600750</v>
      </c>
      <c r="B1189" s="9" t="str">
        <f>IFERROR(__xludf.DUMMYFUNCTION("""COMPUTED_VALUE"""),"France")</f>
        <v>France</v>
      </c>
      <c r="C1189" s="9" t="str">
        <f>IFERROR(__xludf.DUMMYFUNCTION("""COMPUTED_VALUE"""),"burgundy")</f>
        <v>burgundy</v>
      </c>
      <c r="D1189" s="9" t="str">
        <f>IFERROR(__xludf.DUMMYFUNCTION("""COMPUTED_VALUE"""),"Maison Louis Jadot, Volnay Premier Cru, Clos de la Barre Monopole")</f>
        <v>Maison Louis Jadot, Volnay Premier Cru, Clos de la Barre Monopole</v>
      </c>
      <c r="E1189" s="9">
        <f>IFERROR(__xludf.DUMMYFUNCTION("""COMPUTED_VALUE"""),2017.0)</f>
        <v>2017</v>
      </c>
      <c r="F1189" s="9">
        <f>IFERROR(__xludf.DUMMYFUNCTION("""COMPUTED_VALUE"""),750.0)</f>
        <v>750</v>
      </c>
      <c r="G1189" s="9">
        <f>IFERROR(__xludf.DUMMYFUNCTION("""COMPUTED_VALUE"""),6.0)</f>
        <v>6</v>
      </c>
      <c r="H1189" s="10">
        <f>IFERROR(__xludf.DUMMYFUNCTION("""COMPUTED_VALUE"""),1.0)</f>
        <v>1</v>
      </c>
      <c r="I1189" s="11">
        <f>IFERROR(__xludf.DUMMYFUNCTION("""COMPUTED_VALUE"""),341.0)</f>
        <v>341</v>
      </c>
      <c r="J1189" s="9" t="str">
        <f>IFERROR(__xludf.DUMMYFUNCTION("""COMPUTED_VALUE"""),"UK")</f>
        <v>UK</v>
      </c>
      <c r="K1189" s="8"/>
      <c r="L1189" s="12"/>
      <c r="M1189" s="13"/>
      <c r="N1189" s="13" t="str">
        <f>IFERROR(__xludf.DUMMYFUNCTION("IF(ISBLANK(M1189),"""",M1189*GOOGLEFINANCE(""USDGBP""))"),"")</f>
        <v/>
      </c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</row>
    <row r="1190">
      <c r="A1190" s="8" t="str">
        <f>IFERROR(__xludf.DUMMYFUNCTION("""COMPUTED_VALUE"""),"103884220170600750")</f>
        <v>103884220170600750</v>
      </c>
      <c r="B1190" s="9" t="str">
        <f>IFERROR(__xludf.DUMMYFUNCTION("""COMPUTED_VALUE"""),"France")</f>
        <v>France</v>
      </c>
      <c r="C1190" s="9" t="str">
        <f>IFERROR(__xludf.DUMMYFUNCTION("""COMPUTED_VALUE"""),"burgundy")</f>
        <v>burgundy</v>
      </c>
      <c r="D1190" s="9" t="str">
        <f>IFERROR(__xludf.DUMMYFUNCTION("""COMPUTED_VALUE"""),"Maison Louis Jadot, Volnay Premier Cru, Clos des Chenes")</f>
        <v>Maison Louis Jadot, Volnay Premier Cru, Clos des Chenes</v>
      </c>
      <c r="E1190" s="9">
        <f>IFERROR(__xludf.DUMMYFUNCTION("""COMPUTED_VALUE"""),2017.0)</f>
        <v>2017</v>
      </c>
      <c r="F1190" s="9">
        <f>IFERROR(__xludf.DUMMYFUNCTION("""COMPUTED_VALUE"""),750.0)</f>
        <v>750</v>
      </c>
      <c r="G1190" s="9">
        <f>IFERROR(__xludf.DUMMYFUNCTION("""COMPUTED_VALUE"""),6.0)</f>
        <v>6</v>
      </c>
      <c r="H1190" s="10">
        <f>IFERROR(__xludf.DUMMYFUNCTION("""COMPUTED_VALUE"""),2.0)</f>
        <v>2</v>
      </c>
      <c r="I1190" s="11">
        <f>IFERROR(__xludf.DUMMYFUNCTION("""COMPUTED_VALUE"""),285.0)</f>
        <v>285</v>
      </c>
      <c r="J1190" s="9" t="str">
        <f>IFERROR(__xludf.DUMMYFUNCTION("""COMPUTED_VALUE"""),"UK")</f>
        <v>UK</v>
      </c>
      <c r="K1190" s="8"/>
      <c r="L1190" s="12"/>
      <c r="M1190" s="13"/>
      <c r="N1190" s="13" t="str">
        <f>IFERROR(__xludf.DUMMYFUNCTION("IF(ISBLANK(M1190),"""",M1190*GOOGLEFINANCE(""USDGBP""))"),"")</f>
        <v/>
      </c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</row>
    <row r="1191">
      <c r="A1191" s="8" t="str">
        <f>IFERROR(__xludf.DUMMYFUNCTION("""COMPUTED_VALUE"""),"103884220180600750")</f>
        <v>103884220180600750</v>
      </c>
      <c r="B1191" s="9" t="str">
        <f>IFERROR(__xludf.DUMMYFUNCTION("""COMPUTED_VALUE"""),"France")</f>
        <v>France</v>
      </c>
      <c r="C1191" s="9" t="str">
        <f>IFERROR(__xludf.DUMMYFUNCTION("""COMPUTED_VALUE"""),"burgundy")</f>
        <v>burgundy</v>
      </c>
      <c r="D1191" s="9" t="str">
        <f>IFERROR(__xludf.DUMMYFUNCTION("""COMPUTED_VALUE"""),"Maison Louis Jadot, Volnay Premier Cru, Clos des Chenes")</f>
        <v>Maison Louis Jadot, Volnay Premier Cru, Clos des Chenes</v>
      </c>
      <c r="E1191" s="9">
        <f>IFERROR(__xludf.DUMMYFUNCTION("""COMPUTED_VALUE"""),2018.0)</f>
        <v>2018</v>
      </c>
      <c r="F1191" s="9">
        <f>IFERROR(__xludf.DUMMYFUNCTION("""COMPUTED_VALUE"""),750.0)</f>
        <v>750</v>
      </c>
      <c r="G1191" s="9">
        <f>IFERROR(__xludf.DUMMYFUNCTION("""COMPUTED_VALUE"""),6.0)</f>
        <v>6</v>
      </c>
      <c r="H1191" s="10">
        <f>IFERROR(__xludf.DUMMYFUNCTION("""COMPUTED_VALUE"""),31.0)</f>
        <v>31</v>
      </c>
      <c r="I1191" s="11">
        <f>IFERROR(__xludf.DUMMYFUNCTION("""COMPUTED_VALUE"""),491.0)</f>
        <v>491</v>
      </c>
      <c r="J1191" s="9" t="str">
        <f>IFERROR(__xludf.DUMMYFUNCTION("""COMPUTED_VALUE"""),"UK")</f>
        <v>UK</v>
      </c>
      <c r="K1191" s="8"/>
      <c r="L1191" s="12"/>
      <c r="M1191" s="13"/>
      <c r="N1191" s="13" t="str">
        <f>IFERROR(__xludf.DUMMYFUNCTION("IF(ISBLANK(M1191),"""",M1191*GOOGLEFINANCE(""USDGBP""))"),"")</f>
        <v/>
      </c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</row>
    <row r="1192">
      <c r="A1192" s="8" t="str">
        <f>IFERROR(__xludf.DUMMYFUNCTION("""COMPUTED_VALUE"""),"131074420190300750")</f>
        <v>131074420190300750</v>
      </c>
      <c r="B1192" s="9" t="str">
        <f>IFERROR(__xludf.DUMMYFUNCTION("""COMPUTED_VALUE"""),"France")</f>
        <v>France</v>
      </c>
      <c r="C1192" s="9" t="str">
        <f>IFERROR(__xludf.DUMMYFUNCTION("""COMPUTED_VALUE"""),"burgundy")</f>
        <v>burgundy</v>
      </c>
      <c r="D1192" s="9" t="str">
        <f>IFERROR(__xludf.DUMMYFUNCTION("""COMPUTED_VALUE"""),"Maison Roche de Bellene, Romanee-Saint-Vivant Grand Cru")</f>
        <v>Maison Roche de Bellene, Romanee-Saint-Vivant Grand Cru</v>
      </c>
      <c r="E1192" s="9">
        <f>IFERROR(__xludf.DUMMYFUNCTION("""COMPUTED_VALUE"""),2019.0)</f>
        <v>2019</v>
      </c>
      <c r="F1192" s="9">
        <f>IFERROR(__xludf.DUMMYFUNCTION("""COMPUTED_VALUE"""),750.0)</f>
        <v>750</v>
      </c>
      <c r="G1192" s="9">
        <f>IFERROR(__xludf.DUMMYFUNCTION("""COMPUTED_VALUE"""),3.0)</f>
        <v>3</v>
      </c>
      <c r="H1192" s="10">
        <f>IFERROR(__xludf.DUMMYFUNCTION("""COMPUTED_VALUE"""),2.0)</f>
        <v>2</v>
      </c>
      <c r="I1192" s="11">
        <f>IFERROR(__xludf.DUMMYFUNCTION("""COMPUTED_VALUE"""),1514.0)</f>
        <v>1514</v>
      </c>
      <c r="J1192" s="9" t="str">
        <f>IFERROR(__xludf.DUMMYFUNCTION("""COMPUTED_VALUE"""),"UK")</f>
        <v>UK</v>
      </c>
      <c r="K1192" s="8"/>
      <c r="L1192" s="12"/>
      <c r="M1192" s="13"/>
      <c r="N1192" s="13" t="str">
        <f>IFERROR(__xludf.DUMMYFUNCTION("IF(ISBLANK(M1192),"""",M1192*GOOGLEFINANCE(""USDGBP""))"),"")</f>
        <v/>
      </c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</row>
    <row r="1193">
      <c r="A1193" s="8" t="str">
        <f>IFERROR(__xludf.DUMMYFUNCTION("""COMPUTED_VALUE"""),"112441920181200750")</f>
        <v>112441920181200750</v>
      </c>
      <c r="B1193" s="9" t="str">
        <f>IFERROR(__xludf.DUMMYFUNCTION("""COMPUTED_VALUE"""),"France")</f>
        <v>France</v>
      </c>
      <c r="C1193" s="9" t="str">
        <f>IFERROR(__xludf.DUMMYFUNCTION("""COMPUTED_VALUE"""),"burgundy")</f>
        <v>burgundy</v>
      </c>
      <c r="D1193" s="9" t="str">
        <f>IFERROR(__xludf.DUMMYFUNCTION("""COMPUTED_VALUE"""),"Maison Roche de Bellene, Vosne-Romanee, Vieilles Vignes")</f>
        <v>Maison Roche de Bellene, Vosne-Romanee, Vieilles Vignes</v>
      </c>
      <c r="E1193" s="9">
        <f>IFERROR(__xludf.DUMMYFUNCTION("""COMPUTED_VALUE"""),2018.0)</f>
        <v>2018</v>
      </c>
      <c r="F1193" s="9">
        <f>IFERROR(__xludf.DUMMYFUNCTION("""COMPUTED_VALUE"""),750.0)</f>
        <v>750</v>
      </c>
      <c r="G1193" s="9">
        <f>IFERROR(__xludf.DUMMYFUNCTION("""COMPUTED_VALUE"""),12.0)</f>
        <v>12</v>
      </c>
      <c r="H1193" s="10">
        <f>IFERROR(__xludf.DUMMYFUNCTION("""COMPUTED_VALUE"""),1.0)</f>
        <v>1</v>
      </c>
      <c r="I1193" s="11">
        <f>IFERROR(__xludf.DUMMYFUNCTION("""COMPUTED_VALUE"""),617.0)</f>
        <v>617</v>
      </c>
      <c r="J1193" s="9" t="str">
        <f>IFERROR(__xludf.DUMMYFUNCTION("""COMPUTED_VALUE"""),"UK")</f>
        <v>UK</v>
      </c>
      <c r="K1193" s="8"/>
      <c r="L1193" s="12"/>
      <c r="M1193" s="13"/>
      <c r="N1193" s="13" t="str">
        <f>IFERROR(__xludf.DUMMYFUNCTION("IF(ISBLANK(M1193),"""",M1193*GOOGLEFINANCE(""USDGBP""))"),"")</f>
        <v/>
      </c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</row>
    <row r="1194">
      <c r="A1194" s="8" t="str">
        <f>IFERROR(__xludf.DUMMYFUNCTION("""COMPUTED_VALUE"""),"150311120181200750")</f>
        <v>150311120181200750</v>
      </c>
      <c r="B1194" s="9" t="str">
        <f>IFERROR(__xludf.DUMMYFUNCTION("""COMPUTED_VALUE"""),"France")</f>
        <v>France</v>
      </c>
      <c r="C1194" s="9" t="str">
        <f>IFERROR(__xludf.DUMMYFUNCTION("""COMPUTED_VALUE"""),"burgundy")</f>
        <v>burgundy</v>
      </c>
      <c r="D1194" s="9" t="str">
        <f>IFERROR(__xludf.DUMMYFUNCTION("""COMPUTED_VALUE"""),"Maxime Cheurlin Noellat, Gevrey-Chambertin, En Champs")</f>
        <v>Maxime Cheurlin Noellat, Gevrey-Chambertin, En Champs</v>
      </c>
      <c r="E1194" s="9">
        <f>IFERROR(__xludf.DUMMYFUNCTION("""COMPUTED_VALUE"""),2018.0)</f>
        <v>2018</v>
      </c>
      <c r="F1194" s="9">
        <f>IFERROR(__xludf.DUMMYFUNCTION("""COMPUTED_VALUE"""),750.0)</f>
        <v>750</v>
      </c>
      <c r="G1194" s="9">
        <f>IFERROR(__xludf.DUMMYFUNCTION("""COMPUTED_VALUE"""),12.0)</f>
        <v>12</v>
      </c>
      <c r="H1194" s="10">
        <f>IFERROR(__xludf.DUMMYFUNCTION("""COMPUTED_VALUE"""),8.0)</f>
        <v>8</v>
      </c>
      <c r="I1194" s="11">
        <f>IFERROR(__xludf.DUMMYFUNCTION("""COMPUTED_VALUE"""),716.0)</f>
        <v>716</v>
      </c>
      <c r="J1194" s="9" t="str">
        <f>IFERROR(__xludf.DUMMYFUNCTION("""COMPUTED_VALUE"""),"UK")</f>
        <v>UK</v>
      </c>
      <c r="K1194" s="8"/>
      <c r="L1194" s="12"/>
      <c r="M1194" s="13"/>
      <c r="N1194" s="13" t="str">
        <f>IFERROR(__xludf.DUMMYFUNCTION("IF(ISBLANK(M1194),"""",M1194*GOOGLEFINANCE(""USDGBP""))"),"")</f>
        <v/>
      </c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</row>
    <row r="1195">
      <c r="A1195" s="8" t="str">
        <f>IFERROR(__xludf.DUMMYFUNCTION("""COMPUTED_VALUE"""),"127293420170600750")</f>
        <v>127293420170600750</v>
      </c>
      <c r="B1195" s="9" t="str">
        <f>IFERROR(__xludf.DUMMYFUNCTION("""COMPUTED_VALUE"""),"France")</f>
        <v>France</v>
      </c>
      <c r="C1195" s="9" t="str">
        <f>IFERROR(__xludf.DUMMYFUNCTION("""COMPUTED_VALUE"""),"burgundy")</f>
        <v>burgundy</v>
      </c>
      <c r="D1195" s="9" t="str">
        <f>IFERROR(__xludf.DUMMYFUNCTION("""COMPUTED_VALUE"""),"Michel Bonnefond, Ruchottes-Chambertin Grand Cru")</f>
        <v>Michel Bonnefond, Ruchottes-Chambertin Grand Cru</v>
      </c>
      <c r="E1195" s="9">
        <f>IFERROR(__xludf.DUMMYFUNCTION("""COMPUTED_VALUE"""),2017.0)</f>
        <v>2017</v>
      </c>
      <c r="F1195" s="9">
        <f>IFERROR(__xludf.DUMMYFUNCTION("""COMPUTED_VALUE"""),750.0)</f>
        <v>750</v>
      </c>
      <c r="G1195" s="9">
        <f>IFERROR(__xludf.DUMMYFUNCTION("""COMPUTED_VALUE"""),6.0)</f>
        <v>6</v>
      </c>
      <c r="H1195" s="10">
        <f>IFERROR(__xludf.DUMMYFUNCTION("""COMPUTED_VALUE"""),1.0)</f>
        <v>1</v>
      </c>
      <c r="I1195" s="11">
        <f>IFERROR(__xludf.DUMMYFUNCTION("""COMPUTED_VALUE"""),6760.0)</f>
        <v>6760</v>
      </c>
      <c r="J1195" s="9" t="str">
        <f>IFERROR(__xludf.DUMMYFUNCTION("""COMPUTED_VALUE"""),"UK")</f>
        <v>UK</v>
      </c>
      <c r="K1195" s="8"/>
      <c r="L1195" s="12"/>
      <c r="M1195" s="13"/>
      <c r="N1195" s="13" t="str">
        <f>IFERROR(__xludf.DUMMYFUNCTION("IF(ISBLANK(M1195),"""",M1195*GOOGLEFINANCE(""USDGBP""))"),"")</f>
        <v/>
      </c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</row>
    <row r="1196">
      <c r="A1196" s="8" t="str">
        <f>IFERROR(__xludf.DUMMYFUNCTION("""COMPUTED_VALUE"""),"104601620210600750")</f>
        <v>104601620210600750</v>
      </c>
      <c r="B1196" s="9" t="str">
        <f>IFERROR(__xludf.DUMMYFUNCTION("""COMPUTED_VALUE"""),"France")</f>
        <v>France</v>
      </c>
      <c r="C1196" s="9" t="str">
        <f>IFERROR(__xludf.DUMMYFUNCTION("""COMPUTED_VALUE"""),"burgundy")</f>
        <v>burgundy</v>
      </c>
      <c r="D1196" s="9" t="str">
        <f>IFERROR(__xludf.DUMMYFUNCTION("""COMPUTED_VALUE"""),"Michel Magnien, Morey-Saint-Denis Premier Cru, Les Chaffots")</f>
        <v>Michel Magnien, Morey-Saint-Denis Premier Cru, Les Chaffots</v>
      </c>
      <c r="E1196" s="9">
        <f>IFERROR(__xludf.DUMMYFUNCTION("""COMPUTED_VALUE"""),2021.0)</f>
        <v>2021</v>
      </c>
      <c r="F1196" s="9">
        <f>IFERROR(__xludf.DUMMYFUNCTION("""COMPUTED_VALUE"""),750.0)</f>
        <v>750</v>
      </c>
      <c r="G1196" s="9">
        <f>IFERROR(__xludf.DUMMYFUNCTION("""COMPUTED_VALUE"""),6.0)</f>
        <v>6</v>
      </c>
      <c r="H1196" s="10">
        <f>IFERROR(__xludf.DUMMYFUNCTION("""COMPUTED_VALUE"""),3.0)</f>
        <v>3</v>
      </c>
      <c r="I1196" s="11">
        <f>IFERROR(__xludf.DUMMYFUNCTION("""COMPUTED_VALUE"""),470.0)</f>
        <v>470</v>
      </c>
      <c r="J1196" s="9" t="str">
        <f>IFERROR(__xludf.DUMMYFUNCTION("""COMPUTED_VALUE"""),"UK")</f>
        <v>UK</v>
      </c>
      <c r="K1196" s="8"/>
      <c r="L1196" s="12"/>
      <c r="M1196" s="13"/>
      <c r="N1196" s="13" t="str">
        <f>IFERROR(__xludf.DUMMYFUNCTION("IF(ISBLANK(M1196),"""",M1196*GOOGLEFINANCE(""USDGBP""))"),"")</f>
        <v/>
      </c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</row>
    <row r="1197">
      <c r="A1197" s="8" t="str">
        <f>IFERROR(__xludf.DUMMYFUNCTION("""COMPUTED_VALUE"""),"104788220190600750")</f>
        <v>104788220190600750</v>
      </c>
      <c r="B1197" s="9" t="str">
        <f>IFERROR(__xludf.DUMMYFUNCTION("""COMPUTED_VALUE"""),"France")</f>
        <v>France</v>
      </c>
      <c r="C1197" s="9" t="str">
        <f>IFERROR(__xludf.DUMMYFUNCTION("""COMPUTED_VALUE"""),"burgundy")</f>
        <v>burgundy</v>
      </c>
      <c r="D1197" s="9" t="str">
        <f>IFERROR(__xludf.DUMMYFUNCTION("""COMPUTED_VALUE"""),"Mongeard Mugneret, Vosne-Romanee Premier Cru, Les Suchots")</f>
        <v>Mongeard Mugneret, Vosne-Romanee Premier Cru, Les Suchots</v>
      </c>
      <c r="E1197" s="9">
        <f>IFERROR(__xludf.DUMMYFUNCTION("""COMPUTED_VALUE"""),2019.0)</f>
        <v>2019</v>
      </c>
      <c r="F1197" s="9">
        <f>IFERROR(__xludf.DUMMYFUNCTION("""COMPUTED_VALUE"""),750.0)</f>
        <v>750</v>
      </c>
      <c r="G1197" s="9">
        <f>IFERROR(__xludf.DUMMYFUNCTION("""COMPUTED_VALUE"""),6.0)</f>
        <v>6</v>
      </c>
      <c r="H1197" s="10">
        <f>IFERROR(__xludf.DUMMYFUNCTION("""COMPUTED_VALUE"""),1.0)</f>
        <v>1</v>
      </c>
      <c r="I1197" s="11">
        <f>IFERROR(__xludf.DUMMYFUNCTION("""COMPUTED_VALUE"""),2025.0)</f>
        <v>2025</v>
      </c>
      <c r="J1197" s="9" t="str">
        <f>IFERROR(__xludf.DUMMYFUNCTION("""COMPUTED_VALUE"""),"UK")</f>
        <v>UK</v>
      </c>
      <c r="K1197" s="8"/>
      <c r="L1197" s="12"/>
      <c r="M1197" s="13"/>
      <c r="N1197" s="13" t="str">
        <f>IFERROR(__xludf.DUMMYFUNCTION("IF(ISBLANK(M1197),"""",M1197*GOOGLEFINANCE(""USDGBP""))"),"")</f>
        <v/>
      </c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</row>
    <row r="1198">
      <c r="A1198" s="8" t="str">
        <f>IFERROR(__xludf.DUMMYFUNCTION("""COMPUTED_VALUE"""),"206243920190300750")</f>
        <v>206243920190300750</v>
      </c>
      <c r="B1198" s="9" t="str">
        <f>IFERROR(__xludf.DUMMYFUNCTION("""COMPUTED_VALUE"""),"France")</f>
        <v>France</v>
      </c>
      <c r="C1198" s="9" t="str">
        <f>IFERROR(__xludf.DUMMYFUNCTION("""COMPUTED_VALUE"""),"burgundy")</f>
        <v>burgundy</v>
      </c>
      <c r="D1198" s="9" t="str">
        <f>IFERROR(__xludf.DUMMYFUNCTION("""COMPUTED_VALUE"""),"Monthelie Douhairet, Chambertin Grand Cru")</f>
        <v>Monthelie Douhairet, Chambertin Grand Cru</v>
      </c>
      <c r="E1198" s="9">
        <f>IFERROR(__xludf.DUMMYFUNCTION("""COMPUTED_VALUE"""),2019.0)</f>
        <v>2019</v>
      </c>
      <c r="F1198" s="9">
        <f>IFERROR(__xludf.DUMMYFUNCTION("""COMPUTED_VALUE"""),750.0)</f>
        <v>750</v>
      </c>
      <c r="G1198" s="9">
        <f>IFERROR(__xludf.DUMMYFUNCTION("""COMPUTED_VALUE"""),3.0)</f>
        <v>3</v>
      </c>
      <c r="H1198" s="10">
        <f>IFERROR(__xludf.DUMMYFUNCTION("""COMPUTED_VALUE"""),3.0)</f>
        <v>3</v>
      </c>
      <c r="I1198" s="11">
        <f>IFERROR(__xludf.DUMMYFUNCTION("""COMPUTED_VALUE"""),1655.0)</f>
        <v>1655</v>
      </c>
      <c r="J1198" s="9" t="str">
        <f>IFERROR(__xludf.DUMMYFUNCTION("""COMPUTED_VALUE"""),"UK")</f>
        <v>UK</v>
      </c>
      <c r="K1198" s="8"/>
      <c r="L1198" s="12"/>
      <c r="M1198" s="13"/>
      <c r="N1198" s="13" t="str">
        <f>IFERROR(__xludf.DUMMYFUNCTION("IF(ISBLANK(M1198),"""",M1198*GOOGLEFINANCE(""USDGBP""))"),"")</f>
        <v/>
      </c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</row>
    <row r="1199">
      <c r="A1199" s="8" t="str">
        <f>IFERROR(__xludf.DUMMYFUNCTION("""COMPUTED_VALUE"""),"121689920181200750")</f>
        <v>121689920181200750</v>
      </c>
      <c r="B1199" s="9" t="str">
        <f>IFERROR(__xludf.DUMMYFUNCTION("""COMPUTED_VALUE"""),"France")</f>
        <v>France</v>
      </c>
      <c r="C1199" s="9" t="str">
        <f>IFERROR(__xludf.DUMMYFUNCTION("""COMPUTED_VALUE"""),"burgundy")</f>
        <v>burgundy</v>
      </c>
      <c r="D1199" s="9" t="str">
        <f>IFERROR(__xludf.DUMMYFUNCTION("""COMPUTED_VALUE"""),"Morey Coffinet, Chassagne-Montrachet Premier Cru, Morgeot Blanc")</f>
        <v>Morey Coffinet, Chassagne-Montrachet Premier Cru, Morgeot Blanc</v>
      </c>
      <c r="E1199" s="9">
        <f>IFERROR(__xludf.DUMMYFUNCTION("""COMPUTED_VALUE"""),2018.0)</f>
        <v>2018</v>
      </c>
      <c r="F1199" s="9">
        <f>IFERROR(__xludf.DUMMYFUNCTION("""COMPUTED_VALUE"""),750.0)</f>
        <v>750</v>
      </c>
      <c r="G1199" s="9">
        <f>IFERROR(__xludf.DUMMYFUNCTION("""COMPUTED_VALUE"""),12.0)</f>
        <v>12</v>
      </c>
      <c r="H1199" s="10">
        <f>IFERROR(__xludf.DUMMYFUNCTION("""COMPUTED_VALUE"""),1.0)</f>
        <v>1</v>
      </c>
      <c r="I1199" s="11">
        <f>IFERROR(__xludf.DUMMYFUNCTION("""COMPUTED_VALUE"""),361.0)</f>
        <v>361</v>
      </c>
      <c r="J1199" s="9" t="str">
        <f>IFERROR(__xludf.DUMMYFUNCTION("""COMPUTED_VALUE"""),"UK")</f>
        <v>UK</v>
      </c>
      <c r="K1199" s="8"/>
      <c r="L1199" s="12"/>
      <c r="M1199" s="13"/>
      <c r="N1199" s="13" t="str">
        <f>IFERROR(__xludf.DUMMYFUNCTION("IF(ISBLANK(M1199),"""",M1199*GOOGLEFINANCE(""USDGBP""))"),"")</f>
        <v/>
      </c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</row>
    <row r="1200">
      <c r="A1200" s="8" t="str">
        <f>IFERROR(__xludf.DUMMYFUNCTION("""COMPUTED_VALUE"""),"131188420140600750")</f>
        <v>131188420140600750</v>
      </c>
      <c r="B1200" s="9" t="str">
        <f>IFERROR(__xludf.DUMMYFUNCTION("""COMPUTED_VALUE"""),"France")</f>
        <v>France</v>
      </c>
      <c r="C1200" s="9" t="str">
        <f>IFERROR(__xludf.DUMMYFUNCTION("""COMPUTED_VALUE"""),"burgundy")</f>
        <v>burgundy</v>
      </c>
      <c r="D1200" s="9" t="str">
        <f>IFERROR(__xludf.DUMMYFUNCTION("""COMPUTED_VALUE"""),"Odoul Coquard, Gevrey-Chambertin Premier Cru, Aux Combottes")</f>
        <v>Odoul Coquard, Gevrey-Chambertin Premier Cru, Aux Combottes</v>
      </c>
      <c r="E1200" s="9">
        <f>IFERROR(__xludf.DUMMYFUNCTION("""COMPUTED_VALUE"""),2014.0)</f>
        <v>2014</v>
      </c>
      <c r="F1200" s="9">
        <f>IFERROR(__xludf.DUMMYFUNCTION("""COMPUTED_VALUE"""),750.0)</f>
        <v>750</v>
      </c>
      <c r="G1200" s="9">
        <f>IFERROR(__xludf.DUMMYFUNCTION("""COMPUTED_VALUE"""),6.0)</f>
        <v>6</v>
      </c>
      <c r="H1200" s="10">
        <f>IFERROR(__xludf.DUMMYFUNCTION("""COMPUTED_VALUE"""),1.0)</f>
        <v>1</v>
      </c>
      <c r="I1200" s="11">
        <f>IFERROR(__xludf.DUMMYFUNCTION("""COMPUTED_VALUE"""),386.0)</f>
        <v>386</v>
      </c>
      <c r="J1200" s="9" t="str">
        <f>IFERROR(__xludf.DUMMYFUNCTION("""COMPUTED_VALUE"""),"UK")</f>
        <v>UK</v>
      </c>
      <c r="K1200" s="8"/>
      <c r="L1200" s="12"/>
      <c r="M1200" s="13"/>
      <c r="N1200" s="13" t="str">
        <f>IFERROR(__xludf.DUMMYFUNCTION("IF(ISBLANK(M1200),"""",M1200*GOOGLEFINANCE(""USDGBP""))"),"")</f>
        <v/>
      </c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</row>
    <row r="1201">
      <c r="A1201" s="8" t="str">
        <f>IFERROR(__xludf.DUMMYFUNCTION("""COMPUTED_VALUE"""),"181400820170600750")</f>
        <v>181400820170600750</v>
      </c>
      <c r="B1201" s="9" t="str">
        <f>IFERROR(__xludf.DUMMYFUNCTION("""COMPUTED_VALUE"""),"France")</f>
        <v>France</v>
      </c>
      <c r="C1201" s="9" t="str">
        <f>IFERROR(__xludf.DUMMYFUNCTION("""COMPUTED_VALUE"""),"burgundy")</f>
        <v>burgundy</v>
      </c>
      <c r="D1201" s="9" t="str">
        <f>IFERROR(__xludf.DUMMYFUNCTION("""COMPUTED_VALUE"""),"Perrot Minot, Chambolle-Musigny, Les Bussieres Orveaux Vieilles Vignes")</f>
        <v>Perrot Minot, Chambolle-Musigny, Les Bussieres Orveaux Vieilles Vignes</v>
      </c>
      <c r="E1201" s="9">
        <f>IFERROR(__xludf.DUMMYFUNCTION("""COMPUTED_VALUE"""),2017.0)</f>
        <v>2017</v>
      </c>
      <c r="F1201" s="9">
        <f>IFERROR(__xludf.DUMMYFUNCTION("""COMPUTED_VALUE"""),750.0)</f>
        <v>750</v>
      </c>
      <c r="G1201" s="9">
        <f>IFERROR(__xludf.DUMMYFUNCTION("""COMPUTED_VALUE"""),6.0)</f>
        <v>6</v>
      </c>
      <c r="H1201" s="10">
        <f>IFERROR(__xludf.DUMMYFUNCTION("""COMPUTED_VALUE"""),1.0)</f>
        <v>1</v>
      </c>
      <c r="I1201" s="11">
        <f>IFERROR(__xludf.DUMMYFUNCTION("""COMPUTED_VALUE"""),798.0)</f>
        <v>798</v>
      </c>
      <c r="J1201" s="9" t="str">
        <f>IFERROR(__xludf.DUMMYFUNCTION("""COMPUTED_VALUE"""),"UK")</f>
        <v>UK</v>
      </c>
      <c r="K1201" s="8"/>
      <c r="L1201" s="12"/>
      <c r="M1201" s="13"/>
      <c r="N1201" s="13" t="str">
        <f>IFERROR(__xludf.DUMMYFUNCTION("IF(ISBLANK(M1201),"""",M1201*GOOGLEFINANCE(""USDGBP""))"),"")</f>
        <v/>
      </c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</row>
    <row r="1202">
      <c r="A1202" s="8" t="str">
        <f>IFERROR(__xludf.DUMMYFUNCTION("""COMPUTED_VALUE"""),"105077420150100750")</f>
        <v>105077420150100750</v>
      </c>
      <c r="B1202" s="9" t="str">
        <f>IFERROR(__xludf.DUMMYFUNCTION("""COMPUTED_VALUE"""),"France")</f>
        <v>France</v>
      </c>
      <c r="C1202" s="9" t="str">
        <f>IFERROR(__xludf.DUMMYFUNCTION("""COMPUTED_VALUE"""),"burgundy")</f>
        <v>burgundy</v>
      </c>
      <c r="D1202" s="9" t="str">
        <f>IFERROR(__xludf.DUMMYFUNCTION("""COMPUTED_VALUE"""),"Perrot-Minot, Chambertin Grand Cru, Vieilles Vignes")</f>
        <v>Perrot-Minot, Chambertin Grand Cru, Vieilles Vignes</v>
      </c>
      <c r="E1202" s="9">
        <f>IFERROR(__xludf.DUMMYFUNCTION("""COMPUTED_VALUE"""),2015.0)</f>
        <v>2015</v>
      </c>
      <c r="F1202" s="9">
        <f>IFERROR(__xludf.DUMMYFUNCTION("""COMPUTED_VALUE"""),750.0)</f>
        <v>750</v>
      </c>
      <c r="G1202" s="9">
        <f>IFERROR(__xludf.DUMMYFUNCTION("""COMPUTED_VALUE"""),1.0)</f>
        <v>1</v>
      </c>
      <c r="H1202" s="10">
        <f>IFERROR(__xludf.DUMMYFUNCTION("""COMPUTED_VALUE"""),1.0)</f>
        <v>1</v>
      </c>
      <c r="I1202" s="11">
        <f>IFERROR(__xludf.DUMMYFUNCTION("""COMPUTED_VALUE"""),904.0)</f>
        <v>904</v>
      </c>
      <c r="J1202" s="9" t="str">
        <f>IFERROR(__xludf.DUMMYFUNCTION("""COMPUTED_VALUE"""),"UK")</f>
        <v>UK</v>
      </c>
      <c r="K1202" s="8"/>
      <c r="L1202" s="12"/>
      <c r="M1202" s="13"/>
      <c r="N1202" s="13" t="str">
        <f>IFERROR(__xludf.DUMMYFUNCTION("IF(ISBLANK(M1202),"""",M1202*GOOGLEFINANCE(""USDGBP""))"),"")</f>
        <v/>
      </c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</row>
    <row r="1203">
      <c r="A1203" s="8" t="str">
        <f>IFERROR(__xludf.DUMMYFUNCTION("""COMPUTED_VALUE"""),"105077420170600750")</f>
        <v>105077420170600750</v>
      </c>
      <c r="B1203" s="9" t="str">
        <f>IFERROR(__xludf.DUMMYFUNCTION("""COMPUTED_VALUE"""),"France")</f>
        <v>France</v>
      </c>
      <c r="C1203" s="9" t="str">
        <f>IFERROR(__xludf.DUMMYFUNCTION("""COMPUTED_VALUE"""),"burgundy")</f>
        <v>burgundy</v>
      </c>
      <c r="D1203" s="9" t="str">
        <f>IFERROR(__xludf.DUMMYFUNCTION("""COMPUTED_VALUE"""),"Perrot-Minot, Chambertin Grand Cru, Vieilles Vignes")</f>
        <v>Perrot-Minot, Chambertin Grand Cru, Vieilles Vignes</v>
      </c>
      <c r="E1203" s="9">
        <f>IFERROR(__xludf.DUMMYFUNCTION("""COMPUTED_VALUE"""),2017.0)</f>
        <v>2017</v>
      </c>
      <c r="F1203" s="9">
        <f>IFERROR(__xludf.DUMMYFUNCTION("""COMPUTED_VALUE"""),750.0)</f>
        <v>750</v>
      </c>
      <c r="G1203" s="9">
        <f>IFERROR(__xludf.DUMMYFUNCTION("""COMPUTED_VALUE"""),6.0)</f>
        <v>6</v>
      </c>
      <c r="H1203" s="10">
        <f>IFERROR(__xludf.DUMMYFUNCTION("""COMPUTED_VALUE"""),1.0)</f>
        <v>1</v>
      </c>
      <c r="I1203" s="11">
        <f>IFERROR(__xludf.DUMMYFUNCTION("""COMPUTED_VALUE"""),4813.0)</f>
        <v>4813</v>
      </c>
      <c r="J1203" s="9" t="str">
        <f>IFERROR(__xludf.DUMMYFUNCTION("""COMPUTED_VALUE"""),"UK")</f>
        <v>UK</v>
      </c>
      <c r="K1203" s="8"/>
      <c r="L1203" s="12"/>
      <c r="M1203" s="13"/>
      <c r="N1203" s="13" t="str">
        <f>IFERROR(__xludf.DUMMYFUNCTION("IF(ISBLANK(M1203),"""",M1203*GOOGLEFINANCE(""USDGBP""))"),"")</f>
        <v/>
      </c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</row>
    <row r="1204">
      <c r="A1204" s="8" t="str">
        <f>IFERROR(__xludf.DUMMYFUNCTION("""COMPUTED_VALUE"""),"105077420180600750")</f>
        <v>105077420180600750</v>
      </c>
      <c r="B1204" s="9" t="str">
        <f>IFERROR(__xludf.DUMMYFUNCTION("""COMPUTED_VALUE"""),"France")</f>
        <v>France</v>
      </c>
      <c r="C1204" s="9" t="str">
        <f>IFERROR(__xludf.DUMMYFUNCTION("""COMPUTED_VALUE"""),"burgundy")</f>
        <v>burgundy</v>
      </c>
      <c r="D1204" s="9" t="str">
        <f>IFERROR(__xludf.DUMMYFUNCTION("""COMPUTED_VALUE"""),"Perrot-Minot, Chambertin Grand Cru, Vieilles Vignes")</f>
        <v>Perrot-Minot, Chambertin Grand Cru, Vieilles Vignes</v>
      </c>
      <c r="E1204" s="9">
        <f>IFERROR(__xludf.DUMMYFUNCTION("""COMPUTED_VALUE"""),2018.0)</f>
        <v>2018</v>
      </c>
      <c r="F1204" s="9">
        <f>IFERROR(__xludf.DUMMYFUNCTION("""COMPUTED_VALUE"""),750.0)</f>
        <v>750</v>
      </c>
      <c r="G1204" s="9">
        <f>IFERROR(__xludf.DUMMYFUNCTION("""COMPUTED_VALUE"""),6.0)</f>
        <v>6</v>
      </c>
      <c r="H1204" s="10">
        <f>IFERROR(__xludf.DUMMYFUNCTION("""COMPUTED_VALUE"""),1.0)</f>
        <v>1</v>
      </c>
      <c r="I1204" s="11">
        <f>IFERROR(__xludf.DUMMYFUNCTION("""COMPUTED_VALUE"""),6000.0)</f>
        <v>6000</v>
      </c>
      <c r="J1204" s="9" t="str">
        <f>IFERROR(__xludf.DUMMYFUNCTION("""COMPUTED_VALUE"""),"UK")</f>
        <v>UK</v>
      </c>
      <c r="K1204" s="8"/>
      <c r="L1204" s="12"/>
      <c r="M1204" s="13"/>
      <c r="N1204" s="13" t="str">
        <f>IFERROR(__xludf.DUMMYFUNCTION("IF(ISBLANK(M1204),"""",M1204*GOOGLEFINANCE(""USDGBP""))"),"")</f>
        <v/>
      </c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</row>
    <row r="1205">
      <c r="A1205" s="8" t="str">
        <f>IFERROR(__xludf.DUMMYFUNCTION("""COMPUTED_VALUE"""),"105076120170600750")</f>
        <v>105076120170600750</v>
      </c>
      <c r="B1205" s="9" t="str">
        <f>IFERROR(__xludf.DUMMYFUNCTION("""COMPUTED_VALUE"""),"France")</f>
        <v>France</v>
      </c>
      <c r="C1205" s="9" t="str">
        <f>IFERROR(__xludf.DUMMYFUNCTION("""COMPUTED_VALUE"""),"burgundy")</f>
        <v>burgundy</v>
      </c>
      <c r="D1205" s="9" t="str">
        <f>IFERROR(__xludf.DUMMYFUNCTION("""COMPUTED_VALUE"""),"Perrot-Minot, Chambertin-Clos de Beze Grand Cru, Vieilles Vignes")</f>
        <v>Perrot-Minot, Chambertin-Clos de Beze Grand Cru, Vieilles Vignes</v>
      </c>
      <c r="E1205" s="9">
        <f>IFERROR(__xludf.DUMMYFUNCTION("""COMPUTED_VALUE"""),2017.0)</f>
        <v>2017</v>
      </c>
      <c r="F1205" s="9">
        <f>IFERROR(__xludf.DUMMYFUNCTION("""COMPUTED_VALUE"""),750.0)</f>
        <v>750</v>
      </c>
      <c r="G1205" s="9">
        <f>IFERROR(__xludf.DUMMYFUNCTION("""COMPUTED_VALUE"""),6.0)</f>
        <v>6</v>
      </c>
      <c r="H1205" s="10">
        <f>IFERROR(__xludf.DUMMYFUNCTION("""COMPUTED_VALUE"""),1.0)</f>
        <v>1</v>
      </c>
      <c r="I1205" s="11">
        <f>IFERROR(__xludf.DUMMYFUNCTION("""COMPUTED_VALUE"""),5061.0)</f>
        <v>5061</v>
      </c>
      <c r="J1205" s="9" t="str">
        <f>IFERROR(__xludf.DUMMYFUNCTION("""COMPUTED_VALUE"""),"UK")</f>
        <v>UK</v>
      </c>
      <c r="K1205" s="8"/>
      <c r="L1205" s="12"/>
      <c r="M1205" s="13"/>
      <c r="N1205" s="13" t="str">
        <f>IFERROR(__xludf.DUMMYFUNCTION("IF(ISBLANK(M1205),"""",M1205*GOOGLEFINANCE(""USDGBP""))"),"")</f>
        <v/>
      </c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</row>
    <row r="1206">
      <c r="A1206" s="8" t="str">
        <f>IFERROR(__xludf.DUMMYFUNCTION("""COMPUTED_VALUE"""),"121495420160600750")</f>
        <v>121495420160600750</v>
      </c>
      <c r="B1206" s="9" t="str">
        <f>IFERROR(__xludf.DUMMYFUNCTION("""COMPUTED_VALUE"""),"France")</f>
        <v>France</v>
      </c>
      <c r="C1206" s="9" t="str">
        <f>IFERROR(__xludf.DUMMYFUNCTION("""COMPUTED_VALUE"""),"burgundy")</f>
        <v>burgundy</v>
      </c>
      <c r="D1206" s="9" t="str">
        <f>IFERROR(__xludf.DUMMYFUNCTION("""COMPUTED_VALUE"""),"Perrot-Minot, Chambolle-Musigny, Vieilles Vignes")</f>
        <v>Perrot-Minot, Chambolle-Musigny, Vieilles Vignes</v>
      </c>
      <c r="E1206" s="9">
        <f>IFERROR(__xludf.DUMMYFUNCTION("""COMPUTED_VALUE"""),2016.0)</f>
        <v>2016</v>
      </c>
      <c r="F1206" s="9">
        <f>IFERROR(__xludf.DUMMYFUNCTION("""COMPUTED_VALUE"""),750.0)</f>
        <v>750</v>
      </c>
      <c r="G1206" s="9">
        <f>IFERROR(__xludf.DUMMYFUNCTION("""COMPUTED_VALUE"""),6.0)</f>
        <v>6</v>
      </c>
      <c r="H1206" s="10">
        <f>IFERROR(__xludf.DUMMYFUNCTION("""COMPUTED_VALUE"""),1.0)</f>
        <v>1</v>
      </c>
      <c r="I1206" s="11">
        <f>IFERROR(__xludf.DUMMYFUNCTION("""COMPUTED_VALUE"""),828.0)</f>
        <v>828</v>
      </c>
      <c r="J1206" s="9" t="str">
        <f>IFERROR(__xludf.DUMMYFUNCTION("""COMPUTED_VALUE"""),"UK")</f>
        <v>UK</v>
      </c>
      <c r="K1206" s="8"/>
      <c r="L1206" s="12"/>
      <c r="M1206" s="13"/>
      <c r="N1206" s="13" t="str">
        <f>IFERROR(__xludf.DUMMYFUNCTION("IF(ISBLANK(M1206),"""",M1206*GOOGLEFINANCE(""USDGBP""))"),"")</f>
        <v/>
      </c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</row>
    <row r="1207">
      <c r="A1207" s="8" t="str">
        <f>IFERROR(__xludf.DUMMYFUNCTION("""COMPUTED_VALUE"""),"122415120170600750")</f>
        <v>122415120170600750</v>
      </c>
      <c r="B1207" s="9" t="str">
        <f>IFERROR(__xludf.DUMMYFUNCTION("""COMPUTED_VALUE"""),"France")</f>
        <v>France</v>
      </c>
      <c r="C1207" s="9" t="str">
        <f>IFERROR(__xludf.DUMMYFUNCTION("""COMPUTED_VALUE"""),"burgundy")</f>
        <v>burgundy</v>
      </c>
      <c r="D1207" s="9" t="str">
        <f>IFERROR(__xludf.DUMMYFUNCTION("""COMPUTED_VALUE"""),"Perrot-Minot, Chapelle-Chambertin Grand Cru, Vieilles Vignes")</f>
        <v>Perrot-Minot, Chapelle-Chambertin Grand Cru, Vieilles Vignes</v>
      </c>
      <c r="E1207" s="9">
        <f>IFERROR(__xludf.DUMMYFUNCTION("""COMPUTED_VALUE"""),2017.0)</f>
        <v>2017</v>
      </c>
      <c r="F1207" s="9">
        <f>IFERROR(__xludf.DUMMYFUNCTION("""COMPUTED_VALUE"""),750.0)</f>
        <v>750</v>
      </c>
      <c r="G1207" s="9">
        <f>IFERROR(__xludf.DUMMYFUNCTION("""COMPUTED_VALUE"""),6.0)</f>
        <v>6</v>
      </c>
      <c r="H1207" s="10">
        <f>IFERROR(__xludf.DUMMYFUNCTION("""COMPUTED_VALUE"""),1.0)</f>
        <v>1</v>
      </c>
      <c r="I1207" s="11">
        <f>IFERROR(__xludf.DUMMYFUNCTION("""COMPUTED_VALUE"""),2428.0)</f>
        <v>2428</v>
      </c>
      <c r="J1207" s="9" t="str">
        <f>IFERROR(__xludf.DUMMYFUNCTION("""COMPUTED_VALUE"""),"UK")</f>
        <v>UK</v>
      </c>
      <c r="K1207" s="8"/>
      <c r="L1207" s="12"/>
      <c r="M1207" s="13"/>
      <c r="N1207" s="13" t="str">
        <f>IFERROR(__xludf.DUMMYFUNCTION("IF(ISBLANK(M1207),"""",M1207*GOOGLEFINANCE(""USDGBP""))"),"")</f>
        <v/>
      </c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</row>
    <row r="1208">
      <c r="A1208" s="8" t="str">
        <f>IFERROR(__xludf.DUMMYFUNCTION("""COMPUTED_VALUE"""),"105086220150101500")</f>
        <v>105086220150101500</v>
      </c>
      <c r="B1208" s="9" t="str">
        <f>IFERROR(__xludf.DUMMYFUNCTION("""COMPUTED_VALUE"""),"France")</f>
        <v>France</v>
      </c>
      <c r="C1208" s="9" t="str">
        <f>IFERROR(__xludf.DUMMYFUNCTION("""COMPUTED_VALUE"""),"burgundy")</f>
        <v>burgundy</v>
      </c>
      <c r="D1208" s="9" t="str">
        <f>IFERROR(__xludf.DUMMYFUNCTION("""COMPUTED_VALUE"""),"Perrot-Minot, Charmes-Chambertin Grand Cru")</f>
        <v>Perrot-Minot, Charmes-Chambertin Grand Cru</v>
      </c>
      <c r="E1208" s="9">
        <f>IFERROR(__xludf.DUMMYFUNCTION("""COMPUTED_VALUE"""),2015.0)</f>
        <v>2015</v>
      </c>
      <c r="F1208" s="9">
        <f>IFERROR(__xludf.DUMMYFUNCTION("""COMPUTED_VALUE"""),1500.0)</f>
        <v>1500</v>
      </c>
      <c r="G1208" s="9">
        <f>IFERROR(__xludf.DUMMYFUNCTION("""COMPUTED_VALUE"""),1.0)</f>
        <v>1</v>
      </c>
      <c r="H1208" s="10">
        <f>IFERROR(__xludf.DUMMYFUNCTION("""COMPUTED_VALUE"""),1.0)</f>
        <v>1</v>
      </c>
      <c r="I1208" s="11">
        <f>IFERROR(__xludf.DUMMYFUNCTION("""COMPUTED_VALUE"""),951.0)</f>
        <v>951</v>
      </c>
      <c r="J1208" s="9" t="str">
        <f>IFERROR(__xludf.DUMMYFUNCTION("""COMPUTED_VALUE"""),"UK")</f>
        <v>UK</v>
      </c>
      <c r="K1208" s="8"/>
      <c r="L1208" s="12"/>
      <c r="M1208" s="13"/>
      <c r="N1208" s="13" t="str">
        <f>IFERROR(__xludf.DUMMYFUNCTION("IF(ISBLANK(M1208),"""",M1208*GOOGLEFINANCE(""USDGBP""))"),"")</f>
        <v/>
      </c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</row>
    <row r="1209">
      <c r="A1209" s="8" t="str">
        <f>IFERROR(__xludf.DUMMYFUNCTION("""COMPUTED_VALUE"""),"105099220130600750")</f>
        <v>105099220130600750</v>
      </c>
      <c r="B1209" s="9" t="str">
        <f>IFERROR(__xludf.DUMMYFUNCTION("""COMPUTED_VALUE"""),"France")</f>
        <v>France</v>
      </c>
      <c r="C1209" s="9" t="str">
        <f>IFERROR(__xludf.DUMMYFUNCTION("""COMPUTED_VALUE"""),"burgundy")</f>
        <v>burgundy</v>
      </c>
      <c r="D1209" s="9" t="str">
        <f>IFERROR(__xludf.DUMMYFUNCTION("""COMPUTED_VALUE"""),"Perrot-Minot, Morey-Saint-Denis Premier Cru, La Riotte Vieilles Vignes")</f>
        <v>Perrot-Minot, Morey-Saint-Denis Premier Cru, La Riotte Vieilles Vignes</v>
      </c>
      <c r="E1209" s="9">
        <f>IFERROR(__xludf.DUMMYFUNCTION("""COMPUTED_VALUE"""),2013.0)</f>
        <v>2013</v>
      </c>
      <c r="F1209" s="9">
        <f>IFERROR(__xludf.DUMMYFUNCTION("""COMPUTED_VALUE"""),750.0)</f>
        <v>750</v>
      </c>
      <c r="G1209" s="9">
        <f>IFERROR(__xludf.DUMMYFUNCTION("""COMPUTED_VALUE"""),6.0)</f>
        <v>6</v>
      </c>
      <c r="H1209" s="10">
        <f>IFERROR(__xludf.DUMMYFUNCTION("""COMPUTED_VALUE"""),4.0)</f>
        <v>4</v>
      </c>
      <c r="I1209" s="11">
        <f>IFERROR(__xludf.DUMMYFUNCTION("""COMPUTED_VALUE"""),884.0)</f>
        <v>884</v>
      </c>
      <c r="J1209" s="9" t="str">
        <f>IFERROR(__xludf.DUMMYFUNCTION("""COMPUTED_VALUE"""),"UK")</f>
        <v>UK</v>
      </c>
      <c r="K1209" s="8"/>
      <c r="L1209" s="12"/>
      <c r="M1209" s="13"/>
      <c r="N1209" s="13" t="str">
        <f>IFERROR(__xludf.DUMMYFUNCTION("IF(ISBLANK(M1209),"""",M1209*GOOGLEFINANCE(""USDGBP""))"),"")</f>
        <v/>
      </c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</row>
    <row r="1210">
      <c r="A1210" s="8" t="str">
        <f>IFERROR(__xludf.DUMMYFUNCTION("""COMPUTED_VALUE"""),"105099220160600750")</f>
        <v>105099220160600750</v>
      </c>
      <c r="B1210" s="9" t="str">
        <f>IFERROR(__xludf.DUMMYFUNCTION("""COMPUTED_VALUE"""),"France")</f>
        <v>France</v>
      </c>
      <c r="C1210" s="9" t="str">
        <f>IFERROR(__xludf.DUMMYFUNCTION("""COMPUTED_VALUE"""),"burgundy")</f>
        <v>burgundy</v>
      </c>
      <c r="D1210" s="9" t="str">
        <f>IFERROR(__xludf.DUMMYFUNCTION("""COMPUTED_VALUE"""),"Perrot-Minot, Morey-Saint-Denis Premier Cru, La Riotte Vieilles Vignes")</f>
        <v>Perrot-Minot, Morey-Saint-Denis Premier Cru, La Riotte Vieilles Vignes</v>
      </c>
      <c r="E1210" s="9">
        <f>IFERROR(__xludf.DUMMYFUNCTION("""COMPUTED_VALUE"""),2016.0)</f>
        <v>2016</v>
      </c>
      <c r="F1210" s="9">
        <f>IFERROR(__xludf.DUMMYFUNCTION("""COMPUTED_VALUE"""),750.0)</f>
        <v>750</v>
      </c>
      <c r="G1210" s="9">
        <f>IFERROR(__xludf.DUMMYFUNCTION("""COMPUTED_VALUE"""),6.0)</f>
        <v>6</v>
      </c>
      <c r="H1210" s="10">
        <f>IFERROR(__xludf.DUMMYFUNCTION("""COMPUTED_VALUE"""),2.0)</f>
        <v>2</v>
      </c>
      <c r="I1210" s="11">
        <f>IFERROR(__xludf.DUMMYFUNCTION("""COMPUTED_VALUE"""),1275.0)</f>
        <v>1275</v>
      </c>
      <c r="J1210" s="9" t="str">
        <f>IFERROR(__xludf.DUMMYFUNCTION("""COMPUTED_VALUE"""),"UK")</f>
        <v>UK</v>
      </c>
      <c r="K1210" s="8"/>
      <c r="L1210" s="12"/>
      <c r="M1210" s="13"/>
      <c r="N1210" s="13" t="str">
        <f>IFERROR(__xludf.DUMMYFUNCTION("IF(ISBLANK(M1210),"""",M1210*GOOGLEFINANCE(""USDGBP""))"),"")</f>
        <v/>
      </c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</row>
    <row r="1211">
      <c r="A1211" s="8" t="str">
        <f>IFERROR(__xludf.DUMMYFUNCTION("""COMPUTED_VALUE"""),"105100320160600750")</f>
        <v>105100320160600750</v>
      </c>
      <c r="B1211" s="9" t="str">
        <f>IFERROR(__xludf.DUMMYFUNCTION("""COMPUTED_VALUE"""),"France")</f>
        <v>France</v>
      </c>
      <c r="C1211" s="9" t="str">
        <f>IFERROR(__xludf.DUMMYFUNCTION("""COMPUTED_VALUE"""),"burgundy")</f>
        <v>burgundy</v>
      </c>
      <c r="D1211" s="9" t="str">
        <f>IFERROR(__xludf.DUMMYFUNCTION("""COMPUTED_VALUE"""),"Perrot-Minot, Morey-Saint-Denis, En la Rue de Vergy Rouge")</f>
        <v>Perrot-Minot, Morey-Saint-Denis, En la Rue de Vergy Rouge</v>
      </c>
      <c r="E1211" s="9">
        <f>IFERROR(__xludf.DUMMYFUNCTION("""COMPUTED_VALUE"""),2016.0)</f>
        <v>2016</v>
      </c>
      <c r="F1211" s="9">
        <f>IFERROR(__xludf.DUMMYFUNCTION("""COMPUTED_VALUE"""),750.0)</f>
        <v>750</v>
      </c>
      <c r="G1211" s="9">
        <f>IFERROR(__xludf.DUMMYFUNCTION("""COMPUTED_VALUE"""),6.0)</f>
        <v>6</v>
      </c>
      <c r="H1211" s="10">
        <f>IFERROR(__xludf.DUMMYFUNCTION("""COMPUTED_VALUE"""),1.0)</f>
        <v>1</v>
      </c>
      <c r="I1211" s="11">
        <f>IFERROR(__xludf.DUMMYFUNCTION("""COMPUTED_VALUE"""),569.0)</f>
        <v>569</v>
      </c>
      <c r="J1211" s="9" t="str">
        <f>IFERROR(__xludf.DUMMYFUNCTION("""COMPUTED_VALUE"""),"UK")</f>
        <v>UK</v>
      </c>
      <c r="K1211" s="8"/>
      <c r="L1211" s="12"/>
      <c r="M1211" s="13"/>
      <c r="N1211" s="13" t="str">
        <f>IFERROR(__xludf.DUMMYFUNCTION("IF(ISBLANK(M1211),"""",M1211*GOOGLEFINANCE(""USDGBP""))"),"")</f>
        <v/>
      </c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</row>
    <row r="1212">
      <c r="A1212" s="8" t="str">
        <f>IFERROR(__xludf.DUMMYFUNCTION("""COMPUTED_VALUE"""),"105100320170600750")</f>
        <v>105100320170600750</v>
      </c>
      <c r="B1212" s="9" t="str">
        <f>IFERROR(__xludf.DUMMYFUNCTION("""COMPUTED_VALUE"""),"France")</f>
        <v>France</v>
      </c>
      <c r="C1212" s="9" t="str">
        <f>IFERROR(__xludf.DUMMYFUNCTION("""COMPUTED_VALUE"""),"burgundy")</f>
        <v>burgundy</v>
      </c>
      <c r="D1212" s="9" t="str">
        <f>IFERROR(__xludf.DUMMYFUNCTION("""COMPUTED_VALUE"""),"Perrot-Minot, Morey-Saint-Denis, En la Rue de Vergy Rouge")</f>
        <v>Perrot-Minot, Morey-Saint-Denis, En la Rue de Vergy Rouge</v>
      </c>
      <c r="E1212" s="9">
        <f>IFERROR(__xludf.DUMMYFUNCTION("""COMPUTED_VALUE"""),2017.0)</f>
        <v>2017</v>
      </c>
      <c r="F1212" s="9">
        <f>IFERROR(__xludf.DUMMYFUNCTION("""COMPUTED_VALUE"""),750.0)</f>
        <v>750</v>
      </c>
      <c r="G1212" s="9">
        <f>IFERROR(__xludf.DUMMYFUNCTION("""COMPUTED_VALUE"""),6.0)</f>
        <v>6</v>
      </c>
      <c r="H1212" s="10">
        <f>IFERROR(__xludf.DUMMYFUNCTION("""COMPUTED_VALUE"""),1.0)</f>
        <v>1</v>
      </c>
      <c r="I1212" s="11">
        <f>IFERROR(__xludf.DUMMYFUNCTION("""COMPUTED_VALUE"""),661.0)</f>
        <v>661</v>
      </c>
      <c r="J1212" s="9" t="str">
        <f>IFERROR(__xludf.DUMMYFUNCTION("""COMPUTED_VALUE"""),"UK")</f>
        <v>UK</v>
      </c>
      <c r="K1212" s="8"/>
      <c r="L1212" s="12"/>
      <c r="M1212" s="13"/>
      <c r="N1212" s="13" t="str">
        <f>IFERROR(__xludf.DUMMYFUNCTION("IF(ISBLANK(M1212),"""",M1212*GOOGLEFINANCE(""USDGBP""))"),"")</f>
        <v/>
      </c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</row>
    <row r="1213">
      <c r="A1213" s="8" t="str">
        <f>IFERROR(__xludf.DUMMYFUNCTION("""COMPUTED_VALUE"""),"117463220150600750")</f>
        <v>117463220150600750</v>
      </c>
      <c r="B1213" s="9" t="str">
        <f>IFERROR(__xludf.DUMMYFUNCTION("""COMPUTED_VALUE"""),"France")</f>
        <v>France</v>
      </c>
      <c r="C1213" s="9" t="str">
        <f>IFERROR(__xludf.DUMMYFUNCTION("""COMPUTED_VALUE"""),"burgundy")</f>
        <v>burgundy</v>
      </c>
      <c r="D1213" s="9" t="str">
        <f>IFERROR(__xludf.DUMMYFUNCTION("""COMPUTED_VALUE"""),"Perrot-Minot, Nuits-Saint-Georges Premier Cru, La Richemone Ultra")</f>
        <v>Perrot-Minot, Nuits-Saint-Georges Premier Cru, La Richemone Ultra</v>
      </c>
      <c r="E1213" s="9">
        <f>IFERROR(__xludf.DUMMYFUNCTION("""COMPUTED_VALUE"""),2015.0)</f>
        <v>2015</v>
      </c>
      <c r="F1213" s="9">
        <f>IFERROR(__xludf.DUMMYFUNCTION("""COMPUTED_VALUE"""),750.0)</f>
        <v>750</v>
      </c>
      <c r="G1213" s="9">
        <f>IFERROR(__xludf.DUMMYFUNCTION("""COMPUTED_VALUE"""),6.0)</f>
        <v>6</v>
      </c>
      <c r="H1213" s="10">
        <f>IFERROR(__xludf.DUMMYFUNCTION("""COMPUTED_VALUE"""),1.0)</f>
        <v>1</v>
      </c>
      <c r="I1213" s="11">
        <f>IFERROR(__xludf.DUMMYFUNCTION("""COMPUTED_VALUE"""),2111.0)</f>
        <v>2111</v>
      </c>
      <c r="J1213" s="9" t="str">
        <f>IFERROR(__xludf.DUMMYFUNCTION("""COMPUTED_VALUE"""),"UK")</f>
        <v>UK</v>
      </c>
      <c r="K1213" s="8"/>
      <c r="L1213" s="12"/>
      <c r="M1213" s="13"/>
      <c r="N1213" s="13" t="str">
        <f>IFERROR(__xludf.DUMMYFUNCTION("IF(ISBLANK(M1213),"""",M1213*GOOGLEFINANCE(""USDGBP""))"),"")</f>
        <v/>
      </c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</row>
    <row r="1214">
      <c r="A1214" s="8" t="str">
        <f>IFERROR(__xludf.DUMMYFUNCTION("""COMPUTED_VALUE"""),"117463220190600750")</f>
        <v>117463220190600750</v>
      </c>
      <c r="B1214" s="9" t="str">
        <f>IFERROR(__xludf.DUMMYFUNCTION("""COMPUTED_VALUE"""),"France")</f>
        <v>France</v>
      </c>
      <c r="C1214" s="9" t="str">
        <f>IFERROR(__xludf.DUMMYFUNCTION("""COMPUTED_VALUE"""),"burgundy")</f>
        <v>burgundy</v>
      </c>
      <c r="D1214" s="9" t="str">
        <f>IFERROR(__xludf.DUMMYFUNCTION("""COMPUTED_VALUE"""),"Perrot-Minot, Nuits-Saint-Georges Premier Cru, La Richemone Ultra")</f>
        <v>Perrot-Minot, Nuits-Saint-Georges Premier Cru, La Richemone Ultra</v>
      </c>
      <c r="E1214" s="9">
        <f>IFERROR(__xludf.DUMMYFUNCTION("""COMPUTED_VALUE"""),2019.0)</f>
        <v>2019</v>
      </c>
      <c r="F1214" s="9">
        <f>IFERROR(__xludf.DUMMYFUNCTION("""COMPUTED_VALUE"""),750.0)</f>
        <v>750</v>
      </c>
      <c r="G1214" s="9">
        <f>IFERROR(__xludf.DUMMYFUNCTION("""COMPUTED_VALUE"""),6.0)</f>
        <v>6</v>
      </c>
      <c r="H1214" s="10">
        <f>IFERROR(__xludf.DUMMYFUNCTION("""COMPUTED_VALUE"""),1.0)</f>
        <v>1</v>
      </c>
      <c r="I1214" s="11">
        <f>IFERROR(__xludf.DUMMYFUNCTION("""COMPUTED_VALUE"""),3002.0)</f>
        <v>3002</v>
      </c>
      <c r="J1214" s="9" t="str">
        <f>IFERROR(__xludf.DUMMYFUNCTION("""COMPUTED_VALUE"""),"UK")</f>
        <v>UK</v>
      </c>
      <c r="K1214" s="8"/>
      <c r="L1214" s="12"/>
      <c r="M1214" s="13"/>
      <c r="N1214" s="13" t="str">
        <f>IFERROR(__xludf.DUMMYFUNCTION("IF(ISBLANK(M1214),"""",M1214*GOOGLEFINANCE(""USDGBP""))"),"")</f>
        <v/>
      </c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</row>
    <row r="1215">
      <c r="A1215" s="8" t="str">
        <f>IFERROR(__xludf.DUMMYFUNCTION("""COMPUTED_VALUE"""),"150929820130600750")</f>
        <v>150929820130600750</v>
      </c>
      <c r="B1215" s="9" t="str">
        <f>IFERROR(__xludf.DUMMYFUNCTION("""COMPUTED_VALUE"""),"France")</f>
        <v>France</v>
      </c>
      <c r="C1215" s="9" t="str">
        <f>IFERROR(__xludf.DUMMYFUNCTION("""COMPUTED_VALUE"""),"burgundy")</f>
        <v>burgundy</v>
      </c>
      <c r="D1215" s="9" t="str">
        <f>IFERROR(__xludf.DUMMYFUNCTION("""COMPUTED_VALUE"""),"Perrot-Minot, Nuits-Saint-Georges Premier Cru, La Richemone Vieilles Vignes")</f>
        <v>Perrot-Minot, Nuits-Saint-Georges Premier Cru, La Richemone Vieilles Vignes</v>
      </c>
      <c r="E1215" s="9">
        <f>IFERROR(__xludf.DUMMYFUNCTION("""COMPUTED_VALUE"""),2013.0)</f>
        <v>2013</v>
      </c>
      <c r="F1215" s="9">
        <f>IFERROR(__xludf.DUMMYFUNCTION("""COMPUTED_VALUE"""),750.0)</f>
        <v>750</v>
      </c>
      <c r="G1215" s="9">
        <f>IFERROR(__xludf.DUMMYFUNCTION("""COMPUTED_VALUE"""),6.0)</f>
        <v>6</v>
      </c>
      <c r="H1215" s="10">
        <f>IFERROR(__xludf.DUMMYFUNCTION("""COMPUTED_VALUE"""),14.0)</f>
        <v>14</v>
      </c>
      <c r="I1215" s="11">
        <f>IFERROR(__xludf.DUMMYFUNCTION("""COMPUTED_VALUE"""),872.0)</f>
        <v>872</v>
      </c>
      <c r="J1215" s="9" t="str">
        <f>IFERROR(__xludf.DUMMYFUNCTION("""COMPUTED_VALUE"""),"UK")</f>
        <v>UK</v>
      </c>
      <c r="K1215" s="8"/>
      <c r="L1215" s="12"/>
      <c r="M1215" s="13"/>
      <c r="N1215" s="13" t="str">
        <f>IFERROR(__xludf.DUMMYFUNCTION("IF(ISBLANK(M1215),"""",M1215*GOOGLEFINANCE(""USDGBP""))"),"")</f>
        <v/>
      </c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</row>
    <row r="1216">
      <c r="A1216" s="8" t="str">
        <f>IFERROR(__xludf.DUMMYFUNCTION("""COMPUTED_VALUE"""),"153425620160600750")</f>
        <v>153425620160600750</v>
      </c>
      <c r="B1216" s="9" t="str">
        <f>IFERROR(__xludf.DUMMYFUNCTION("""COMPUTED_VALUE"""),"France")</f>
        <v>France</v>
      </c>
      <c r="C1216" s="9" t="str">
        <f>IFERROR(__xludf.DUMMYFUNCTION("""COMPUTED_VALUE"""),"burgundy")</f>
        <v>burgundy</v>
      </c>
      <c r="D1216" s="9" t="str">
        <f>IFERROR(__xludf.DUMMYFUNCTION("""COMPUTED_VALUE"""),"Perrot-Minot, Nuits-Saint-Georges, Aux Murgers Cras")</f>
        <v>Perrot-Minot, Nuits-Saint-Georges, Aux Murgers Cras</v>
      </c>
      <c r="E1216" s="9">
        <f>IFERROR(__xludf.DUMMYFUNCTION("""COMPUTED_VALUE"""),2016.0)</f>
        <v>2016</v>
      </c>
      <c r="F1216" s="9">
        <f>IFERROR(__xludf.DUMMYFUNCTION("""COMPUTED_VALUE"""),750.0)</f>
        <v>750</v>
      </c>
      <c r="G1216" s="9">
        <f>IFERROR(__xludf.DUMMYFUNCTION("""COMPUTED_VALUE"""),6.0)</f>
        <v>6</v>
      </c>
      <c r="H1216" s="10">
        <f>IFERROR(__xludf.DUMMYFUNCTION("""COMPUTED_VALUE"""),3.0)</f>
        <v>3</v>
      </c>
      <c r="I1216" s="11">
        <f>IFERROR(__xludf.DUMMYFUNCTION("""COMPUTED_VALUE"""),862.0)</f>
        <v>862</v>
      </c>
      <c r="J1216" s="9" t="str">
        <f>IFERROR(__xludf.DUMMYFUNCTION("""COMPUTED_VALUE"""),"UK")</f>
        <v>UK</v>
      </c>
      <c r="K1216" s="8"/>
      <c r="L1216" s="12"/>
      <c r="M1216" s="13"/>
      <c r="N1216" s="13" t="str">
        <f>IFERROR(__xludf.DUMMYFUNCTION("IF(ISBLANK(M1216),"""",M1216*GOOGLEFINANCE(""USDGBP""))"),"")</f>
        <v/>
      </c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</row>
    <row r="1217">
      <c r="A1217" s="8" t="str">
        <f>IFERROR(__xludf.DUMMYFUNCTION("""COMPUTED_VALUE"""),"153425620170600750")</f>
        <v>153425620170600750</v>
      </c>
      <c r="B1217" s="9" t="str">
        <f>IFERROR(__xludf.DUMMYFUNCTION("""COMPUTED_VALUE"""),"France")</f>
        <v>France</v>
      </c>
      <c r="C1217" s="9" t="str">
        <f>IFERROR(__xludf.DUMMYFUNCTION("""COMPUTED_VALUE"""),"burgundy")</f>
        <v>burgundy</v>
      </c>
      <c r="D1217" s="9" t="str">
        <f>IFERROR(__xludf.DUMMYFUNCTION("""COMPUTED_VALUE"""),"Perrot-Minot, Nuits-Saint-Georges, Aux Murgers Cras")</f>
        <v>Perrot-Minot, Nuits-Saint-Georges, Aux Murgers Cras</v>
      </c>
      <c r="E1217" s="9">
        <f>IFERROR(__xludf.DUMMYFUNCTION("""COMPUTED_VALUE"""),2017.0)</f>
        <v>2017</v>
      </c>
      <c r="F1217" s="9">
        <f>IFERROR(__xludf.DUMMYFUNCTION("""COMPUTED_VALUE"""),750.0)</f>
        <v>750</v>
      </c>
      <c r="G1217" s="9">
        <f>IFERROR(__xludf.DUMMYFUNCTION("""COMPUTED_VALUE"""),6.0)</f>
        <v>6</v>
      </c>
      <c r="H1217" s="10">
        <f>IFERROR(__xludf.DUMMYFUNCTION("""COMPUTED_VALUE"""),1.0)</f>
        <v>1</v>
      </c>
      <c r="I1217" s="11">
        <f>IFERROR(__xludf.DUMMYFUNCTION("""COMPUTED_VALUE"""),810.0)</f>
        <v>810</v>
      </c>
      <c r="J1217" s="9" t="str">
        <f>IFERROR(__xludf.DUMMYFUNCTION("""COMPUTED_VALUE"""),"UK")</f>
        <v>UK</v>
      </c>
      <c r="K1217" s="8"/>
      <c r="L1217" s="12"/>
      <c r="M1217" s="13"/>
      <c r="N1217" s="13" t="str">
        <f>IFERROR(__xludf.DUMMYFUNCTION("IF(ISBLANK(M1217),"""",M1217*GOOGLEFINANCE(""USDGBP""))"),"")</f>
        <v/>
      </c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</row>
    <row r="1218">
      <c r="A1218" s="8" t="str">
        <f>IFERROR(__xludf.DUMMYFUNCTION("""COMPUTED_VALUE"""),"150300720130600750")</f>
        <v>150300720130600750</v>
      </c>
      <c r="B1218" s="9" t="str">
        <f>IFERROR(__xludf.DUMMYFUNCTION("""COMPUTED_VALUE"""),"France")</f>
        <v>France</v>
      </c>
      <c r="C1218" s="9" t="str">
        <f>IFERROR(__xludf.DUMMYFUNCTION("""COMPUTED_VALUE"""),"burgundy")</f>
        <v>burgundy</v>
      </c>
      <c r="D1218" s="9" t="str">
        <f>IFERROR(__xludf.DUMMYFUNCTION("""COMPUTED_VALUE"""),"Perrot-Minot, Vosne-Romanee Premier Cru, Les Beaux Monts Vieilles Vignes")</f>
        <v>Perrot-Minot, Vosne-Romanee Premier Cru, Les Beaux Monts Vieilles Vignes</v>
      </c>
      <c r="E1218" s="9">
        <f>IFERROR(__xludf.DUMMYFUNCTION("""COMPUTED_VALUE"""),2013.0)</f>
        <v>2013</v>
      </c>
      <c r="F1218" s="9">
        <f>IFERROR(__xludf.DUMMYFUNCTION("""COMPUTED_VALUE"""),750.0)</f>
        <v>750</v>
      </c>
      <c r="G1218" s="9">
        <f>IFERROR(__xludf.DUMMYFUNCTION("""COMPUTED_VALUE"""),6.0)</f>
        <v>6</v>
      </c>
      <c r="H1218" s="10">
        <f>IFERROR(__xludf.DUMMYFUNCTION("""COMPUTED_VALUE"""),10.0)</f>
        <v>10</v>
      </c>
      <c r="I1218" s="11">
        <f>IFERROR(__xludf.DUMMYFUNCTION("""COMPUTED_VALUE"""),1343.0)</f>
        <v>1343</v>
      </c>
      <c r="J1218" s="9" t="str">
        <f>IFERROR(__xludf.DUMMYFUNCTION("""COMPUTED_VALUE"""),"UK")</f>
        <v>UK</v>
      </c>
      <c r="K1218" s="8"/>
      <c r="L1218" s="12"/>
      <c r="M1218" s="13"/>
      <c r="N1218" s="13" t="str">
        <f>IFERROR(__xludf.DUMMYFUNCTION("IF(ISBLANK(M1218),"""",M1218*GOOGLEFINANCE(""USDGBP""))"),"")</f>
        <v/>
      </c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</row>
    <row r="1219">
      <c r="A1219" s="8" t="str">
        <f>IFERROR(__xludf.DUMMYFUNCTION("""COMPUTED_VALUE"""),"165882420130600750")</f>
        <v>165882420130600750</v>
      </c>
      <c r="B1219" s="9" t="str">
        <f>IFERROR(__xludf.DUMMYFUNCTION("""COMPUTED_VALUE"""),"France")</f>
        <v>France</v>
      </c>
      <c r="C1219" s="9" t="str">
        <f>IFERROR(__xludf.DUMMYFUNCTION("""COMPUTED_VALUE"""),"burgundy")</f>
        <v>burgundy</v>
      </c>
      <c r="D1219" s="9" t="str">
        <f>IFERROR(__xludf.DUMMYFUNCTION("""COMPUTED_VALUE"""),"Perrot-Minot, Vosne-Romanee, Aux Champs Perdrix Vieilles Vignes")</f>
        <v>Perrot-Minot, Vosne-Romanee, Aux Champs Perdrix Vieilles Vignes</v>
      </c>
      <c r="E1219" s="9">
        <f>IFERROR(__xludf.DUMMYFUNCTION("""COMPUTED_VALUE"""),2013.0)</f>
        <v>2013</v>
      </c>
      <c r="F1219" s="9">
        <f>IFERROR(__xludf.DUMMYFUNCTION("""COMPUTED_VALUE"""),750.0)</f>
        <v>750</v>
      </c>
      <c r="G1219" s="9">
        <f>IFERROR(__xludf.DUMMYFUNCTION("""COMPUTED_VALUE"""),6.0)</f>
        <v>6</v>
      </c>
      <c r="H1219" s="10">
        <f>IFERROR(__xludf.DUMMYFUNCTION("""COMPUTED_VALUE"""),2.0)</f>
        <v>2</v>
      </c>
      <c r="I1219" s="11">
        <f>IFERROR(__xludf.DUMMYFUNCTION("""COMPUTED_VALUE"""),740.0)</f>
        <v>740</v>
      </c>
      <c r="J1219" s="9" t="str">
        <f>IFERROR(__xludf.DUMMYFUNCTION("""COMPUTED_VALUE"""),"UK")</f>
        <v>UK</v>
      </c>
      <c r="K1219" s="8"/>
      <c r="L1219" s="12"/>
      <c r="M1219" s="13"/>
      <c r="N1219" s="13" t="str">
        <f>IFERROR(__xludf.DUMMYFUNCTION("IF(ISBLANK(M1219),"""",M1219*GOOGLEFINANCE(""USDGBP""))"),"")</f>
        <v/>
      </c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</row>
    <row r="1220">
      <c r="A1220" s="8" t="str">
        <f>IFERROR(__xludf.DUMMYFUNCTION("""COMPUTED_VALUE"""),"131199820161200750")</f>
        <v>131199820161200750</v>
      </c>
      <c r="B1220" s="9" t="str">
        <f>IFERROR(__xludf.DUMMYFUNCTION("""COMPUTED_VALUE"""),"France")</f>
        <v>France</v>
      </c>
      <c r="C1220" s="9" t="str">
        <f>IFERROR(__xludf.DUMMYFUNCTION("""COMPUTED_VALUE"""),"burgundy")</f>
        <v>burgundy</v>
      </c>
      <c r="D1220" s="9" t="str">
        <f>IFERROR(__xludf.DUMMYFUNCTION("""COMPUTED_VALUE"""),"Philippe Livera (Tilleuls), Gevrey-Chambertin, Les Evocelles")</f>
        <v>Philippe Livera (Tilleuls), Gevrey-Chambertin, Les Evocelles</v>
      </c>
      <c r="E1220" s="9">
        <f>IFERROR(__xludf.DUMMYFUNCTION("""COMPUTED_VALUE"""),2016.0)</f>
        <v>2016</v>
      </c>
      <c r="F1220" s="9">
        <f>IFERROR(__xludf.DUMMYFUNCTION("""COMPUTED_VALUE"""),750.0)</f>
        <v>750</v>
      </c>
      <c r="G1220" s="9">
        <f>IFERROR(__xludf.DUMMYFUNCTION("""COMPUTED_VALUE"""),12.0)</f>
        <v>12</v>
      </c>
      <c r="H1220" s="10">
        <f>IFERROR(__xludf.DUMMYFUNCTION("""COMPUTED_VALUE"""),1.0)</f>
        <v>1</v>
      </c>
      <c r="I1220" s="11">
        <f>IFERROR(__xludf.DUMMYFUNCTION("""COMPUTED_VALUE"""),739.0)</f>
        <v>739</v>
      </c>
      <c r="J1220" s="9" t="str">
        <f>IFERROR(__xludf.DUMMYFUNCTION("""COMPUTED_VALUE"""),"UK")</f>
        <v>UK</v>
      </c>
      <c r="K1220" s="8"/>
      <c r="L1220" s="12"/>
      <c r="M1220" s="13"/>
      <c r="N1220" s="13" t="str">
        <f>IFERROR(__xludf.DUMMYFUNCTION("IF(ISBLANK(M1220),"""",M1220*GOOGLEFINANCE(""USDGBP""))"),"")</f>
        <v/>
      </c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</row>
    <row r="1221">
      <c r="A1221" s="8" t="str">
        <f>IFERROR(__xludf.DUMMYFUNCTION("""COMPUTED_VALUE"""),"177595620180600750")</f>
        <v>177595620180600750</v>
      </c>
      <c r="B1221" s="9" t="str">
        <f>IFERROR(__xludf.DUMMYFUNCTION("""COMPUTED_VALUE"""),"France")</f>
        <v>France</v>
      </c>
      <c r="C1221" s="9" t="str">
        <f>IFERROR(__xludf.DUMMYFUNCTION("""COMPUTED_VALUE"""),"burgundy")</f>
        <v>burgundy</v>
      </c>
      <c r="D1221" s="9" t="str">
        <f>IFERROR(__xludf.DUMMYFUNCTION("""COMPUTED_VALUE"""),"Pierre-Yves Colin-Morey, Nuits-Saint-Georges")</f>
        <v>Pierre-Yves Colin-Morey, Nuits-Saint-Georges</v>
      </c>
      <c r="E1221" s="9">
        <f>IFERROR(__xludf.DUMMYFUNCTION("""COMPUTED_VALUE"""),2018.0)</f>
        <v>2018</v>
      </c>
      <c r="F1221" s="9">
        <f>IFERROR(__xludf.DUMMYFUNCTION("""COMPUTED_VALUE"""),750.0)</f>
        <v>750</v>
      </c>
      <c r="G1221" s="9">
        <f>IFERROR(__xludf.DUMMYFUNCTION("""COMPUTED_VALUE"""),6.0)</f>
        <v>6</v>
      </c>
      <c r="H1221" s="10">
        <f>IFERROR(__xludf.DUMMYFUNCTION("""COMPUTED_VALUE"""),1.0)</f>
        <v>1</v>
      </c>
      <c r="I1221" s="11">
        <f>IFERROR(__xludf.DUMMYFUNCTION("""COMPUTED_VALUE"""),427.0)</f>
        <v>427</v>
      </c>
      <c r="J1221" s="9" t="str">
        <f>IFERROR(__xludf.DUMMYFUNCTION("""COMPUTED_VALUE"""),"UK")</f>
        <v>UK</v>
      </c>
      <c r="K1221" s="8"/>
      <c r="L1221" s="12"/>
      <c r="M1221" s="13"/>
      <c r="N1221" s="13" t="str">
        <f>IFERROR(__xludf.DUMMYFUNCTION("IF(ISBLANK(M1221),"""",M1221*GOOGLEFINANCE(""USDGBP""))"),"")</f>
        <v/>
      </c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</row>
    <row r="1222">
      <c r="A1222" s="8" t="str">
        <f>IFERROR(__xludf.DUMMYFUNCTION("""COMPUTED_VALUE"""),"179538920180600750")</f>
        <v>179538920180600750</v>
      </c>
      <c r="B1222" s="9" t="str">
        <f>IFERROR(__xludf.DUMMYFUNCTION("""COMPUTED_VALUE"""),"France")</f>
        <v>France</v>
      </c>
      <c r="C1222" s="9" t="str">
        <f>IFERROR(__xludf.DUMMYFUNCTION("""COMPUTED_VALUE"""),"burgundy")</f>
        <v>burgundy</v>
      </c>
      <c r="D1222" s="9" t="str">
        <f>IFERROR(__xludf.DUMMYFUNCTION("""COMPUTED_VALUE"""),"Pierre-Yves Colin-Morey, Santenay Premier Cru, Les Gravieres")</f>
        <v>Pierre-Yves Colin-Morey, Santenay Premier Cru, Les Gravieres</v>
      </c>
      <c r="E1222" s="9">
        <f>IFERROR(__xludf.DUMMYFUNCTION("""COMPUTED_VALUE"""),2018.0)</f>
        <v>2018</v>
      </c>
      <c r="F1222" s="9">
        <f>IFERROR(__xludf.DUMMYFUNCTION("""COMPUTED_VALUE"""),750.0)</f>
        <v>750</v>
      </c>
      <c r="G1222" s="9">
        <f>IFERROR(__xludf.DUMMYFUNCTION("""COMPUTED_VALUE"""),6.0)</f>
        <v>6</v>
      </c>
      <c r="H1222" s="10">
        <f>IFERROR(__xludf.DUMMYFUNCTION("""COMPUTED_VALUE"""),1.0)</f>
        <v>1</v>
      </c>
      <c r="I1222" s="11">
        <f>IFERROR(__xludf.DUMMYFUNCTION("""COMPUTED_VALUE"""),378.0)</f>
        <v>378</v>
      </c>
      <c r="J1222" s="9" t="str">
        <f>IFERROR(__xludf.DUMMYFUNCTION("""COMPUTED_VALUE"""),"UK")</f>
        <v>UK</v>
      </c>
      <c r="K1222" s="8"/>
      <c r="L1222" s="12"/>
      <c r="M1222" s="13"/>
      <c r="N1222" s="13" t="str">
        <f>IFERROR(__xludf.DUMMYFUNCTION("IF(ISBLANK(M1222),"""",M1222*GOOGLEFINANCE(""USDGBP""))"),"")</f>
        <v/>
      </c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</row>
    <row r="1223">
      <c r="A1223" s="8" t="str">
        <f>IFERROR(__xludf.DUMMYFUNCTION("""COMPUTED_VALUE"""),"160526420190600750")</f>
        <v>160526420190600750</v>
      </c>
      <c r="B1223" s="9" t="str">
        <f>IFERROR(__xludf.DUMMYFUNCTION("""COMPUTED_VALUE"""),"France")</f>
        <v>France</v>
      </c>
      <c r="C1223" s="9" t="str">
        <f>IFERROR(__xludf.DUMMYFUNCTION("""COMPUTED_VALUE"""),"burgundy")</f>
        <v>burgundy</v>
      </c>
      <c r="D1223" s="9" t="str">
        <f>IFERROR(__xludf.DUMMYFUNCTION("""COMPUTED_VALUE"""),"Pierre-Yves Colin-Morey, Volnay Premier Cru, Taille Pieds")</f>
        <v>Pierre-Yves Colin-Morey, Volnay Premier Cru, Taille Pieds</v>
      </c>
      <c r="E1223" s="9">
        <f>IFERROR(__xludf.DUMMYFUNCTION("""COMPUTED_VALUE"""),2019.0)</f>
        <v>2019</v>
      </c>
      <c r="F1223" s="9">
        <f>IFERROR(__xludf.DUMMYFUNCTION("""COMPUTED_VALUE"""),750.0)</f>
        <v>750</v>
      </c>
      <c r="G1223" s="9">
        <f>IFERROR(__xludf.DUMMYFUNCTION("""COMPUTED_VALUE"""),6.0)</f>
        <v>6</v>
      </c>
      <c r="H1223" s="10">
        <f>IFERROR(__xludf.DUMMYFUNCTION("""COMPUTED_VALUE"""),1.0)</f>
        <v>1</v>
      </c>
      <c r="I1223" s="11">
        <f>IFERROR(__xludf.DUMMYFUNCTION("""COMPUTED_VALUE"""),583.0)</f>
        <v>583</v>
      </c>
      <c r="J1223" s="9" t="str">
        <f>IFERROR(__xludf.DUMMYFUNCTION("""COMPUTED_VALUE"""),"UK")</f>
        <v>UK</v>
      </c>
      <c r="K1223" s="8"/>
      <c r="L1223" s="12"/>
      <c r="M1223" s="13"/>
      <c r="N1223" s="13" t="str">
        <f>IFERROR(__xludf.DUMMYFUNCTION("IF(ISBLANK(M1223),"""",M1223*GOOGLEFINANCE(""USDGBP""))"),"")</f>
        <v/>
      </c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</row>
    <row r="1224">
      <c r="A1224" s="8" t="str">
        <f>IFERROR(__xludf.DUMMYFUNCTION("""COMPUTED_VALUE"""),"175350320180600750")</f>
        <v>175350320180600750</v>
      </c>
      <c r="B1224" s="9" t="str">
        <f>IFERROR(__xludf.DUMMYFUNCTION("""COMPUTED_VALUE"""),"France")</f>
        <v>France</v>
      </c>
      <c r="C1224" s="9" t="str">
        <f>IFERROR(__xludf.DUMMYFUNCTION("""COMPUTED_VALUE"""),"burgundy")</f>
        <v>burgundy</v>
      </c>
      <c r="D1224" s="9" t="str">
        <f>IFERROR(__xludf.DUMMYFUNCTION("""COMPUTED_VALUE"""),"Pierre-Yves Colin-Morey, Vosne-Romanee")</f>
        <v>Pierre-Yves Colin-Morey, Vosne-Romanee</v>
      </c>
      <c r="E1224" s="9">
        <f>IFERROR(__xludf.DUMMYFUNCTION("""COMPUTED_VALUE"""),2018.0)</f>
        <v>2018</v>
      </c>
      <c r="F1224" s="9">
        <f>IFERROR(__xludf.DUMMYFUNCTION("""COMPUTED_VALUE"""),750.0)</f>
        <v>750</v>
      </c>
      <c r="G1224" s="9">
        <f>IFERROR(__xludf.DUMMYFUNCTION("""COMPUTED_VALUE"""),6.0)</f>
        <v>6</v>
      </c>
      <c r="H1224" s="10">
        <f>IFERROR(__xludf.DUMMYFUNCTION("""COMPUTED_VALUE"""),3.0)</f>
        <v>3</v>
      </c>
      <c r="I1224" s="11">
        <f>IFERROR(__xludf.DUMMYFUNCTION("""COMPUTED_VALUE"""),649.0)</f>
        <v>649</v>
      </c>
      <c r="J1224" s="9" t="str">
        <f>IFERROR(__xludf.DUMMYFUNCTION("""COMPUTED_VALUE"""),"UK")</f>
        <v>UK</v>
      </c>
      <c r="K1224" s="8"/>
      <c r="L1224" s="12"/>
      <c r="M1224" s="13"/>
      <c r="N1224" s="13" t="str">
        <f>IFERROR(__xludf.DUMMYFUNCTION("IF(ISBLANK(M1224),"""",M1224*GOOGLEFINANCE(""USDGBP""))"),"")</f>
        <v/>
      </c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</row>
    <row r="1225">
      <c r="A1225" s="8" t="str">
        <f>IFERROR(__xludf.DUMMYFUNCTION("""COMPUTED_VALUE"""),"105348520130600750")</f>
        <v>105348520130600750</v>
      </c>
      <c r="B1225" s="9" t="str">
        <f>IFERROR(__xludf.DUMMYFUNCTION("""COMPUTED_VALUE"""),"France")</f>
        <v>France</v>
      </c>
      <c r="C1225" s="9" t="str">
        <f>IFERROR(__xludf.DUMMYFUNCTION("""COMPUTED_VALUE"""),"burgundy")</f>
        <v>burgundy</v>
      </c>
      <c r="D1225" s="9" t="str">
        <f>IFERROR(__xludf.DUMMYFUNCTION("""COMPUTED_VALUE"""),"Prieure Roch, Vosne-Romanee Premier Cru, Les Suchots")</f>
        <v>Prieure Roch, Vosne-Romanee Premier Cru, Les Suchots</v>
      </c>
      <c r="E1225" s="9">
        <f>IFERROR(__xludf.DUMMYFUNCTION("""COMPUTED_VALUE"""),2013.0)</f>
        <v>2013</v>
      </c>
      <c r="F1225" s="9">
        <f>IFERROR(__xludf.DUMMYFUNCTION("""COMPUTED_VALUE"""),750.0)</f>
        <v>750</v>
      </c>
      <c r="G1225" s="9">
        <f>IFERROR(__xludf.DUMMYFUNCTION("""COMPUTED_VALUE"""),6.0)</f>
        <v>6</v>
      </c>
      <c r="H1225" s="10">
        <f>IFERROR(__xludf.DUMMYFUNCTION("""COMPUTED_VALUE"""),1.0)</f>
        <v>1</v>
      </c>
      <c r="I1225" s="11">
        <f>IFERROR(__xludf.DUMMYFUNCTION("""COMPUTED_VALUE"""),4412.0)</f>
        <v>4412</v>
      </c>
      <c r="J1225" s="9" t="str">
        <f>IFERROR(__xludf.DUMMYFUNCTION("""COMPUTED_VALUE"""),"UK")</f>
        <v>UK</v>
      </c>
      <c r="K1225" s="8"/>
      <c r="L1225" s="12"/>
      <c r="M1225" s="13"/>
      <c r="N1225" s="13" t="str">
        <f>IFERROR(__xludf.DUMMYFUNCTION("IF(ISBLANK(M1225),"""",M1225*GOOGLEFINANCE(""USDGBP""))"),"")</f>
        <v/>
      </c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</row>
    <row r="1226">
      <c r="A1226" s="8" t="str">
        <f>IFERROR(__xludf.DUMMYFUNCTION("""COMPUTED_VALUE"""),"103586720181200750")</f>
        <v>103586720181200750</v>
      </c>
      <c r="B1226" s="9" t="str">
        <f>IFERROR(__xludf.DUMMYFUNCTION("""COMPUTED_VALUE"""),"France")</f>
        <v>France</v>
      </c>
      <c r="C1226" s="9" t="str">
        <f>IFERROR(__xludf.DUMMYFUNCTION("""COMPUTED_VALUE"""),"burgundy")</f>
        <v>burgundy</v>
      </c>
      <c r="D1226" s="9" t="str">
        <f>IFERROR(__xludf.DUMMYFUNCTION("""COMPUTED_VALUE"""),"Robert Groffier, Bonnes Mares Grand Cru")</f>
        <v>Robert Groffier, Bonnes Mares Grand Cru</v>
      </c>
      <c r="E1226" s="9">
        <f>IFERROR(__xludf.DUMMYFUNCTION("""COMPUTED_VALUE"""),2018.0)</f>
        <v>2018</v>
      </c>
      <c r="F1226" s="9">
        <f>IFERROR(__xludf.DUMMYFUNCTION("""COMPUTED_VALUE"""),750.0)</f>
        <v>750</v>
      </c>
      <c r="G1226" s="9">
        <f>IFERROR(__xludf.DUMMYFUNCTION("""COMPUTED_VALUE"""),12.0)</f>
        <v>12</v>
      </c>
      <c r="H1226" s="10">
        <f>IFERROR(__xludf.DUMMYFUNCTION("""COMPUTED_VALUE"""),1.0)</f>
        <v>1</v>
      </c>
      <c r="I1226" s="11">
        <f>IFERROR(__xludf.DUMMYFUNCTION("""COMPUTED_VALUE"""),5302.0)</f>
        <v>5302</v>
      </c>
      <c r="J1226" s="9" t="str">
        <f>IFERROR(__xludf.DUMMYFUNCTION("""COMPUTED_VALUE"""),"UK")</f>
        <v>UK</v>
      </c>
      <c r="K1226" s="8"/>
      <c r="L1226" s="12"/>
      <c r="M1226" s="13"/>
      <c r="N1226" s="13" t="str">
        <f>IFERROR(__xludf.DUMMYFUNCTION("IF(ISBLANK(M1226),"""",M1226*GOOGLEFINANCE(""USDGBP""))"),"")</f>
        <v/>
      </c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</row>
    <row r="1227">
      <c r="A1227" s="8" t="str">
        <f>IFERROR(__xludf.DUMMYFUNCTION("""COMPUTED_VALUE"""),"103594220160600750")</f>
        <v>103594220160600750</v>
      </c>
      <c r="B1227" s="9" t="str">
        <f>IFERROR(__xludf.DUMMYFUNCTION("""COMPUTED_VALUE"""),"France")</f>
        <v>France</v>
      </c>
      <c r="C1227" s="9" t="str">
        <f>IFERROR(__xludf.DUMMYFUNCTION("""COMPUTED_VALUE"""),"burgundy")</f>
        <v>burgundy</v>
      </c>
      <c r="D1227" s="9" t="str">
        <f>IFERROR(__xludf.DUMMYFUNCTION("""COMPUTED_VALUE"""),"Robert Groffier, Chambolle-Musigny Premier Cru, Les Hauts Doix")</f>
        <v>Robert Groffier, Chambolle-Musigny Premier Cru, Les Hauts Doix</v>
      </c>
      <c r="E1227" s="9">
        <f>IFERROR(__xludf.DUMMYFUNCTION("""COMPUTED_VALUE"""),2016.0)</f>
        <v>2016</v>
      </c>
      <c r="F1227" s="9">
        <f>IFERROR(__xludf.DUMMYFUNCTION("""COMPUTED_VALUE"""),750.0)</f>
        <v>750</v>
      </c>
      <c r="G1227" s="9">
        <f>IFERROR(__xludf.DUMMYFUNCTION("""COMPUTED_VALUE"""),6.0)</f>
        <v>6</v>
      </c>
      <c r="H1227" s="10">
        <f>IFERROR(__xludf.DUMMYFUNCTION("""COMPUTED_VALUE"""),1.0)</f>
        <v>1</v>
      </c>
      <c r="I1227" s="11">
        <f>IFERROR(__xludf.DUMMYFUNCTION("""COMPUTED_VALUE"""),1203.0)</f>
        <v>1203</v>
      </c>
      <c r="J1227" s="9" t="str">
        <f>IFERROR(__xludf.DUMMYFUNCTION("""COMPUTED_VALUE"""),"UK")</f>
        <v>UK</v>
      </c>
      <c r="K1227" s="8"/>
      <c r="L1227" s="12"/>
      <c r="M1227" s="13"/>
      <c r="N1227" s="13" t="str">
        <f>IFERROR(__xludf.DUMMYFUNCTION("IF(ISBLANK(M1227),"""",M1227*GOOGLEFINANCE(""USDGBP""))"),"")</f>
        <v/>
      </c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</row>
    <row r="1228">
      <c r="A1228" s="8" t="str">
        <f>IFERROR(__xludf.DUMMYFUNCTION("""COMPUTED_VALUE"""),"103594220191200750")</f>
        <v>103594220191200750</v>
      </c>
      <c r="B1228" s="9" t="str">
        <f>IFERROR(__xludf.DUMMYFUNCTION("""COMPUTED_VALUE"""),"France")</f>
        <v>France</v>
      </c>
      <c r="C1228" s="9" t="str">
        <f>IFERROR(__xludf.DUMMYFUNCTION("""COMPUTED_VALUE"""),"burgundy")</f>
        <v>burgundy</v>
      </c>
      <c r="D1228" s="9" t="str">
        <f>IFERROR(__xludf.DUMMYFUNCTION("""COMPUTED_VALUE"""),"Robert Groffier, Chambolle-Musigny Premier Cru, Les Hauts Doix")</f>
        <v>Robert Groffier, Chambolle-Musigny Premier Cru, Les Hauts Doix</v>
      </c>
      <c r="E1228" s="9">
        <f>IFERROR(__xludf.DUMMYFUNCTION("""COMPUTED_VALUE"""),2019.0)</f>
        <v>2019</v>
      </c>
      <c r="F1228" s="9">
        <f>IFERROR(__xludf.DUMMYFUNCTION("""COMPUTED_VALUE"""),750.0)</f>
        <v>750</v>
      </c>
      <c r="G1228" s="9">
        <f>IFERROR(__xludf.DUMMYFUNCTION("""COMPUTED_VALUE"""),12.0)</f>
        <v>12</v>
      </c>
      <c r="H1228" s="10">
        <f>IFERROR(__xludf.DUMMYFUNCTION("""COMPUTED_VALUE"""),1.0)</f>
        <v>1</v>
      </c>
      <c r="I1228" s="11">
        <f>IFERROR(__xludf.DUMMYFUNCTION("""COMPUTED_VALUE"""),2410.0)</f>
        <v>2410</v>
      </c>
      <c r="J1228" s="9" t="str">
        <f>IFERROR(__xludf.DUMMYFUNCTION("""COMPUTED_VALUE"""),"UK")</f>
        <v>UK</v>
      </c>
      <c r="K1228" s="8"/>
      <c r="L1228" s="12"/>
      <c r="M1228" s="13"/>
      <c r="N1228" s="13" t="str">
        <f>IFERROR(__xludf.DUMMYFUNCTION("IF(ISBLANK(M1228),"""",M1228*GOOGLEFINANCE(""USDGBP""))"),"")</f>
        <v/>
      </c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</row>
    <row r="1229">
      <c r="A1229" s="8" t="str">
        <f>IFERROR(__xludf.DUMMYFUNCTION("""COMPUTED_VALUE"""),"103595520161200750")</f>
        <v>103595520161200750</v>
      </c>
      <c r="B1229" s="9" t="str">
        <f>IFERROR(__xludf.DUMMYFUNCTION("""COMPUTED_VALUE"""),"France")</f>
        <v>France</v>
      </c>
      <c r="C1229" s="9" t="str">
        <f>IFERROR(__xludf.DUMMYFUNCTION("""COMPUTED_VALUE"""),"burgundy")</f>
        <v>burgundy</v>
      </c>
      <c r="D1229" s="9" t="str">
        <f>IFERROR(__xludf.DUMMYFUNCTION("""COMPUTED_VALUE"""),"Robert Groffier, Chambolle-Musigny Premier Cru, Les Sentiers")</f>
        <v>Robert Groffier, Chambolle-Musigny Premier Cru, Les Sentiers</v>
      </c>
      <c r="E1229" s="9">
        <f>IFERROR(__xludf.DUMMYFUNCTION("""COMPUTED_VALUE"""),2016.0)</f>
        <v>2016</v>
      </c>
      <c r="F1229" s="9">
        <f>IFERROR(__xludf.DUMMYFUNCTION("""COMPUTED_VALUE"""),750.0)</f>
        <v>750</v>
      </c>
      <c r="G1229" s="9">
        <f>IFERROR(__xludf.DUMMYFUNCTION("""COMPUTED_VALUE"""),12.0)</f>
        <v>12</v>
      </c>
      <c r="H1229" s="10">
        <f>IFERROR(__xludf.DUMMYFUNCTION("""COMPUTED_VALUE"""),1.0)</f>
        <v>1</v>
      </c>
      <c r="I1229" s="11">
        <f>IFERROR(__xludf.DUMMYFUNCTION("""COMPUTED_VALUE"""),2550.0)</f>
        <v>2550</v>
      </c>
      <c r="J1229" s="9" t="str">
        <f>IFERROR(__xludf.DUMMYFUNCTION("""COMPUTED_VALUE"""),"UK")</f>
        <v>UK</v>
      </c>
      <c r="K1229" s="8"/>
      <c r="L1229" s="12"/>
      <c r="M1229" s="13"/>
      <c r="N1229" s="13" t="str">
        <f>IFERROR(__xludf.DUMMYFUNCTION("IF(ISBLANK(M1229),"""",M1229*GOOGLEFINANCE(""USDGBP""))"),"")</f>
        <v/>
      </c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</row>
    <row r="1230">
      <c r="A1230" s="8" t="str">
        <f>IFERROR(__xludf.DUMMYFUNCTION("""COMPUTED_VALUE"""),"122554920180600750")</f>
        <v>122554920180600750</v>
      </c>
      <c r="B1230" s="9" t="str">
        <f>IFERROR(__xludf.DUMMYFUNCTION("""COMPUTED_VALUE"""),"France")</f>
        <v>France</v>
      </c>
      <c r="C1230" s="9" t="str">
        <f>IFERROR(__xludf.DUMMYFUNCTION("""COMPUTED_VALUE"""),"burgundy")</f>
        <v>burgundy</v>
      </c>
      <c r="D1230" s="9" t="str">
        <f>IFERROR(__xludf.DUMMYFUNCTION("""COMPUTED_VALUE"""),"Robert Groffier, Gevrey-Chambertin, Les Seuvrees")</f>
        <v>Robert Groffier, Gevrey-Chambertin, Les Seuvrees</v>
      </c>
      <c r="E1230" s="9">
        <f>IFERROR(__xludf.DUMMYFUNCTION("""COMPUTED_VALUE"""),2018.0)</f>
        <v>2018</v>
      </c>
      <c r="F1230" s="9">
        <f>IFERROR(__xludf.DUMMYFUNCTION("""COMPUTED_VALUE"""),750.0)</f>
        <v>750</v>
      </c>
      <c r="G1230" s="9">
        <f>IFERROR(__xludf.DUMMYFUNCTION("""COMPUTED_VALUE"""),6.0)</f>
        <v>6</v>
      </c>
      <c r="H1230" s="10">
        <f>IFERROR(__xludf.DUMMYFUNCTION("""COMPUTED_VALUE"""),1.0)</f>
        <v>1</v>
      </c>
      <c r="I1230" s="11">
        <f>IFERROR(__xludf.DUMMYFUNCTION("""COMPUTED_VALUE"""),591.0)</f>
        <v>591</v>
      </c>
      <c r="J1230" s="9" t="str">
        <f>IFERROR(__xludf.DUMMYFUNCTION("""COMPUTED_VALUE"""),"UK")</f>
        <v>UK</v>
      </c>
      <c r="K1230" s="8"/>
      <c r="L1230" s="12"/>
      <c r="M1230" s="13"/>
      <c r="N1230" s="13" t="str">
        <f>IFERROR(__xludf.DUMMYFUNCTION("IF(ISBLANK(M1230),"""",M1230*GOOGLEFINANCE(""USDGBP""))"),"")</f>
        <v/>
      </c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</row>
    <row r="1231">
      <c r="A1231" s="8" t="str">
        <f>IFERROR(__xludf.DUMMYFUNCTION("""COMPUTED_VALUE"""),"105762720201200750")</f>
        <v>105762720201200750</v>
      </c>
      <c r="B1231" s="9" t="str">
        <f>IFERROR(__xludf.DUMMYFUNCTION("""COMPUTED_VALUE"""),"France")</f>
        <v>France</v>
      </c>
      <c r="C1231" s="9" t="str">
        <f>IFERROR(__xludf.DUMMYFUNCTION("""COMPUTED_VALUE"""),"burgundy")</f>
        <v>burgundy</v>
      </c>
      <c r="D1231" s="9" t="str">
        <f>IFERROR(__xludf.DUMMYFUNCTION("""COMPUTED_VALUE"""),"Serafin Pere et Fils, Charmes-Chambertin Grand Cru")</f>
        <v>Serafin Pere et Fils, Charmes-Chambertin Grand Cru</v>
      </c>
      <c r="E1231" s="9">
        <f>IFERROR(__xludf.DUMMYFUNCTION("""COMPUTED_VALUE"""),2020.0)</f>
        <v>2020</v>
      </c>
      <c r="F1231" s="9">
        <f>IFERROR(__xludf.DUMMYFUNCTION("""COMPUTED_VALUE"""),750.0)</f>
        <v>750</v>
      </c>
      <c r="G1231" s="9">
        <f>IFERROR(__xludf.DUMMYFUNCTION("""COMPUTED_VALUE"""),12.0)</f>
        <v>12</v>
      </c>
      <c r="H1231" s="10">
        <f>IFERROR(__xludf.DUMMYFUNCTION("""COMPUTED_VALUE"""),1.0)</f>
        <v>1</v>
      </c>
      <c r="I1231" s="11">
        <f>IFERROR(__xludf.DUMMYFUNCTION("""COMPUTED_VALUE"""),2866.0)</f>
        <v>2866</v>
      </c>
      <c r="J1231" s="9" t="str">
        <f>IFERROR(__xludf.DUMMYFUNCTION("""COMPUTED_VALUE"""),"UK")</f>
        <v>UK</v>
      </c>
      <c r="K1231" s="8"/>
      <c r="L1231" s="12"/>
      <c r="M1231" s="13"/>
      <c r="N1231" s="13" t="str">
        <f>IFERROR(__xludf.DUMMYFUNCTION("IF(ISBLANK(M1231),"""",M1231*GOOGLEFINANCE(""USDGBP""))"),"")</f>
        <v/>
      </c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</row>
    <row r="1232">
      <c r="A1232" s="8" t="str">
        <f>IFERROR(__xludf.DUMMYFUNCTION("""COMPUTED_VALUE"""),"102040520181200750")</f>
        <v>102040520181200750</v>
      </c>
      <c r="B1232" s="9" t="str">
        <f>IFERROR(__xludf.DUMMYFUNCTION("""COMPUTED_VALUE"""),"France")</f>
        <v>France</v>
      </c>
      <c r="C1232" s="9" t="str">
        <f>IFERROR(__xludf.DUMMYFUNCTION("""COMPUTED_VALUE"""),"burgundy")</f>
        <v>burgundy</v>
      </c>
      <c r="D1232" s="9" t="str">
        <f>IFERROR(__xludf.DUMMYFUNCTION("""COMPUTED_VALUE"""),"Simon Bize, Savigny-les-Beaune Premier Cru, Aux Fourneaux")</f>
        <v>Simon Bize, Savigny-les-Beaune Premier Cru, Aux Fourneaux</v>
      </c>
      <c r="E1232" s="9">
        <f>IFERROR(__xludf.DUMMYFUNCTION("""COMPUTED_VALUE"""),2018.0)</f>
        <v>2018</v>
      </c>
      <c r="F1232" s="9">
        <f>IFERROR(__xludf.DUMMYFUNCTION("""COMPUTED_VALUE"""),750.0)</f>
        <v>750</v>
      </c>
      <c r="G1232" s="9">
        <f>IFERROR(__xludf.DUMMYFUNCTION("""COMPUTED_VALUE"""),12.0)</f>
        <v>12</v>
      </c>
      <c r="H1232" s="10">
        <f>IFERROR(__xludf.DUMMYFUNCTION("""COMPUTED_VALUE"""),2.0)</f>
        <v>2</v>
      </c>
      <c r="I1232" s="11">
        <f>IFERROR(__xludf.DUMMYFUNCTION("""COMPUTED_VALUE"""),672.0)</f>
        <v>672</v>
      </c>
      <c r="J1232" s="9" t="str">
        <f>IFERROR(__xludf.DUMMYFUNCTION("""COMPUTED_VALUE"""),"UK")</f>
        <v>UK</v>
      </c>
      <c r="K1232" s="8"/>
      <c r="L1232" s="12"/>
      <c r="M1232" s="13"/>
      <c r="N1232" s="13" t="str">
        <f>IFERROR(__xludf.DUMMYFUNCTION("IF(ISBLANK(M1232),"""",M1232*GOOGLEFINANCE(""USDGBP""))"),"")</f>
        <v/>
      </c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</row>
    <row r="1233">
      <c r="A1233" s="8" t="str">
        <f>IFERROR(__xludf.DUMMYFUNCTION("""COMPUTED_VALUE"""),"102042120171200750")</f>
        <v>102042120171200750</v>
      </c>
      <c r="B1233" s="9" t="str">
        <f>IFERROR(__xludf.DUMMYFUNCTION("""COMPUTED_VALUE"""),"France")</f>
        <v>France</v>
      </c>
      <c r="C1233" s="9" t="str">
        <f>IFERROR(__xludf.DUMMYFUNCTION("""COMPUTED_VALUE"""),"burgundy")</f>
        <v>burgundy</v>
      </c>
      <c r="D1233" s="9" t="str">
        <f>IFERROR(__xludf.DUMMYFUNCTION("""COMPUTED_VALUE"""),"Simon Bize, Savigny-les-Beaune Premier Cru, Aux Guettes Rouge")</f>
        <v>Simon Bize, Savigny-les-Beaune Premier Cru, Aux Guettes Rouge</v>
      </c>
      <c r="E1233" s="9">
        <f>IFERROR(__xludf.DUMMYFUNCTION("""COMPUTED_VALUE"""),2017.0)</f>
        <v>2017</v>
      </c>
      <c r="F1233" s="9">
        <f>IFERROR(__xludf.DUMMYFUNCTION("""COMPUTED_VALUE"""),750.0)</f>
        <v>750</v>
      </c>
      <c r="G1233" s="9">
        <f>IFERROR(__xludf.DUMMYFUNCTION("""COMPUTED_VALUE"""),12.0)</f>
        <v>12</v>
      </c>
      <c r="H1233" s="10">
        <f>IFERROR(__xludf.DUMMYFUNCTION("""COMPUTED_VALUE"""),1.0)</f>
        <v>1</v>
      </c>
      <c r="I1233" s="11">
        <f>IFERROR(__xludf.DUMMYFUNCTION("""COMPUTED_VALUE"""),609.0)</f>
        <v>609</v>
      </c>
      <c r="J1233" s="9" t="str">
        <f>IFERROR(__xludf.DUMMYFUNCTION("""COMPUTED_VALUE"""),"UK")</f>
        <v>UK</v>
      </c>
      <c r="K1233" s="8"/>
      <c r="L1233" s="12"/>
      <c r="M1233" s="13"/>
      <c r="N1233" s="13" t="str">
        <f>IFERROR(__xludf.DUMMYFUNCTION("IF(ISBLANK(M1233),"""",M1233*GOOGLEFINANCE(""USDGBP""))"),"")</f>
        <v/>
      </c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</row>
    <row r="1234">
      <c r="A1234" s="8" t="str">
        <f>IFERROR(__xludf.DUMMYFUNCTION("""COMPUTED_VALUE"""),"102046320181200750")</f>
        <v>102046320181200750</v>
      </c>
      <c r="B1234" s="9" t="str">
        <f>IFERROR(__xludf.DUMMYFUNCTION("""COMPUTED_VALUE"""),"France")</f>
        <v>France</v>
      </c>
      <c r="C1234" s="9" t="str">
        <f>IFERROR(__xludf.DUMMYFUNCTION("""COMPUTED_VALUE"""),"burgundy")</f>
        <v>burgundy</v>
      </c>
      <c r="D1234" s="9" t="str">
        <f>IFERROR(__xludf.DUMMYFUNCTION("""COMPUTED_VALUE"""),"Simon Bize, Savigny-les-Beaune Premier Cru, Aux Vergelesses Rouge")</f>
        <v>Simon Bize, Savigny-les-Beaune Premier Cru, Aux Vergelesses Rouge</v>
      </c>
      <c r="E1234" s="9">
        <f>IFERROR(__xludf.DUMMYFUNCTION("""COMPUTED_VALUE"""),2018.0)</f>
        <v>2018</v>
      </c>
      <c r="F1234" s="9">
        <f>IFERROR(__xludf.DUMMYFUNCTION("""COMPUTED_VALUE"""),750.0)</f>
        <v>750</v>
      </c>
      <c r="G1234" s="9">
        <f>IFERROR(__xludf.DUMMYFUNCTION("""COMPUTED_VALUE"""),12.0)</f>
        <v>12</v>
      </c>
      <c r="H1234" s="10">
        <f>IFERROR(__xludf.DUMMYFUNCTION("""COMPUTED_VALUE"""),4.0)</f>
        <v>4</v>
      </c>
      <c r="I1234" s="11">
        <f>IFERROR(__xludf.DUMMYFUNCTION("""COMPUTED_VALUE"""),806.0)</f>
        <v>806</v>
      </c>
      <c r="J1234" s="9" t="str">
        <f>IFERROR(__xludf.DUMMYFUNCTION("""COMPUTED_VALUE"""),"UK")</f>
        <v>UK</v>
      </c>
      <c r="K1234" s="8"/>
      <c r="L1234" s="12"/>
      <c r="M1234" s="13"/>
      <c r="N1234" s="13" t="str">
        <f>IFERROR(__xludf.DUMMYFUNCTION("IF(ISBLANK(M1234),"""",M1234*GOOGLEFINANCE(""USDGBP""))"),"")</f>
        <v/>
      </c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</row>
    <row r="1235">
      <c r="A1235" s="8" t="str">
        <f>IFERROR(__xludf.DUMMYFUNCTION("""COMPUTED_VALUE"""),"104485220180600750")</f>
        <v>104485220180600750</v>
      </c>
      <c r="B1235" s="9" t="str">
        <f>IFERROR(__xludf.DUMMYFUNCTION("""COMPUTED_VALUE"""),"France")</f>
        <v>France</v>
      </c>
      <c r="C1235" s="9" t="str">
        <f>IFERROR(__xludf.DUMMYFUNCTION("""COMPUTED_VALUE"""),"burgundy")</f>
        <v>burgundy</v>
      </c>
      <c r="D1235" s="9" t="str">
        <f>IFERROR(__xludf.DUMMYFUNCTION("""COMPUTED_VALUE"""),"Thibault Liger-Belair, Clos de Vougeot Grand Cru")</f>
        <v>Thibault Liger-Belair, Clos de Vougeot Grand Cru</v>
      </c>
      <c r="E1235" s="9">
        <f>IFERROR(__xludf.DUMMYFUNCTION("""COMPUTED_VALUE"""),2018.0)</f>
        <v>2018</v>
      </c>
      <c r="F1235" s="9">
        <f>IFERROR(__xludf.DUMMYFUNCTION("""COMPUTED_VALUE"""),750.0)</f>
        <v>750</v>
      </c>
      <c r="G1235" s="9">
        <f>IFERROR(__xludf.DUMMYFUNCTION("""COMPUTED_VALUE"""),6.0)</f>
        <v>6</v>
      </c>
      <c r="H1235" s="10">
        <f>IFERROR(__xludf.DUMMYFUNCTION("""COMPUTED_VALUE"""),1.0)</f>
        <v>1</v>
      </c>
      <c r="I1235" s="11">
        <f>IFERROR(__xludf.DUMMYFUNCTION("""COMPUTED_VALUE"""),947.0)</f>
        <v>947</v>
      </c>
      <c r="J1235" s="9" t="str">
        <f>IFERROR(__xludf.DUMMYFUNCTION("""COMPUTED_VALUE"""),"UK")</f>
        <v>UK</v>
      </c>
      <c r="K1235" s="8"/>
      <c r="L1235" s="12"/>
      <c r="M1235" s="13"/>
      <c r="N1235" s="13" t="str">
        <f>IFERROR(__xludf.DUMMYFUNCTION("IF(ISBLANK(M1235),"""",M1235*GOOGLEFINANCE(""USDGBP""))"),"")</f>
        <v/>
      </c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</row>
    <row r="1236">
      <c r="A1236" s="8" t="str">
        <f>IFERROR(__xludf.DUMMYFUNCTION("""COMPUTED_VALUE"""),"104486520110600750")</f>
        <v>104486520110600750</v>
      </c>
      <c r="B1236" s="9" t="str">
        <f>IFERROR(__xludf.DUMMYFUNCTION("""COMPUTED_VALUE"""),"France")</f>
        <v>France</v>
      </c>
      <c r="C1236" s="9" t="str">
        <f>IFERROR(__xludf.DUMMYFUNCTION("""COMPUTED_VALUE"""),"burgundy")</f>
        <v>burgundy</v>
      </c>
      <c r="D1236" s="9" t="str">
        <f>IFERROR(__xludf.DUMMYFUNCTION("""COMPUTED_VALUE"""),"Thibault Liger-Belair, Corton Grand Cru, Les Renardes")</f>
        <v>Thibault Liger-Belair, Corton Grand Cru, Les Renardes</v>
      </c>
      <c r="E1236" s="9">
        <f>IFERROR(__xludf.DUMMYFUNCTION("""COMPUTED_VALUE"""),2011.0)</f>
        <v>2011</v>
      </c>
      <c r="F1236" s="9">
        <f>IFERROR(__xludf.DUMMYFUNCTION("""COMPUTED_VALUE"""),750.0)</f>
        <v>750</v>
      </c>
      <c r="G1236" s="9">
        <f>IFERROR(__xludf.DUMMYFUNCTION("""COMPUTED_VALUE"""),6.0)</f>
        <v>6</v>
      </c>
      <c r="H1236" s="10">
        <f>IFERROR(__xludf.DUMMYFUNCTION("""COMPUTED_VALUE"""),1.0)</f>
        <v>1</v>
      </c>
      <c r="I1236" s="11">
        <f>IFERROR(__xludf.DUMMYFUNCTION("""COMPUTED_VALUE"""),1373.0)</f>
        <v>1373</v>
      </c>
      <c r="J1236" s="9" t="str">
        <f>IFERROR(__xludf.DUMMYFUNCTION("""COMPUTED_VALUE"""),"UK")</f>
        <v>UK</v>
      </c>
      <c r="K1236" s="8"/>
      <c r="L1236" s="12"/>
      <c r="M1236" s="13"/>
      <c r="N1236" s="13" t="str">
        <f>IFERROR(__xludf.DUMMYFUNCTION("IF(ISBLANK(M1236),"""",M1236*GOOGLEFINANCE(""USDGBP""))"),"")</f>
        <v/>
      </c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</row>
    <row r="1237">
      <c r="A1237" s="8" t="str">
        <f>IFERROR(__xludf.DUMMYFUNCTION("""COMPUTED_VALUE"""),"122589720180600750")</f>
        <v>122589720180600750</v>
      </c>
      <c r="B1237" s="9" t="str">
        <f>IFERROR(__xludf.DUMMYFUNCTION("""COMPUTED_VALUE"""),"France")</f>
        <v>France</v>
      </c>
      <c r="C1237" s="9" t="str">
        <f>IFERROR(__xludf.DUMMYFUNCTION("""COMPUTED_VALUE"""),"burgundy")</f>
        <v>burgundy</v>
      </c>
      <c r="D1237" s="9" t="str">
        <f>IFERROR(__xludf.DUMMYFUNCTION("""COMPUTED_VALUE"""),"Thibault Liger-Belair, Nuits-Saint-Georges Premier Cru, Les Saint-Georges")</f>
        <v>Thibault Liger-Belair, Nuits-Saint-Georges Premier Cru, Les Saint-Georges</v>
      </c>
      <c r="E1237" s="9">
        <f>IFERROR(__xludf.DUMMYFUNCTION("""COMPUTED_VALUE"""),2018.0)</f>
        <v>2018</v>
      </c>
      <c r="F1237" s="9">
        <f>IFERROR(__xludf.DUMMYFUNCTION("""COMPUTED_VALUE"""),750.0)</f>
        <v>750</v>
      </c>
      <c r="G1237" s="9">
        <f>IFERROR(__xludf.DUMMYFUNCTION("""COMPUTED_VALUE"""),6.0)</f>
        <v>6</v>
      </c>
      <c r="H1237" s="10">
        <f>IFERROR(__xludf.DUMMYFUNCTION("""COMPUTED_VALUE"""),1.0)</f>
        <v>1</v>
      </c>
      <c r="I1237" s="11">
        <f>IFERROR(__xludf.DUMMYFUNCTION("""COMPUTED_VALUE"""),666.0)</f>
        <v>666</v>
      </c>
      <c r="J1237" s="9" t="str">
        <f>IFERROR(__xludf.DUMMYFUNCTION("""COMPUTED_VALUE"""),"UK")</f>
        <v>UK</v>
      </c>
      <c r="K1237" s="8"/>
      <c r="L1237" s="12"/>
      <c r="M1237" s="13"/>
      <c r="N1237" s="13" t="str">
        <f>IFERROR(__xludf.DUMMYFUNCTION("IF(ISBLANK(M1237),"""",M1237*GOOGLEFINANCE(""USDGBP""))"),"")</f>
        <v/>
      </c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</row>
    <row r="1238">
      <c r="A1238" s="8" t="str">
        <f>IFERROR(__xludf.DUMMYFUNCTION("""COMPUTED_VALUE"""),"105850720180600750")</f>
        <v>105850720180600750</v>
      </c>
      <c r="B1238" s="9" t="str">
        <f>IFERROR(__xludf.DUMMYFUNCTION("""COMPUTED_VALUE"""),"France")</f>
        <v>France</v>
      </c>
      <c r="C1238" s="9" t="str">
        <f>IFERROR(__xludf.DUMMYFUNCTION("""COMPUTED_VALUE"""),"burgundy")</f>
        <v>burgundy</v>
      </c>
      <c r="D1238" s="9" t="str">
        <f>IFERROR(__xludf.DUMMYFUNCTION("""COMPUTED_VALUE"""),"Tortochot, Gevrey-Chambertin Premier Cru, Champeaux")</f>
        <v>Tortochot, Gevrey-Chambertin Premier Cru, Champeaux</v>
      </c>
      <c r="E1238" s="9">
        <f>IFERROR(__xludf.DUMMYFUNCTION("""COMPUTED_VALUE"""),2018.0)</f>
        <v>2018</v>
      </c>
      <c r="F1238" s="9">
        <f>IFERROR(__xludf.DUMMYFUNCTION("""COMPUTED_VALUE"""),750.0)</f>
        <v>750</v>
      </c>
      <c r="G1238" s="9">
        <f>IFERROR(__xludf.DUMMYFUNCTION("""COMPUTED_VALUE"""),6.0)</f>
        <v>6</v>
      </c>
      <c r="H1238" s="10">
        <f>IFERROR(__xludf.DUMMYFUNCTION("""COMPUTED_VALUE"""),2.0)</f>
        <v>2</v>
      </c>
      <c r="I1238" s="11">
        <f>IFERROR(__xludf.DUMMYFUNCTION("""COMPUTED_VALUE"""),463.0)</f>
        <v>463</v>
      </c>
      <c r="J1238" s="9" t="str">
        <f>IFERROR(__xludf.DUMMYFUNCTION("""COMPUTED_VALUE"""),"UK")</f>
        <v>UK</v>
      </c>
      <c r="K1238" s="8"/>
      <c r="L1238" s="12"/>
      <c r="M1238" s="13"/>
      <c r="N1238" s="13" t="str">
        <f>IFERROR(__xludf.DUMMYFUNCTION("IF(ISBLANK(M1238),"""",M1238*GOOGLEFINANCE(""USDGBP""))"),"")</f>
        <v/>
      </c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</row>
    <row r="1239">
      <c r="A1239" s="8" t="str">
        <f>IFERROR(__xludf.DUMMYFUNCTION("""COMPUTED_VALUE"""),"143081920170600750")</f>
        <v>143081920170600750</v>
      </c>
      <c r="B1239" s="9" t="str">
        <f>IFERROR(__xludf.DUMMYFUNCTION("""COMPUTED_VALUE"""),"France")</f>
        <v>France</v>
      </c>
      <c r="C1239" s="9" t="str">
        <f>IFERROR(__xludf.DUMMYFUNCTION("""COMPUTED_VALUE"""),"burgundy")</f>
        <v>burgundy</v>
      </c>
      <c r="D1239" s="9" t="str">
        <f>IFERROR(__xludf.DUMMYFUNCTION("""COMPUTED_VALUE"""),"Tortochot, Morey-Saint-Denis Premier Cru, Renaissance")</f>
        <v>Tortochot, Morey-Saint-Denis Premier Cru, Renaissance</v>
      </c>
      <c r="E1239" s="9">
        <f>IFERROR(__xludf.DUMMYFUNCTION("""COMPUTED_VALUE"""),2017.0)</f>
        <v>2017</v>
      </c>
      <c r="F1239" s="9">
        <f>IFERROR(__xludf.DUMMYFUNCTION("""COMPUTED_VALUE"""),750.0)</f>
        <v>750</v>
      </c>
      <c r="G1239" s="9">
        <f>IFERROR(__xludf.DUMMYFUNCTION("""COMPUTED_VALUE"""),6.0)</f>
        <v>6</v>
      </c>
      <c r="H1239" s="10">
        <f>IFERROR(__xludf.DUMMYFUNCTION("""COMPUTED_VALUE"""),1.0)</f>
        <v>1</v>
      </c>
      <c r="I1239" s="11">
        <f>IFERROR(__xludf.DUMMYFUNCTION("""COMPUTED_VALUE"""),316.0)</f>
        <v>316</v>
      </c>
      <c r="J1239" s="9" t="str">
        <f>IFERROR(__xludf.DUMMYFUNCTION("""COMPUTED_VALUE"""),"UK")</f>
        <v>UK</v>
      </c>
      <c r="K1239" s="8"/>
      <c r="L1239" s="12"/>
      <c r="M1239" s="13"/>
      <c r="N1239" s="13" t="str">
        <f>IFERROR(__xludf.DUMMYFUNCTION("IF(ISBLANK(M1239),"""",M1239*GOOGLEFINANCE(""USDGBP""))"),"")</f>
        <v/>
      </c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</row>
    <row r="1240">
      <c r="A1240" s="8" t="str">
        <f>IFERROR(__xludf.DUMMYFUNCTION("""COMPUTED_VALUE"""),"113244920180600750")</f>
        <v>113244920180600750</v>
      </c>
      <c r="B1240" s="9" t="str">
        <f>IFERROR(__xludf.DUMMYFUNCTION("""COMPUTED_VALUE"""),"France")</f>
        <v>France</v>
      </c>
      <c r="C1240" s="9" t="str">
        <f>IFERROR(__xludf.DUMMYFUNCTION("""COMPUTED_VALUE"""),"burgundy")</f>
        <v>burgundy</v>
      </c>
      <c r="D1240" s="9" t="str">
        <f>IFERROR(__xludf.DUMMYFUNCTION("""COMPUTED_VALUE"""),"Arnaud Ente, Meursault, Clos Des Ambres")</f>
        <v>Arnaud Ente, Meursault, Clos Des Ambres</v>
      </c>
      <c r="E1240" s="9">
        <f>IFERROR(__xludf.DUMMYFUNCTION("""COMPUTED_VALUE"""),2018.0)</f>
        <v>2018</v>
      </c>
      <c r="F1240" s="9">
        <f>IFERROR(__xludf.DUMMYFUNCTION("""COMPUTED_VALUE"""),750.0)</f>
        <v>750</v>
      </c>
      <c r="G1240" s="9">
        <f>IFERROR(__xludf.DUMMYFUNCTION("""COMPUTED_VALUE"""),6.0)</f>
        <v>6</v>
      </c>
      <c r="H1240" s="10">
        <f>IFERROR(__xludf.DUMMYFUNCTION("""COMPUTED_VALUE"""),1.0)</f>
        <v>1</v>
      </c>
      <c r="I1240" s="11">
        <f>IFERROR(__xludf.DUMMYFUNCTION("""COMPUTED_VALUE"""),4700.0)</f>
        <v>4700</v>
      </c>
      <c r="J1240" s="9" t="str">
        <f>IFERROR(__xludf.DUMMYFUNCTION("""COMPUTED_VALUE"""),"UK")</f>
        <v>UK</v>
      </c>
      <c r="K1240" s="8"/>
      <c r="L1240" s="12"/>
      <c r="M1240" s="13"/>
      <c r="N1240" s="13" t="str">
        <f>IFERROR(__xludf.DUMMYFUNCTION("IF(ISBLANK(M1240),"""",M1240*GOOGLEFINANCE(""USDGBP""))"),"")</f>
        <v/>
      </c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</row>
    <row r="1241">
      <c r="A1241" s="8" t="str">
        <f>IFERROR(__xludf.DUMMYFUNCTION("""COMPUTED_VALUE"""),"106783720180600750")</f>
        <v>106783720180600750</v>
      </c>
      <c r="B1241" s="9" t="str">
        <f>IFERROR(__xludf.DUMMYFUNCTION("""COMPUTED_VALUE"""),"France")</f>
        <v>France</v>
      </c>
      <c r="C1241" s="9" t="str">
        <f>IFERROR(__xludf.DUMMYFUNCTION("""COMPUTED_VALUE"""),"burgundy")</f>
        <v>burgundy</v>
      </c>
      <c r="D1241" s="9" t="str">
        <f>IFERROR(__xludf.DUMMYFUNCTION("""COMPUTED_VALUE"""),"Arnaud Ente, Puligny-Montrachet Premier Cru, Champ Gain")</f>
        <v>Arnaud Ente, Puligny-Montrachet Premier Cru, Champ Gain</v>
      </c>
      <c r="E1241" s="9">
        <f>IFERROR(__xludf.DUMMYFUNCTION("""COMPUTED_VALUE"""),2018.0)</f>
        <v>2018</v>
      </c>
      <c r="F1241" s="9">
        <f>IFERROR(__xludf.DUMMYFUNCTION("""COMPUTED_VALUE"""),750.0)</f>
        <v>750</v>
      </c>
      <c r="G1241" s="9">
        <f>IFERROR(__xludf.DUMMYFUNCTION("""COMPUTED_VALUE"""),6.0)</f>
        <v>6</v>
      </c>
      <c r="H1241" s="10">
        <f>IFERROR(__xludf.DUMMYFUNCTION("""COMPUTED_VALUE"""),2.0)</f>
        <v>2</v>
      </c>
      <c r="I1241" s="11">
        <f>IFERROR(__xludf.DUMMYFUNCTION("""COMPUTED_VALUE"""),6268.0)</f>
        <v>6268</v>
      </c>
      <c r="J1241" s="9" t="str">
        <f>IFERROR(__xludf.DUMMYFUNCTION("""COMPUTED_VALUE"""),"UK")</f>
        <v>UK</v>
      </c>
      <c r="K1241" s="8"/>
      <c r="L1241" s="12"/>
      <c r="M1241" s="13"/>
      <c r="N1241" s="13" t="str">
        <f>IFERROR(__xludf.DUMMYFUNCTION("IF(ISBLANK(M1241),"""",M1241*GOOGLEFINANCE(""USDGBP""))"),"")</f>
        <v/>
      </c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</row>
    <row r="1242">
      <c r="A1242" s="8" t="str">
        <f>IFERROR(__xludf.DUMMYFUNCTION("""COMPUTED_VALUE"""),"107429320180600750")</f>
        <v>107429320180600750</v>
      </c>
      <c r="B1242" s="9" t="str">
        <f>IFERROR(__xludf.DUMMYFUNCTION("""COMPUTED_VALUE"""),"France")</f>
        <v>France</v>
      </c>
      <c r="C1242" s="9" t="str">
        <f>IFERROR(__xludf.DUMMYFUNCTION("""COMPUTED_VALUE"""),"burgundy")</f>
        <v>burgundy</v>
      </c>
      <c r="D1242" s="9" t="str">
        <f>IFERROR(__xludf.DUMMYFUNCTION("""COMPUTED_VALUE"""),"Benjamin Leroux, Corton-Charlemagne Grand Cru")</f>
        <v>Benjamin Leroux, Corton-Charlemagne Grand Cru</v>
      </c>
      <c r="E1242" s="9">
        <f>IFERROR(__xludf.DUMMYFUNCTION("""COMPUTED_VALUE"""),2018.0)</f>
        <v>2018</v>
      </c>
      <c r="F1242" s="9">
        <f>IFERROR(__xludf.DUMMYFUNCTION("""COMPUTED_VALUE"""),750.0)</f>
        <v>750</v>
      </c>
      <c r="G1242" s="9">
        <f>IFERROR(__xludf.DUMMYFUNCTION("""COMPUTED_VALUE"""),6.0)</f>
        <v>6</v>
      </c>
      <c r="H1242" s="10">
        <f>IFERROR(__xludf.DUMMYFUNCTION("""COMPUTED_VALUE"""),2.0)</f>
        <v>2</v>
      </c>
      <c r="I1242" s="11">
        <f>IFERROR(__xludf.DUMMYFUNCTION("""COMPUTED_VALUE"""),1422.0)</f>
        <v>1422</v>
      </c>
      <c r="J1242" s="9" t="str">
        <f>IFERROR(__xludf.DUMMYFUNCTION("""COMPUTED_VALUE"""),"UK")</f>
        <v>UK</v>
      </c>
      <c r="K1242" s="8"/>
      <c r="L1242" s="12"/>
      <c r="M1242" s="13"/>
      <c r="N1242" s="13" t="str">
        <f>IFERROR(__xludf.DUMMYFUNCTION("IF(ISBLANK(M1242),"""",M1242*GOOGLEFINANCE(""USDGBP""))"),"")</f>
        <v/>
      </c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</row>
    <row r="1243">
      <c r="A1243" s="8" t="str">
        <f>IFERROR(__xludf.DUMMYFUNCTION("""COMPUTED_VALUE"""),"176454720190600750")</f>
        <v>176454720190600750</v>
      </c>
      <c r="B1243" s="9" t="str">
        <f>IFERROR(__xludf.DUMMYFUNCTION("""COMPUTED_VALUE"""),"France")</f>
        <v>France</v>
      </c>
      <c r="C1243" s="9" t="str">
        <f>IFERROR(__xludf.DUMMYFUNCTION("""COMPUTED_VALUE"""),"burgundy")</f>
        <v>burgundy</v>
      </c>
      <c r="D1243" s="9" t="str">
        <f>IFERROR(__xludf.DUMMYFUNCTION("""COMPUTED_VALUE"""),"Benjamin Leroux, Meursault Premier Cru, Genevrieres")</f>
        <v>Benjamin Leroux, Meursault Premier Cru, Genevrieres</v>
      </c>
      <c r="E1243" s="9">
        <f>IFERROR(__xludf.DUMMYFUNCTION("""COMPUTED_VALUE"""),2019.0)</f>
        <v>2019</v>
      </c>
      <c r="F1243" s="9">
        <f>IFERROR(__xludf.DUMMYFUNCTION("""COMPUTED_VALUE"""),750.0)</f>
        <v>750</v>
      </c>
      <c r="G1243" s="9">
        <f>IFERROR(__xludf.DUMMYFUNCTION("""COMPUTED_VALUE"""),6.0)</f>
        <v>6</v>
      </c>
      <c r="H1243" s="10">
        <f>IFERROR(__xludf.DUMMYFUNCTION("""COMPUTED_VALUE"""),2.0)</f>
        <v>2</v>
      </c>
      <c r="I1243" s="11">
        <f>IFERROR(__xludf.DUMMYFUNCTION("""COMPUTED_VALUE"""),752.0)</f>
        <v>752</v>
      </c>
      <c r="J1243" s="9" t="str">
        <f>IFERROR(__xludf.DUMMYFUNCTION("""COMPUTED_VALUE"""),"UK")</f>
        <v>UK</v>
      </c>
      <c r="K1243" s="8"/>
      <c r="L1243" s="12"/>
      <c r="M1243" s="13"/>
      <c r="N1243" s="13" t="str">
        <f>IFERROR(__xludf.DUMMYFUNCTION("IF(ISBLANK(M1243),"""",M1243*GOOGLEFINANCE(""USDGBP""))"),"")</f>
        <v/>
      </c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</row>
    <row r="1244">
      <c r="A1244" s="8" t="str">
        <f>IFERROR(__xludf.DUMMYFUNCTION("""COMPUTED_VALUE"""),"149088020190600750")</f>
        <v>149088020190600750</v>
      </c>
      <c r="B1244" s="9" t="str">
        <f>IFERROR(__xludf.DUMMYFUNCTION("""COMPUTED_VALUE"""),"France")</f>
        <v>France</v>
      </c>
      <c r="C1244" s="9" t="str">
        <f>IFERROR(__xludf.DUMMYFUNCTION("""COMPUTED_VALUE"""),"burgundy")</f>
        <v>burgundy</v>
      </c>
      <c r="D1244" s="9" t="str">
        <f>IFERROR(__xludf.DUMMYFUNCTION("""COMPUTED_VALUE"""),"Benoit Ente, Puligny-Montrachet")</f>
        <v>Benoit Ente, Puligny-Montrachet</v>
      </c>
      <c r="E1244" s="9">
        <f>IFERROR(__xludf.DUMMYFUNCTION("""COMPUTED_VALUE"""),2019.0)</f>
        <v>2019</v>
      </c>
      <c r="F1244" s="9">
        <f>IFERROR(__xludf.DUMMYFUNCTION("""COMPUTED_VALUE"""),750.0)</f>
        <v>750</v>
      </c>
      <c r="G1244" s="9">
        <f>IFERROR(__xludf.DUMMYFUNCTION("""COMPUTED_VALUE"""),6.0)</f>
        <v>6</v>
      </c>
      <c r="H1244" s="10">
        <f>IFERROR(__xludf.DUMMYFUNCTION("""COMPUTED_VALUE"""),1.0)</f>
        <v>1</v>
      </c>
      <c r="I1244" s="11">
        <f>IFERROR(__xludf.DUMMYFUNCTION("""COMPUTED_VALUE"""),922.0)</f>
        <v>922</v>
      </c>
      <c r="J1244" s="9" t="str">
        <f>IFERROR(__xludf.DUMMYFUNCTION("""COMPUTED_VALUE"""),"UK")</f>
        <v>UK</v>
      </c>
      <c r="K1244" s="8"/>
      <c r="L1244" s="12"/>
      <c r="M1244" s="13"/>
      <c r="N1244" s="13" t="str">
        <f>IFERROR(__xludf.DUMMYFUNCTION("IF(ISBLANK(M1244),"""",M1244*GOOGLEFINANCE(""USDGBP""))"),"")</f>
        <v/>
      </c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</row>
    <row r="1245">
      <c r="A1245" s="8" t="str">
        <f>IFERROR(__xludf.DUMMYFUNCTION("""COMPUTED_VALUE"""),"106197820190600750")</f>
        <v>106197820190600750</v>
      </c>
      <c r="B1245" s="9" t="str">
        <f>IFERROR(__xludf.DUMMYFUNCTION("""COMPUTED_VALUE"""),"France")</f>
        <v>France</v>
      </c>
      <c r="C1245" s="9" t="str">
        <f>IFERROR(__xludf.DUMMYFUNCTION("""COMPUTED_VALUE"""),"burgundy")</f>
        <v>burgundy</v>
      </c>
      <c r="D1245" s="9" t="str">
        <f>IFERROR(__xludf.DUMMYFUNCTION("""COMPUTED_VALUE"""),"Bouchard Pere et Fils, Chevalier-Montrachet Grand Cru")</f>
        <v>Bouchard Pere et Fils, Chevalier-Montrachet Grand Cru</v>
      </c>
      <c r="E1245" s="9">
        <f>IFERROR(__xludf.DUMMYFUNCTION("""COMPUTED_VALUE"""),2019.0)</f>
        <v>2019</v>
      </c>
      <c r="F1245" s="9">
        <f>IFERROR(__xludf.DUMMYFUNCTION("""COMPUTED_VALUE"""),750.0)</f>
        <v>750</v>
      </c>
      <c r="G1245" s="9">
        <f>IFERROR(__xludf.DUMMYFUNCTION("""COMPUTED_VALUE"""),6.0)</f>
        <v>6</v>
      </c>
      <c r="H1245" s="10">
        <f>IFERROR(__xludf.DUMMYFUNCTION("""COMPUTED_VALUE"""),4.0)</f>
        <v>4</v>
      </c>
      <c r="I1245" s="11">
        <f>IFERROR(__xludf.DUMMYFUNCTION("""COMPUTED_VALUE"""),2160.0)</f>
        <v>2160</v>
      </c>
      <c r="J1245" s="9" t="str">
        <f>IFERROR(__xludf.DUMMYFUNCTION("""COMPUTED_VALUE"""),"UK")</f>
        <v>UK</v>
      </c>
      <c r="K1245" s="8"/>
      <c r="L1245" s="12"/>
      <c r="M1245" s="13"/>
      <c r="N1245" s="13" t="str">
        <f>IFERROR(__xludf.DUMMYFUNCTION("IF(ISBLANK(M1245),"""",M1245*GOOGLEFINANCE(""USDGBP""))"),"")</f>
        <v/>
      </c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</row>
    <row r="1246">
      <c r="A1246" s="8" t="str">
        <f>IFERROR(__xludf.DUMMYFUNCTION("""COMPUTED_VALUE"""),"106198120160600750")</f>
        <v>106198120160600750</v>
      </c>
      <c r="B1246" s="9" t="str">
        <f>IFERROR(__xludf.DUMMYFUNCTION("""COMPUTED_VALUE"""),"France")</f>
        <v>France</v>
      </c>
      <c r="C1246" s="9" t="str">
        <f>IFERROR(__xludf.DUMMYFUNCTION("""COMPUTED_VALUE"""),"burgundy")</f>
        <v>burgundy</v>
      </c>
      <c r="D1246" s="9" t="str">
        <f>IFERROR(__xludf.DUMMYFUNCTION("""COMPUTED_VALUE"""),"Bouchard Pere et Fils, Chevalier-Montrachet Grand Cru, La Cabotte")</f>
        <v>Bouchard Pere et Fils, Chevalier-Montrachet Grand Cru, La Cabotte</v>
      </c>
      <c r="E1246" s="9">
        <f>IFERROR(__xludf.DUMMYFUNCTION("""COMPUTED_VALUE"""),2016.0)</f>
        <v>2016</v>
      </c>
      <c r="F1246" s="9">
        <f>IFERROR(__xludf.DUMMYFUNCTION("""COMPUTED_VALUE"""),750.0)</f>
        <v>750</v>
      </c>
      <c r="G1246" s="9">
        <f>IFERROR(__xludf.DUMMYFUNCTION("""COMPUTED_VALUE"""),6.0)</f>
        <v>6</v>
      </c>
      <c r="H1246" s="10">
        <f>IFERROR(__xludf.DUMMYFUNCTION("""COMPUTED_VALUE"""),1.0)</f>
        <v>1</v>
      </c>
      <c r="I1246" s="11">
        <f>IFERROR(__xludf.DUMMYFUNCTION("""COMPUTED_VALUE"""),2756.0)</f>
        <v>2756</v>
      </c>
      <c r="J1246" s="9" t="str">
        <f>IFERROR(__xludf.DUMMYFUNCTION("""COMPUTED_VALUE"""),"UK")</f>
        <v>UK</v>
      </c>
      <c r="K1246" s="8"/>
      <c r="L1246" s="12"/>
      <c r="M1246" s="13"/>
      <c r="N1246" s="13" t="str">
        <f>IFERROR(__xludf.DUMMYFUNCTION("IF(ISBLANK(M1246),"""",M1246*GOOGLEFINANCE(""USDGBP""))"),"")</f>
        <v/>
      </c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</row>
    <row r="1247">
      <c r="A1247" s="8" t="str">
        <f>IFERROR(__xludf.DUMMYFUNCTION("""COMPUTED_VALUE"""),"106198120160101500")</f>
        <v>106198120160101500</v>
      </c>
      <c r="B1247" s="9" t="str">
        <f>IFERROR(__xludf.DUMMYFUNCTION("""COMPUTED_VALUE"""),"France")</f>
        <v>France</v>
      </c>
      <c r="C1247" s="9" t="str">
        <f>IFERROR(__xludf.DUMMYFUNCTION("""COMPUTED_VALUE"""),"burgundy")</f>
        <v>burgundy</v>
      </c>
      <c r="D1247" s="9" t="str">
        <f>IFERROR(__xludf.DUMMYFUNCTION("""COMPUTED_VALUE"""),"Bouchard Pere et Fils, Chevalier-Montrachet Grand Cru, La Cabotte")</f>
        <v>Bouchard Pere et Fils, Chevalier-Montrachet Grand Cru, La Cabotte</v>
      </c>
      <c r="E1247" s="9">
        <f>IFERROR(__xludf.DUMMYFUNCTION("""COMPUTED_VALUE"""),2016.0)</f>
        <v>2016</v>
      </c>
      <c r="F1247" s="9">
        <f>IFERROR(__xludf.DUMMYFUNCTION("""COMPUTED_VALUE"""),1500.0)</f>
        <v>1500</v>
      </c>
      <c r="G1247" s="9">
        <f>IFERROR(__xludf.DUMMYFUNCTION("""COMPUTED_VALUE"""),1.0)</f>
        <v>1</v>
      </c>
      <c r="H1247" s="10">
        <f>IFERROR(__xludf.DUMMYFUNCTION("""COMPUTED_VALUE"""),1.0)</f>
        <v>1</v>
      </c>
      <c r="I1247" s="11">
        <f>IFERROR(__xludf.DUMMYFUNCTION("""COMPUTED_VALUE"""),909.0)</f>
        <v>909</v>
      </c>
      <c r="J1247" s="9" t="str">
        <f>IFERROR(__xludf.DUMMYFUNCTION("""COMPUTED_VALUE"""),"UK")</f>
        <v>UK</v>
      </c>
      <c r="K1247" s="8"/>
      <c r="L1247" s="12"/>
      <c r="M1247" s="13"/>
      <c r="N1247" s="13" t="str">
        <f>IFERROR(__xludf.DUMMYFUNCTION("IF(ISBLANK(M1247),"""",M1247*GOOGLEFINANCE(""USDGBP""))"),"")</f>
        <v/>
      </c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</row>
    <row r="1248">
      <c r="A1248" s="8" t="str">
        <f>IFERROR(__xludf.DUMMYFUNCTION("""COMPUTED_VALUE"""),"106198120170600750")</f>
        <v>106198120170600750</v>
      </c>
      <c r="B1248" s="9" t="str">
        <f>IFERROR(__xludf.DUMMYFUNCTION("""COMPUTED_VALUE"""),"France")</f>
        <v>France</v>
      </c>
      <c r="C1248" s="9" t="str">
        <f>IFERROR(__xludf.DUMMYFUNCTION("""COMPUTED_VALUE"""),"burgundy")</f>
        <v>burgundy</v>
      </c>
      <c r="D1248" s="9" t="str">
        <f>IFERROR(__xludf.DUMMYFUNCTION("""COMPUTED_VALUE"""),"Bouchard Pere et Fils, Chevalier-Montrachet Grand Cru, La Cabotte")</f>
        <v>Bouchard Pere et Fils, Chevalier-Montrachet Grand Cru, La Cabotte</v>
      </c>
      <c r="E1248" s="9">
        <f>IFERROR(__xludf.DUMMYFUNCTION("""COMPUTED_VALUE"""),2017.0)</f>
        <v>2017</v>
      </c>
      <c r="F1248" s="9">
        <f>IFERROR(__xludf.DUMMYFUNCTION("""COMPUTED_VALUE"""),750.0)</f>
        <v>750</v>
      </c>
      <c r="G1248" s="9">
        <f>IFERROR(__xludf.DUMMYFUNCTION("""COMPUTED_VALUE"""),6.0)</f>
        <v>6</v>
      </c>
      <c r="H1248" s="10">
        <f>IFERROR(__xludf.DUMMYFUNCTION("""COMPUTED_VALUE"""),1.0)</f>
        <v>1</v>
      </c>
      <c r="I1248" s="11">
        <f>IFERROR(__xludf.DUMMYFUNCTION("""COMPUTED_VALUE"""),3556.0)</f>
        <v>3556</v>
      </c>
      <c r="J1248" s="9" t="str">
        <f>IFERROR(__xludf.DUMMYFUNCTION("""COMPUTED_VALUE"""),"UK")</f>
        <v>UK</v>
      </c>
      <c r="K1248" s="8"/>
      <c r="L1248" s="12"/>
      <c r="M1248" s="13"/>
      <c r="N1248" s="13" t="str">
        <f>IFERROR(__xludf.DUMMYFUNCTION("IF(ISBLANK(M1248),"""",M1248*GOOGLEFINANCE(""USDGBP""))"),"")</f>
        <v/>
      </c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</row>
    <row r="1249">
      <c r="A1249" s="8" t="str">
        <f>IFERROR(__xludf.DUMMYFUNCTION("""COMPUTED_VALUE"""),"106199420160600750")</f>
        <v>106199420160600750</v>
      </c>
      <c r="B1249" s="9" t="str">
        <f>IFERROR(__xludf.DUMMYFUNCTION("""COMPUTED_VALUE"""),"France")</f>
        <v>France</v>
      </c>
      <c r="C1249" s="9" t="str">
        <f>IFERROR(__xludf.DUMMYFUNCTION("""COMPUTED_VALUE"""),"burgundy")</f>
        <v>burgundy</v>
      </c>
      <c r="D1249" s="9" t="str">
        <f>IFERROR(__xludf.DUMMYFUNCTION("""COMPUTED_VALUE"""),"Bouchard Pere et Fils, Corton-Charlemagne Grand Cru")</f>
        <v>Bouchard Pere et Fils, Corton-Charlemagne Grand Cru</v>
      </c>
      <c r="E1249" s="9">
        <f>IFERROR(__xludf.DUMMYFUNCTION("""COMPUTED_VALUE"""),2016.0)</f>
        <v>2016</v>
      </c>
      <c r="F1249" s="9">
        <f>IFERROR(__xludf.DUMMYFUNCTION("""COMPUTED_VALUE"""),750.0)</f>
        <v>750</v>
      </c>
      <c r="G1249" s="9">
        <f>IFERROR(__xludf.DUMMYFUNCTION("""COMPUTED_VALUE"""),6.0)</f>
        <v>6</v>
      </c>
      <c r="H1249" s="10">
        <f>IFERROR(__xludf.DUMMYFUNCTION("""COMPUTED_VALUE"""),1.0)</f>
        <v>1</v>
      </c>
      <c r="I1249" s="11">
        <f>IFERROR(__xludf.DUMMYFUNCTION("""COMPUTED_VALUE"""),980.0)</f>
        <v>980</v>
      </c>
      <c r="J1249" s="9" t="str">
        <f>IFERROR(__xludf.DUMMYFUNCTION("""COMPUTED_VALUE"""),"UK")</f>
        <v>UK</v>
      </c>
      <c r="K1249" s="8"/>
      <c r="L1249" s="12"/>
      <c r="M1249" s="13"/>
      <c r="N1249" s="13" t="str">
        <f>IFERROR(__xludf.DUMMYFUNCTION("IF(ISBLANK(M1249),"""",M1249*GOOGLEFINANCE(""USDGBP""))"),"")</f>
        <v/>
      </c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</row>
    <row r="1250">
      <c r="A1250" s="8" t="str">
        <f>IFERROR(__xludf.DUMMYFUNCTION("""COMPUTED_VALUE"""),"106199420180600750")</f>
        <v>106199420180600750</v>
      </c>
      <c r="B1250" s="9" t="str">
        <f>IFERROR(__xludf.DUMMYFUNCTION("""COMPUTED_VALUE"""),"France")</f>
        <v>France</v>
      </c>
      <c r="C1250" s="9" t="str">
        <f>IFERROR(__xludf.DUMMYFUNCTION("""COMPUTED_VALUE"""),"burgundy")</f>
        <v>burgundy</v>
      </c>
      <c r="D1250" s="9" t="str">
        <f>IFERROR(__xludf.DUMMYFUNCTION("""COMPUTED_VALUE"""),"Bouchard Pere et Fils, Corton-Charlemagne Grand Cru")</f>
        <v>Bouchard Pere et Fils, Corton-Charlemagne Grand Cru</v>
      </c>
      <c r="E1250" s="9">
        <f>IFERROR(__xludf.DUMMYFUNCTION("""COMPUTED_VALUE"""),2018.0)</f>
        <v>2018</v>
      </c>
      <c r="F1250" s="9">
        <f>IFERROR(__xludf.DUMMYFUNCTION("""COMPUTED_VALUE"""),750.0)</f>
        <v>750</v>
      </c>
      <c r="G1250" s="9">
        <f>IFERROR(__xludf.DUMMYFUNCTION("""COMPUTED_VALUE"""),6.0)</f>
        <v>6</v>
      </c>
      <c r="H1250" s="10">
        <f>IFERROR(__xludf.DUMMYFUNCTION("""COMPUTED_VALUE"""),3.0)</f>
        <v>3</v>
      </c>
      <c r="I1250" s="11">
        <f>IFERROR(__xludf.DUMMYFUNCTION("""COMPUTED_VALUE"""),814.0)</f>
        <v>814</v>
      </c>
      <c r="J1250" s="9" t="str">
        <f>IFERROR(__xludf.DUMMYFUNCTION("""COMPUTED_VALUE"""),"UK")</f>
        <v>UK</v>
      </c>
      <c r="K1250" s="8"/>
      <c r="L1250" s="12"/>
      <c r="M1250" s="13"/>
      <c r="N1250" s="13" t="str">
        <f>IFERROR(__xludf.DUMMYFUNCTION("IF(ISBLANK(M1250),"""",M1250*GOOGLEFINANCE(""USDGBP""))"),"")</f>
        <v/>
      </c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</row>
    <row r="1251">
      <c r="A1251" s="8" t="str">
        <f>IFERROR(__xludf.DUMMYFUNCTION("""COMPUTED_VALUE"""),"106209220190600750")</f>
        <v>106209220190600750</v>
      </c>
      <c r="B1251" s="9" t="str">
        <f>IFERROR(__xludf.DUMMYFUNCTION("""COMPUTED_VALUE"""),"France")</f>
        <v>France</v>
      </c>
      <c r="C1251" s="9" t="str">
        <f>IFERROR(__xludf.DUMMYFUNCTION("""COMPUTED_VALUE"""),"burgundy")</f>
        <v>burgundy</v>
      </c>
      <c r="D1251" s="9" t="str">
        <f>IFERROR(__xludf.DUMMYFUNCTION("""COMPUTED_VALUE"""),"Bouchard Pere et Fils, Meursault Premier Cru, Genevrieres")</f>
        <v>Bouchard Pere et Fils, Meursault Premier Cru, Genevrieres</v>
      </c>
      <c r="E1251" s="9">
        <f>IFERROR(__xludf.DUMMYFUNCTION("""COMPUTED_VALUE"""),2019.0)</f>
        <v>2019</v>
      </c>
      <c r="F1251" s="9">
        <f>IFERROR(__xludf.DUMMYFUNCTION("""COMPUTED_VALUE"""),750.0)</f>
        <v>750</v>
      </c>
      <c r="G1251" s="9">
        <f>IFERROR(__xludf.DUMMYFUNCTION("""COMPUTED_VALUE"""),6.0)</f>
        <v>6</v>
      </c>
      <c r="H1251" s="10">
        <f>IFERROR(__xludf.DUMMYFUNCTION("""COMPUTED_VALUE"""),3.0)</f>
        <v>3</v>
      </c>
      <c r="I1251" s="11">
        <f>IFERROR(__xludf.DUMMYFUNCTION("""COMPUTED_VALUE"""),485.0)</f>
        <v>485</v>
      </c>
      <c r="J1251" s="9" t="str">
        <f>IFERROR(__xludf.DUMMYFUNCTION("""COMPUTED_VALUE"""),"UK")</f>
        <v>UK</v>
      </c>
      <c r="K1251" s="8"/>
      <c r="L1251" s="12"/>
      <c r="M1251" s="13"/>
      <c r="N1251" s="13" t="str">
        <f>IFERROR(__xludf.DUMMYFUNCTION("IF(ISBLANK(M1251),"""",M1251*GOOGLEFINANCE(""USDGBP""))"),"")</f>
        <v/>
      </c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</row>
    <row r="1252">
      <c r="A1252" s="8" t="str">
        <f>IFERROR(__xludf.DUMMYFUNCTION("""COMPUTED_VALUE"""),"106213520180300750")</f>
        <v>106213520180300750</v>
      </c>
      <c r="B1252" s="9" t="str">
        <f>IFERROR(__xludf.DUMMYFUNCTION("""COMPUTED_VALUE"""),"France")</f>
        <v>France</v>
      </c>
      <c r="C1252" s="9" t="str">
        <f>IFERROR(__xludf.DUMMYFUNCTION("""COMPUTED_VALUE"""),"burgundy")</f>
        <v>burgundy</v>
      </c>
      <c r="D1252" s="9" t="str">
        <f>IFERROR(__xludf.DUMMYFUNCTION("""COMPUTED_VALUE"""),"Bouchard Pere et Fils, Montrachet Grand Cru")</f>
        <v>Bouchard Pere et Fils, Montrachet Grand Cru</v>
      </c>
      <c r="E1252" s="9">
        <f>IFERROR(__xludf.DUMMYFUNCTION("""COMPUTED_VALUE"""),2018.0)</f>
        <v>2018</v>
      </c>
      <c r="F1252" s="9">
        <f>IFERROR(__xludf.DUMMYFUNCTION("""COMPUTED_VALUE"""),750.0)</f>
        <v>750</v>
      </c>
      <c r="G1252" s="9">
        <f>IFERROR(__xludf.DUMMYFUNCTION("""COMPUTED_VALUE"""),3.0)</f>
        <v>3</v>
      </c>
      <c r="H1252" s="10">
        <f>IFERROR(__xludf.DUMMYFUNCTION("""COMPUTED_VALUE"""),1.0)</f>
        <v>1</v>
      </c>
      <c r="I1252" s="11">
        <f>IFERROR(__xludf.DUMMYFUNCTION("""COMPUTED_VALUE"""),1690.0)</f>
        <v>1690</v>
      </c>
      <c r="J1252" s="9" t="str">
        <f>IFERROR(__xludf.DUMMYFUNCTION("""COMPUTED_VALUE"""),"UK")</f>
        <v>UK</v>
      </c>
      <c r="K1252" s="8"/>
      <c r="L1252" s="12"/>
      <c r="M1252" s="13"/>
      <c r="N1252" s="13" t="str">
        <f>IFERROR(__xludf.DUMMYFUNCTION("IF(ISBLANK(M1252),"""",M1252*GOOGLEFINANCE(""USDGBP""))"),"")</f>
        <v/>
      </c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</row>
    <row r="1253">
      <c r="A1253" s="8" t="str">
        <f>IFERROR(__xludf.DUMMYFUNCTION("""COMPUTED_VALUE"""),"106213520190600750")</f>
        <v>106213520190600750</v>
      </c>
      <c r="B1253" s="9" t="str">
        <f>IFERROR(__xludf.DUMMYFUNCTION("""COMPUTED_VALUE"""),"France")</f>
        <v>France</v>
      </c>
      <c r="C1253" s="9" t="str">
        <f>IFERROR(__xludf.DUMMYFUNCTION("""COMPUTED_VALUE"""),"burgundy")</f>
        <v>burgundy</v>
      </c>
      <c r="D1253" s="9" t="str">
        <f>IFERROR(__xludf.DUMMYFUNCTION("""COMPUTED_VALUE"""),"Bouchard Pere et Fils, Montrachet Grand Cru")</f>
        <v>Bouchard Pere et Fils, Montrachet Grand Cru</v>
      </c>
      <c r="E1253" s="9">
        <f>IFERROR(__xludf.DUMMYFUNCTION("""COMPUTED_VALUE"""),2019.0)</f>
        <v>2019</v>
      </c>
      <c r="F1253" s="9">
        <f>IFERROR(__xludf.DUMMYFUNCTION("""COMPUTED_VALUE"""),750.0)</f>
        <v>750</v>
      </c>
      <c r="G1253" s="9">
        <f>IFERROR(__xludf.DUMMYFUNCTION("""COMPUTED_VALUE"""),6.0)</f>
        <v>6</v>
      </c>
      <c r="H1253" s="10">
        <f>IFERROR(__xludf.DUMMYFUNCTION("""COMPUTED_VALUE"""),2.0)</f>
        <v>2</v>
      </c>
      <c r="I1253" s="11">
        <f>IFERROR(__xludf.DUMMYFUNCTION("""COMPUTED_VALUE"""),3873.0)</f>
        <v>3873</v>
      </c>
      <c r="J1253" s="9" t="str">
        <f>IFERROR(__xludf.DUMMYFUNCTION("""COMPUTED_VALUE"""),"UK")</f>
        <v>UK</v>
      </c>
      <c r="K1253" s="8"/>
      <c r="L1253" s="12"/>
      <c r="M1253" s="13"/>
      <c r="N1253" s="13" t="str">
        <f>IFERROR(__xludf.DUMMYFUNCTION("IF(ISBLANK(M1253),"""",M1253*GOOGLEFINANCE(""USDGBP""))"),"")</f>
        <v/>
      </c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</row>
    <row r="1254">
      <c r="A1254" s="8" t="str">
        <f>IFERROR(__xludf.DUMMYFUNCTION("""COMPUTED_VALUE"""),"119864320200600750")</f>
        <v>119864320200600750</v>
      </c>
      <c r="B1254" s="9" t="str">
        <f>IFERROR(__xludf.DUMMYFUNCTION("""COMPUTED_VALUE"""),"France")</f>
        <v>France</v>
      </c>
      <c r="C1254" s="9" t="str">
        <f>IFERROR(__xludf.DUMMYFUNCTION("""COMPUTED_VALUE"""),"burgundy")</f>
        <v>burgundy</v>
      </c>
      <c r="D1254" s="9" t="str">
        <f>IFERROR(__xludf.DUMMYFUNCTION("""COMPUTED_VALUE"""),"Bruno Colin, Chassagne-Montrachet Premier Cru, En Remilly")</f>
        <v>Bruno Colin, Chassagne-Montrachet Premier Cru, En Remilly</v>
      </c>
      <c r="E1254" s="9">
        <f>IFERROR(__xludf.DUMMYFUNCTION("""COMPUTED_VALUE"""),2020.0)</f>
        <v>2020</v>
      </c>
      <c r="F1254" s="9">
        <f>IFERROR(__xludf.DUMMYFUNCTION("""COMPUTED_VALUE"""),750.0)</f>
        <v>750</v>
      </c>
      <c r="G1254" s="9">
        <f>IFERROR(__xludf.DUMMYFUNCTION("""COMPUTED_VALUE"""),6.0)</f>
        <v>6</v>
      </c>
      <c r="H1254" s="10">
        <f>IFERROR(__xludf.DUMMYFUNCTION("""COMPUTED_VALUE"""),1.0)</f>
        <v>1</v>
      </c>
      <c r="I1254" s="11">
        <f>IFERROR(__xludf.DUMMYFUNCTION("""COMPUTED_VALUE"""),462.0)</f>
        <v>462</v>
      </c>
      <c r="J1254" s="9" t="str">
        <f>IFERROR(__xludf.DUMMYFUNCTION("""COMPUTED_VALUE"""),"UK")</f>
        <v>UK</v>
      </c>
      <c r="K1254" s="8"/>
      <c r="L1254" s="12"/>
      <c r="M1254" s="13"/>
      <c r="N1254" s="13" t="str">
        <f>IFERROR(__xludf.DUMMYFUNCTION("IF(ISBLANK(M1254),"""",M1254*GOOGLEFINANCE(""USDGBP""))"),"")</f>
        <v/>
      </c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</row>
    <row r="1255">
      <c r="A1255" s="8" t="str">
        <f>IFERROR(__xludf.DUMMYFUNCTION("""COMPUTED_VALUE"""),"131529920180600750")</f>
        <v>131529920180600750</v>
      </c>
      <c r="B1255" s="9" t="str">
        <f>IFERROR(__xludf.DUMMYFUNCTION("""COMPUTED_VALUE"""),"France")</f>
        <v>France</v>
      </c>
      <c r="C1255" s="9" t="str">
        <f>IFERROR(__xludf.DUMMYFUNCTION("""COMPUTED_VALUE"""),"burgundy")</f>
        <v>burgundy</v>
      </c>
      <c r="D1255" s="9" t="str">
        <f>IFERROR(__xludf.DUMMYFUNCTION("""COMPUTED_VALUE"""),"Bruno Colin, Chassagne-Montrachet Premier Cru, La Maltroie Blanc")</f>
        <v>Bruno Colin, Chassagne-Montrachet Premier Cru, La Maltroie Blanc</v>
      </c>
      <c r="E1255" s="9">
        <f>IFERROR(__xludf.DUMMYFUNCTION("""COMPUTED_VALUE"""),2018.0)</f>
        <v>2018</v>
      </c>
      <c r="F1255" s="9">
        <f>IFERROR(__xludf.DUMMYFUNCTION("""COMPUTED_VALUE"""),750.0)</f>
        <v>750</v>
      </c>
      <c r="G1255" s="9">
        <f>IFERROR(__xludf.DUMMYFUNCTION("""COMPUTED_VALUE"""),6.0)</f>
        <v>6</v>
      </c>
      <c r="H1255" s="10">
        <f>IFERROR(__xludf.DUMMYFUNCTION("""COMPUTED_VALUE"""),5.0)</f>
        <v>5</v>
      </c>
      <c r="I1255" s="11">
        <f>IFERROR(__xludf.DUMMYFUNCTION("""COMPUTED_VALUE"""),577.0)</f>
        <v>577</v>
      </c>
      <c r="J1255" s="9" t="str">
        <f>IFERROR(__xludf.DUMMYFUNCTION("""COMPUTED_VALUE"""),"UK")</f>
        <v>UK</v>
      </c>
      <c r="K1255" s="8"/>
      <c r="L1255" s="12"/>
      <c r="M1255" s="13"/>
      <c r="N1255" s="13" t="str">
        <f>IFERROR(__xludf.DUMMYFUNCTION("IF(ISBLANK(M1255),"""",M1255*GOOGLEFINANCE(""USDGBP""))"),"")</f>
        <v/>
      </c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</row>
    <row r="1256">
      <c r="A1256" s="8" t="str">
        <f>IFERROR(__xludf.DUMMYFUNCTION("""COMPUTED_VALUE"""),"118521420180600750")</f>
        <v>118521420180600750</v>
      </c>
      <c r="B1256" s="9" t="str">
        <f>IFERROR(__xludf.DUMMYFUNCTION("""COMPUTED_VALUE"""),"France")</f>
        <v>France</v>
      </c>
      <c r="C1256" s="9" t="str">
        <f>IFERROR(__xludf.DUMMYFUNCTION("""COMPUTED_VALUE"""),"burgundy")</f>
        <v>burgundy</v>
      </c>
      <c r="D1256" s="9" t="str">
        <f>IFERROR(__xludf.DUMMYFUNCTION("""COMPUTED_VALUE"""),"Bruno Colin, Chassagne-Montrachet Premier Cru, Les Chenevottes")</f>
        <v>Bruno Colin, Chassagne-Montrachet Premier Cru, Les Chenevottes</v>
      </c>
      <c r="E1256" s="9">
        <f>IFERROR(__xludf.DUMMYFUNCTION("""COMPUTED_VALUE"""),2018.0)</f>
        <v>2018</v>
      </c>
      <c r="F1256" s="9">
        <f>IFERROR(__xludf.DUMMYFUNCTION("""COMPUTED_VALUE"""),750.0)</f>
        <v>750</v>
      </c>
      <c r="G1256" s="9">
        <f>IFERROR(__xludf.DUMMYFUNCTION("""COMPUTED_VALUE"""),6.0)</f>
        <v>6</v>
      </c>
      <c r="H1256" s="10">
        <f>IFERROR(__xludf.DUMMYFUNCTION("""COMPUTED_VALUE"""),1.0)</f>
        <v>1</v>
      </c>
      <c r="I1256" s="11">
        <f>IFERROR(__xludf.DUMMYFUNCTION("""COMPUTED_VALUE"""),781.0)</f>
        <v>781</v>
      </c>
      <c r="J1256" s="9" t="str">
        <f>IFERROR(__xludf.DUMMYFUNCTION("""COMPUTED_VALUE"""),"UK")</f>
        <v>UK</v>
      </c>
      <c r="K1256" s="8"/>
      <c r="L1256" s="12"/>
      <c r="M1256" s="13"/>
      <c r="N1256" s="13" t="str">
        <f>IFERROR(__xludf.DUMMYFUNCTION("IF(ISBLANK(M1256),"""",M1256*GOOGLEFINANCE(""USDGBP""))"),"")</f>
        <v/>
      </c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</row>
    <row r="1257">
      <c r="A1257" s="8" t="str">
        <f>IFERROR(__xludf.DUMMYFUNCTION("""COMPUTED_VALUE"""),"120195820180600750")</f>
        <v>120195820180600750</v>
      </c>
      <c r="B1257" s="9" t="str">
        <f>IFERROR(__xludf.DUMMYFUNCTION("""COMPUTED_VALUE"""),"France")</f>
        <v>France</v>
      </c>
      <c r="C1257" s="9" t="str">
        <f>IFERROR(__xludf.DUMMYFUNCTION("""COMPUTED_VALUE"""),"burgundy")</f>
        <v>burgundy</v>
      </c>
      <c r="D1257" s="9" t="str">
        <f>IFERROR(__xludf.DUMMYFUNCTION("""COMPUTED_VALUE"""),"Bruno Colin, Chassagne-Montrachet Premier Cru, Les Vergers")</f>
        <v>Bruno Colin, Chassagne-Montrachet Premier Cru, Les Vergers</v>
      </c>
      <c r="E1257" s="9">
        <f>IFERROR(__xludf.DUMMYFUNCTION("""COMPUTED_VALUE"""),2018.0)</f>
        <v>2018</v>
      </c>
      <c r="F1257" s="9">
        <f>IFERROR(__xludf.DUMMYFUNCTION("""COMPUTED_VALUE"""),750.0)</f>
        <v>750</v>
      </c>
      <c r="G1257" s="9">
        <f>IFERROR(__xludf.DUMMYFUNCTION("""COMPUTED_VALUE"""),6.0)</f>
        <v>6</v>
      </c>
      <c r="H1257" s="10">
        <f>IFERROR(__xludf.DUMMYFUNCTION("""COMPUTED_VALUE"""),1.0)</f>
        <v>1</v>
      </c>
      <c r="I1257" s="11">
        <f>IFERROR(__xludf.DUMMYFUNCTION("""COMPUTED_VALUE"""),551.0)</f>
        <v>551</v>
      </c>
      <c r="J1257" s="9" t="str">
        <f>IFERROR(__xludf.DUMMYFUNCTION("""COMPUTED_VALUE"""),"UK")</f>
        <v>UK</v>
      </c>
      <c r="K1257" s="8"/>
      <c r="L1257" s="12"/>
      <c r="M1257" s="13"/>
      <c r="N1257" s="13" t="str">
        <f>IFERROR(__xludf.DUMMYFUNCTION("IF(ISBLANK(M1257),"""",M1257*GOOGLEFINANCE(""USDGBP""))"),"")</f>
        <v/>
      </c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</row>
    <row r="1258">
      <c r="A1258" s="8" t="str">
        <f>IFERROR(__xludf.DUMMYFUNCTION("""COMPUTED_VALUE"""),"117068920181200750")</f>
        <v>117068920181200750</v>
      </c>
      <c r="B1258" s="9" t="str">
        <f>IFERROR(__xludf.DUMMYFUNCTION("""COMPUTED_VALUE"""),"France")</f>
        <v>France</v>
      </c>
      <c r="C1258" s="9" t="str">
        <f>IFERROR(__xludf.DUMMYFUNCTION("""COMPUTED_VALUE"""),"burgundy")</f>
        <v>burgundy</v>
      </c>
      <c r="D1258" s="9" t="str">
        <f>IFERROR(__xludf.DUMMYFUNCTION("""COMPUTED_VALUE"""),"Bruno Colin, Chassagne-Montrachet, Blanc")</f>
        <v>Bruno Colin, Chassagne-Montrachet, Blanc</v>
      </c>
      <c r="E1258" s="9">
        <f>IFERROR(__xludf.DUMMYFUNCTION("""COMPUTED_VALUE"""),2018.0)</f>
        <v>2018</v>
      </c>
      <c r="F1258" s="9">
        <f>IFERROR(__xludf.DUMMYFUNCTION("""COMPUTED_VALUE"""),750.0)</f>
        <v>750</v>
      </c>
      <c r="G1258" s="9">
        <f>IFERROR(__xludf.DUMMYFUNCTION("""COMPUTED_VALUE"""),12.0)</f>
        <v>12</v>
      </c>
      <c r="H1258" s="10">
        <f>IFERROR(__xludf.DUMMYFUNCTION("""COMPUTED_VALUE"""),4.0)</f>
        <v>4</v>
      </c>
      <c r="I1258" s="11">
        <f>IFERROR(__xludf.DUMMYFUNCTION("""COMPUTED_VALUE"""),1075.0)</f>
        <v>1075</v>
      </c>
      <c r="J1258" s="9" t="str">
        <f>IFERROR(__xludf.DUMMYFUNCTION("""COMPUTED_VALUE"""),"UK")</f>
        <v>UK</v>
      </c>
      <c r="K1258" s="8"/>
      <c r="L1258" s="12"/>
      <c r="M1258" s="13"/>
      <c r="N1258" s="13" t="str">
        <f>IFERROR(__xludf.DUMMYFUNCTION("IF(ISBLANK(M1258),"""",M1258*GOOGLEFINANCE(""USDGBP""))"),"")</f>
        <v/>
      </c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</row>
    <row r="1259">
      <c r="A1259" s="8" t="str">
        <f>IFERROR(__xludf.DUMMYFUNCTION("""COMPUTED_VALUE"""),"122115020180600750")</f>
        <v>122115020180600750</v>
      </c>
      <c r="B1259" s="9" t="str">
        <f>IFERROR(__xludf.DUMMYFUNCTION("""COMPUTED_VALUE"""),"France")</f>
        <v>France</v>
      </c>
      <c r="C1259" s="9" t="str">
        <f>IFERROR(__xludf.DUMMYFUNCTION("""COMPUTED_VALUE"""),"burgundy")</f>
        <v>burgundy</v>
      </c>
      <c r="D1259" s="9" t="str">
        <f>IFERROR(__xludf.DUMMYFUNCTION("""COMPUTED_VALUE"""),"Bruno Colin, Puligny-Montrachet Premier Cru, La Truffiere")</f>
        <v>Bruno Colin, Puligny-Montrachet Premier Cru, La Truffiere</v>
      </c>
      <c r="E1259" s="9">
        <f>IFERROR(__xludf.DUMMYFUNCTION("""COMPUTED_VALUE"""),2018.0)</f>
        <v>2018</v>
      </c>
      <c r="F1259" s="9">
        <f>IFERROR(__xludf.DUMMYFUNCTION("""COMPUTED_VALUE"""),750.0)</f>
        <v>750</v>
      </c>
      <c r="G1259" s="9">
        <f>IFERROR(__xludf.DUMMYFUNCTION("""COMPUTED_VALUE"""),6.0)</f>
        <v>6</v>
      </c>
      <c r="H1259" s="10">
        <f>IFERROR(__xludf.DUMMYFUNCTION("""COMPUTED_VALUE"""),1.0)</f>
        <v>1</v>
      </c>
      <c r="I1259" s="11">
        <f>IFERROR(__xludf.DUMMYFUNCTION("""COMPUTED_VALUE"""),1192.0)</f>
        <v>1192</v>
      </c>
      <c r="J1259" s="9" t="str">
        <f>IFERROR(__xludf.DUMMYFUNCTION("""COMPUTED_VALUE"""),"UK")</f>
        <v>UK</v>
      </c>
      <c r="K1259" s="8"/>
      <c r="L1259" s="12"/>
      <c r="M1259" s="13"/>
      <c r="N1259" s="13" t="str">
        <f>IFERROR(__xludf.DUMMYFUNCTION("IF(ISBLANK(M1259),"""",M1259*GOOGLEFINANCE(""USDGBP""))"),"")</f>
        <v/>
      </c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</row>
    <row r="1260">
      <c r="A1260" s="8" t="str">
        <f>IFERROR(__xludf.DUMMYFUNCTION("""COMPUTED_VALUE"""),"126968020181200750")</f>
        <v>126968020181200750</v>
      </c>
      <c r="B1260" s="9" t="str">
        <f>IFERROR(__xludf.DUMMYFUNCTION("""COMPUTED_VALUE"""),"France")</f>
        <v>France</v>
      </c>
      <c r="C1260" s="9" t="str">
        <f>IFERROR(__xludf.DUMMYFUNCTION("""COMPUTED_VALUE"""),"burgundy")</f>
        <v>burgundy</v>
      </c>
      <c r="D1260" s="9" t="str">
        <f>IFERROR(__xludf.DUMMYFUNCTION("""COMPUTED_VALUE"""),"Bruno Colin, Saint-Aubin Premier Cru, Le Charmois")</f>
        <v>Bruno Colin, Saint-Aubin Premier Cru, Le Charmois</v>
      </c>
      <c r="E1260" s="9">
        <f>IFERROR(__xludf.DUMMYFUNCTION("""COMPUTED_VALUE"""),2018.0)</f>
        <v>2018</v>
      </c>
      <c r="F1260" s="9">
        <f>IFERROR(__xludf.DUMMYFUNCTION("""COMPUTED_VALUE"""),750.0)</f>
        <v>750</v>
      </c>
      <c r="G1260" s="9">
        <f>IFERROR(__xludf.DUMMYFUNCTION("""COMPUTED_VALUE"""),12.0)</f>
        <v>12</v>
      </c>
      <c r="H1260" s="10">
        <f>IFERROR(__xludf.DUMMYFUNCTION("""COMPUTED_VALUE"""),1.0)</f>
        <v>1</v>
      </c>
      <c r="I1260" s="11">
        <f>IFERROR(__xludf.DUMMYFUNCTION("""COMPUTED_VALUE"""),519.0)</f>
        <v>519</v>
      </c>
      <c r="J1260" s="9" t="str">
        <f>IFERROR(__xludf.DUMMYFUNCTION("""COMPUTED_VALUE"""),"UK")</f>
        <v>UK</v>
      </c>
      <c r="K1260" s="8"/>
      <c r="L1260" s="12"/>
      <c r="M1260" s="13"/>
      <c r="N1260" s="13" t="str">
        <f>IFERROR(__xludf.DUMMYFUNCTION("IF(ISBLANK(M1260),"""",M1260*GOOGLEFINANCE(""USDGBP""))"),"")</f>
        <v/>
      </c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</row>
    <row r="1261">
      <c r="A1261" s="8" t="str">
        <f>IFERROR(__xludf.DUMMYFUNCTION("""COMPUTED_VALUE"""),"187641920181200750")</f>
        <v>187641920181200750</v>
      </c>
      <c r="B1261" s="9" t="str">
        <f>IFERROR(__xludf.DUMMYFUNCTION("""COMPUTED_VALUE"""),"France")</f>
        <v>France</v>
      </c>
      <c r="C1261" s="9" t="str">
        <f>IFERROR(__xludf.DUMMYFUNCTION("""COMPUTED_VALUE"""),"burgundy")</f>
        <v>burgundy</v>
      </c>
      <c r="D1261" s="9" t="str">
        <f>IFERROR(__xludf.DUMMYFUNCTION("""COMPUTED_VALUE"""),"Bruno Colin, Santenay Premier Cru, Beauregard")</f>
        <v>Bruno Colin, Santenay Premier Cru, Beauregard</v>
      </c>
      <c r="E1261" s="9">
        <f>IFERROR(__xludf.DUMMYFUNCTION("""COMPUTED_VALUE"""),2018.0)</f>
        <v>2018</v>
      </c>
      <c r="F1261" s="9">
        <f>IFERROR(__xludf.DUMMYFUNCTION("""COMPUTED_VALUE"""),750.0)</f>
        <v>750</v>
      </c>
      <c r="G1261" s="9">
        <f>IFERROR(__xludf.DUMMYFUNCTION("""COMPUTED_VALUE"""),12.0)</f>
        <v>12</v>
      </c>
      <c r="H1261" s="10">
        <f>IFERROR(__xludf.DUMMYFUNCTION("""COMPUTED_VALUE"""),3.0)</f>
        <v>3</v>
      </c>
      <c r="I1261" s="11">
        <f>IFERROR(__xludf.DUMMYFUNCTION("""COMPUTED_VALUE"""),352.0)</f>
        <v>352</v>
      </c>
      <c r="J1261" s="9" t="str">
        <f>IFERROR(__xludf.DUMMYFUNCTION("""COMPUTED_VALUE"""),"UK")</f>
        <v>UK</v>
      </c>
      <c r="K1261" s="8"/>
      <c r="L1261" s="12"/>
      <c r="M1261" s="13"/>
      <c r="N1261" s="13" t="str">
        <f>IFERROR(__xludf.DUMMYFUNCTION("IF(ISBLANK(M1261),"""",M1261*GOOGLEFINANCE(""USDGBP""))"),"")</f>
        <v/>
      </c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</row>
    <row r="1262">
      <c r="A1262" s="8" t="str">
        <f>IFERROR(__xludf.DUMMYFUNCTION("""COMPUTED_VALUE"""),"115872820181200750")</f>
        <v>115872820181200750</v>
      </c>
      <c r="B1262" s="9" t="str">
        <f>IFERROR(__xludf.DUMMYFUNCTION("""COMPUTED_VALUE"""),"France")</f>
        <v>France</v>
      </c>
      <c r="C1262" s="9" t="str">
        <f>IFERROR(__xludf.DUMMYFUNCTION("""COMPUTED_VALUE"""),"burgundy")</f>
        <v>burgundy</v>
      </c>
      <c r="D1262" s="9" t="str">
        <f>IFERROR(__xludf.DUMMYFUNCTION("""COMPUTED_VALUE"""),"Chateau Fuisse, Pouilly-Fuisse, Les Brules")</f>
        <v>Chateau Fuisse, Pouilly-Fuisse, Les Brules</v>
      </c>
      <c r="E1262" s="9">
        <f>IFERROR(__xludf.DUMMYFUNCTION("""COMPUTED_VALUE"""),2018.0)</f>
        <v>2018</v>
      </c>
      <c r="F1262" s="9">
        <f>IFERROR(__xludf.DUMMYFUNCTION("""COMPUTED_VALUE"""),750.0)</f>
        <v>750</v>
      </c>
      <c r="G1262" s="9">
        <f>IFERROR(__xludf.DUMMYFUNCTION("""COMPUTED_VALUE"""),12.0)</f>
        <v>12</v>
      </c>
      <c r="H1262" s="10">
        <f>IFERROR(__xludf.DUMMYFUNCTION("""COMPUTED_VALUE"""),1.0)</f>
        <v>1</v>
      </c>
      <c r="I1262" s="11">
        <f>IFERROR(__xludf.DUMMYFUNCTION("""COMPUTED_VALUE"""),395.0)</f>
        <v>395</v>
      </c>
      <c r="J1262" s="9" t="str">
        <f>IFERROR(__xludf.DUMMYFUNCTION("""COMPUTED_VALUE"""),"UK")</f>
        <v>UK</v>
      </c>
      <c r="K1262" s="8"/>
      <c r="L1262" s="12"/>
      <c r="M1262" s="13"/>
      <c r="N1262" s="13" t="str">
        <f>IFERROR(__xludf.DUMMYFUNCTION("IF(ISBLANK(M1262),"""",M1262*GOOGLEFINANCE(""USDGBP""))"),"")</f>
        <v/>
      </c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</row>
    <row r="1263">
      <c r="A1263" s="8" t="str">
        <f>IFERROR(__xludf.DUMMYFUNCTION("""COMPUTED_VALUE"""),"107498720181200750")</f>
        <v>107498720181200750</v>
      </c>
      <c r="B1263" s="9" t="str">
        <f>IFERROR(__xludf.DUMMYFUNCTION("""COMPUTED_VALUE"""),"France")</f>
        <v>France</v>
      </c>
      <c r="C1263" s="9" t="str">
        <f>IFERROR(__xludf.DUMMYFUNCTION("""COMPUTED_VALUE"""),"burgundy")</f>
        <v>burgundy</v>
      </c>
      <c r="D1263" s="9" t="str">
        <f>IFERROR(__xludf.DUMMYFUNCTION("""COMPUTED_VALUE"""),"Chateau de la Maltroye, Chassagne-Montrachet Premier Cru, Clos du Chateau Blanc")</f>
        <v>Chateau de la Maltroye, Chassagne-Montrachet Premier Cru, Clos du Chateau Blanc</v>
      </c>
      <c r="E1263" s="9">
        <f>IFERROR(__xludf.DUMMYFUNCTION("""COMPUTED_VALUE"""),2018.0)</f>
        <v>2018</v>
      </c>
      <c r="F1263" s="9">
        <f>IFERROR(__xludf.DUMMYFUNCTION("""COMPUTED_VALUE"""),750.0)</f>
        <v>750</v>
      </c>
      <c r="G1263" s="9">
        <f>IFERROR(__xludf.DUMMYFUNCTION("""COMPUTED_VALUE"""),12.0)</f>
        <v>12</v>
      </c>
      <c r="H1263" s="10">
        <f>IFERROR(__xludf.DUMMYFUNCTION("""COMPUTED_VALUE"""),1.0)</f>
        <v>1</v>
      </c>
      <c r="I1263" s="11">
        <f>IFERROR(__xludf.DUMMYFUNCTION("""COMPUTED_VALUE"""),1108.0)</f>
        <v>1108</v>
      </c>
      <c r="J1263" s="9" t="str">
        <f>IFERROR(__xludf.DUMMYFUNCTION("""COMPUTED_VALUE"""),"UK")</f>
        <v>UK</v>
      </c>
      <c r="K1263" s="8"/>
      <c r="L1263" s="12"/>
      <c r="M1263" s="13"/>
      <c r="N1263" s="13" t="str">
        <f>IFERROR(__xludf.DUMMYFUNCTION("IF(ISBLANK(M1263),"""",M1263*GOOGLEFINANCE(""USDGBP""))"),"")</f>
        <v/>
      </c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</row>
    <row r="1264">
      <c r="A1264" s="8" t="str">
        <f>IFERROR(__xludf.DUMMYFUNCTION("""COMPUTED_VALUE"""),"106468920171200750")</f>
        <v>106468920171200750</v>
      </c>
      <c r="B1264" s="9" t="str">
        <f>IFERROR(__xludf.DUMMYFUNCTION("""COMPUTED_VALUE"""),"France")</f>
        <v>France</v>
      </c>
      <c r="C1264" s="9" t="str">
        <f>IFERROR(__xludf.DUMMYFUNCTION("""COMPUTED_VALUE"""),"burgundy")</f>
        <v>burgundy</v>
      </c>
      <c r="D1264" s="9" t="str">
        <f>IFERROR(__xludf.DUMMYFUNCTION("""COMPUTED_VALUE"""),"Coche-Dury, Bourgogne Aligote")</f>
        <v>Coche-Dury, Bourgogne Aligote</v>
      </c>
      <c r="E1264" s="9">
        <f>IFERROR(__xludf.DUMMYFUNCTION("""COMPUTED_VALUE"""),2017.0)</f>
        <v>2017</v>
      </c>
      <c r="F1264" s="9">
        <f>IFERROR(__xludf.DUMMYFUNCTION("""COMPUTED_VALUE"""),750.0)</f>
        <v>750</v>
      </c>
      <c r="G1264" s="9">
        <f>IFERROR(__xludf.DUMMYFUNCTION("""COMPUTED_VALUE"""),12.0)</f>
        <v>12</v>
      </c>
      <c r="H1264" s="10">
        <f>IFERROR(__xludf.DUMMYFUNCTION("""COMPUTED_VALUE"""),1.0)</f>
        <v>1</v>
      </c>
      <c r="I1264" s="11">
        <f>IFERROR(__xludf.DUMMYFUNCTION("""COMPUTED_VALUE"""),2489.0)</f>
        <v>2489</v>
      </c>
      <c r="J1264" s="9" t="str">
        <f>IFERROR(__xludf.DUMMYFUNCTION("""COMPUTED_VALUE"""),"UK")</f>
        <v>UK</v>
      </c>
      <c r="K1264" s="8"/>
      <c r="L1264" s="12"/>
      <c r="M1264" s="13"/>
      <c r="N1264" s="13" t="str">
        <f>IFERROR(__xludf.DUMMYFUNCTION("IF(ISBLANK(M1264),"""",M1264*GOOGLEFINANCE(""USDGBP""))"),"")</f>
        <v/>
      </c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</row>
    <row r="1265">
      <c r="A1265" s="8" t="str">
        <f>IFERROR(__xludf.DUMMYFUNCTION("""COMPUTED_VALUE"""),"106472220160600750")</f>
        <v>106472220160600750</v>
      </c>
      <c r="B1265" s="9" t="str">
        <f>IFERROR(__xludf.DUMMYFUNCTION("""COMPUTED_VALUE"""),"France")</f>
        <v>France</v>
      </c>
      <c r="C1265" s="9" t="str">
        <f>IFERROR(__xludf.DUMMYFUNCTION("""COMPUTED_VALUE"""),"burgundy")</f>
        <v>burgundy</v>
      </c>
      <c r="D1265" s="9" t="str">
        <f>IFERROR(__xludf.DUMMYFUNCTION("""COMPUTED_VALUE"""),"Coche-Dury, Meursault Premier Cru, Les Caillerets")</f>
        <v>Coche-Dury, Meursault Premier Cru, Les Caillerets</v>
      </c>
      <c r="E1265" s="9">
        <f>IFERROR(__xludf.DUMMYFUNCTION("""COMPUTED_VALUE"""),2016.0)</f>
        <v>2016</v>
      </c>
      <c r="F1265" s="9">
        <f>IFERROR(__xludf.DUMMYFUNCTION("""COMPUTED_VALUE"""),750.0)</f>
        <v>750</v>
      </c>
      <c r="G1265" s="9">
        <f>IFERROR(__xludf.DUMMYFUNCTION("""COMPUTED_VALUE"""),6.0)</f>
        <v>6</v>
      </c>
      <c r="H1265" s="10">
        <f>IFERROR(__xludf.DUMMYFUNCTION("""COMPUTED_VALUE"""),1.0)</f>
        <v>1</v>
      </c>
      <c r="I1265" s="11">
        <f>IFERROR(__xludf.DUMMYFUNCTION("""COMPUTED_VALUE"""),9761.0)</f>
        <v>9761</v>
      </c>
      <c r="J1265" s="9" t="str">
        <f>IFERROR(__xludf.DUMMYFUNCTION("""COMPUTED_VALUE"""),"UK")</f>
        <v>UK</v>
      </c>
      <c r="K1265" s="8"/>
      <c r="L1265" s="12"/>
      <c r="M1265" s="13"/>
      <c r="N1265" s="13" t="str">
        <f>IFERROR(__xludf.DUMMYFUNCTION("IF(ISBLANK(M1265),"""",M1265*GOOGLEFINANCE(""USDGBP""))"),"")</f>
        <v/>
      </c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</row>
    <row r="1266">
      <c r="A1266" s="8" t="str">
        <f>IFERROR(__xludf.DUMMYFUNCTION("""COMPUTED_VALUE"""),"176293420180600750")</f>
        <v>176293420180600750</v>
      </c>
      <c r="B1266" s="9" t="str">
        <f>IFERROR(__xludf.DUMMYFUNCTION("""COMPUTED_VALUE"""),"France")</f>
        <v>France</v>
      </c>
      <c r="C1266" s="9" t="str">
        <f>IFERROR(__xludf.DUMMYFUNCTION("""COMPUTED_VALUE"""),"burgundy")</f>
        <v>burgundy</v>
      </c>
      <c r="D1266" s="9" t="str">
        <f>IFERROR(__xludf.DUMMYFUNCTION("""COMPUTED_VALUE"""),"Comtesse de Cherisey, Meursault Premier Cru, Blagny La Piece sous le Bois")</f>
        <v>Comtesse de Cherisey, Meursault Premier Cru, Blagny La Piece sous le Bois</v>
      </c>
      <c r="E1266" s="9">
        <f>IFERROR(__xludf.DUMMYFUNCTION("""COMPUTED_VALUE"""),2018.0)</f>
        <v>2018</v>
      </c>
      <c r="F1266" s="9">
        <f>IFERROR(__xludf.DUMMYFUNCTION("""COMPUTED_VALUE"""),750.0)</f>
        <v>750</v>
      </c>
      <c r="G1266" s="9">
        <f>IFERROR(__xludf.DUMMYFUNCTION("""COMPUTED_VALUE"""),6.0)</f>
        <v>6</v>
      </c>
      <c r="H1266" s="10">
        <f>IFERROR(__xludf.DUMMYFUNCTION("""COMPUTED_VALUE"""),3.0)</f>
        <v>3</v>
      </c>
      <c r="I1266" s="11">
        <f>IFERROR(__xludf.DUMMYFUNCTION("""COMPUTED_VALUE"""),563.0)</f>
        <v>563</v>
      </c>
      <c r="J1266" s="9" t="str">
        <f>IFERROR(__xludf.DUMMYFUNCTION("""COMPUTED_VALUE"""),"UK")</f>
        <v>UK</v>
      </c>
      <c r="K1266" s="8"/>
      <c r="L1266" s="12"/>
      <c r="M1266" s="13"/>
      <c r="N1266" s="13" t="str">
        <f>IFERROR(__xludf.DUMMYFUNCTION("IF(ISBLANK(M1266),"""",M1266*GOOGLEFINANCE(""USDGBP""))"),"")</f>
        <v/>
      </c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</row>
    <row r="1267">
      <c r="A1267" s="8" t="str">
        <f>IFERROR(__xludf.DUMMYFUNCTION("""COMPUTED_VALUE"""),"123828420180600750")</f>
        <v>123828420180600750</v>
      </c>
      <c r="B1267" s="9" t="str">
        <f>IFERROR(__xludf.DUMMYFUNCTION("""COMPUTED_VALUE"""),"France")</f>
        <v>France</v>
      </c>
      <c r="C1267" s="9" t="str">
        <f>IFERROR(__xludf.DUMMYFUNCTION("""COMPUTED_VALUE"""),"burgundy")</f>
        <v>burgundy</v>
      </c>
      <c r="D1267" s="9" t="str">
        <f>IFERROR(__xludf.DUMMYFUNCTION("""COMPUTED_VALUE"""),"Comtesse de Cherisey, Puligny-Montrachet Premier Cru, Hameau de Blagny")</f>
        <v>Comtesse de Cherisey, Puligny-Montrachet Premier Cru, Hameau de Blagny</v>
      </c>
      <c r="E1267" s="9">
        <f>IFERROR(__xludf.DUMMYFUNCTION("""COMPUTED_VALUE"""),2018.0)</f>
        <v>2018</v>
      </c>
      <c r="F1267" s="9">
        <f>IFERROR(__xludf.DUMMYFUNCTION("""COMPUTED_VALUE"""),750.0)</f>
        <v>750</v>
      </c>
      <c r="G1267" s="9">
        <f>IFERROR(__xludf.DUMMYFUNCTION("""COMPUTED_VALUE"""),6.0)</f>
        <v>6</v>
      </c>
      <c r="H1267" s="10">
        <f>IFERROR(__xludf.DUMMYFUNCTION("""COMPUTED_VALUE"""),1.0)</f>
        <v>1</v>
      </c>
      <c r="I1267" s="11">
        <f>IFERROR(__xludf.DUMMYFUNCTION("""COMPUTED_VALUE"""),483.0)</f>
        <v>483</v>
      </c>
      <c r="J1267" s="9" t="str">
        <f>IFERROR(__xludf.DUMMYFUNCTION("""COMPUTED_VALUE"""),"UK")</f>
        <v>UK</v>
      </c>
      <c r="K1267" s="8"/>
      <c r="L1267" s="12"/>
      <c r="M1267" s="13"/>
      <c r="N1267" s="13" t="str">
        <f>IFERROR(__xludf.DUMMYFUNCTION("IF(ISBLANK(M1267),"""",M1267*GOOGLEFINANCE(""USDGBP""))"),"")</f>
        <v/>
      </c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</row>
    <row r="1268">
      <c r="A1268" s="8" t="str">
        <f>IFERROR(__xludf.DUMMYFUNCTION("""COMPUTED_VALUE"""),"123828420180301500")</f>
        <v>123828420180301500</v>
      </c>
      <c r="B1268" s="9" t="str">
        <f>IFERROR(__xludf.DUMMYFUNCTION("""COMPUTED_VALUE"""),"France")</f>
        <v>France</v>
      </c>
      <c r="C1268" s="9" t="str">
        <f>IFERROR(__xludf.DUMMYFUNCTION("""COMPUTED_VALUE"""),"burgundy")</f>
        <v>burgundy</v>
      </c>
      <c r="D1268" s="9" t="str">
        <f>IFERROR(__xludf.DUMMYFUNCTION("""COMPUTED_VALUE"""),"Comtesse de Cherisey, Puligny-Montrachet Premier Cru, Hameau de Blagny")</f>
        <v>Comtesse de Cherisey, Puligny-Montrachet Premier Cru, Hameau de Blagny</v>
      </c>
      <c r="E1268" s="9">
        <f>IFERROR(__xludf.DUMMYFUNCTION("""COMPUTED_VALUE"""),2018.0)</f>
        <v>2018</v>
      </c>
      <c r="F1268" s="9">
        <f>IFERROR(__xludf.DUMMYFUNCTION("""COMPUTED_VALUE"""),1500.0)</f>
        <v>1500</v>
      </c>
      <c r="G1268" s="9">
        <f>IFERROR(__xludf.DUMMYFUNCTION("""COMPUTED_VALUE"""),3.0)</f>
        <v>3</v>
      </c>
      <c r="H1268" s="10">
        <f>IFERROR(__xludf.DUMMYFUNCTION("""COMPUTED_VALUE"""),2.0)</f>
        <v>2</v>
      </c>
      <c r="I1268" s="11">
        <f>IFERROR(__xludf.DUMMYFUNCTION("""COMPUTED_VALUE"""),585.0)</f>
        <v>585</v>
      </c>
      <c r="J1268" s="9" t="str">
        <f>IFERROR(__xludf.DUMMYFUNCTION("""COMPUTED_VALUE"""),"UK")</f>
        <v>UK</v>
      </c>
      <c r="K1268" s="8"/>
      <c r="L1268" s="12"/>
      <c r="M1268" s="13"/>
      <c r="N1268" s="13" t="str">
        <f>IFERROR(__xludf.DUMMYFUNCTION("IF(ISBLANK(M1268),"""",M1268*GOOGLEFINANCE(""USDGBP""))"),"")</f>
        <v/>
      </c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</row>
    <row r="1269">
      <c r="A1269" s="8" t="str">
        <f>IFERROR(__xludf.DUMMYFUNCTION("""COMPUTED_VALUE"""),"106024520170600750")</f>
        <v>106024520170600750</v>
      </c>
      <c r="B1269" s="9" t="str">
        <f>IFERROR(__xludf.DUMMYFUNCTION("""COMPUTED_VALUE"""),"France")</f>
        <v>France</v>
      </c>
      <c r="C1269" s="9" t="str">
        <f>IFERROR(__xludf.DUMMYFUNCTION("""COMPUTED_VALUE"""),"burgundy")</f>
        <v>burgundy</v>
      </c>
      <c r="D1269" s="9" t="str">
        <f>IFERROR(__xludf.DUMMYFUNCTION("""COMPUTED_VALUE"""),"Domaine Bachelet Ramonet, Bienvenues-Batard-Montrachet Grand Cru")</f>
        <v>Domaine Bachelet Ramonet, Bienvenues-Batard-Montrachet Grand Cru</v>
      </c>
      <c r="E1269" s="9">
        <f>IFERROR(__xludf.DUMMYFUNCTION("""COMPUTED_VALUE"""),2017.0)</f>
        <v>2017</v>
      </c>
      <c r="F1269" s="9">
        <f>IFERROR(__xludf.DUMMYFUNCTION("""COMPUTED_VALUE"""),750.0)</f>
        <v>750</v>
      </c>
      <c r="G1269" s="9">
        <f>IFERROR(__xludf.DUMMYFUNCTION("""COMPUTED_VALUE"""),6.0)</f>
        <v>6</v>
      </c>
      <c r="H1269" s="10">
        <f>IFERROR(__xludf.DUMMYFUNCTION("""COMPUTED_VALUE"""),1.0)</f>
        <v>1</v>
      </c>
      <c r="I1269" s="11">
        <f>IFERROR(__xludf.DUMMYFUNCTION("""COMPUTED_VALUE"""),954.0)</f>
        <v>954</v>
      </c>
      <c r="J1269" s="9" t="str">
        <f>IFERROR(__xludf.DUMMYFUNCTION("""COMPUTED_VALUE"""),"UK")</f>
        <v>UK</v>
      </c>
      <c r="K1269" s="8"/>
      <c r="L1269" s="12"/>
      <c r="M1269" s="13"/>
      <c r="N1269" s="13" t="str">
        <f>IFERROR(__xludf.DUMMYFUNCTION("IF(ISBLANK(M1269),"""",M1269*GOOGLEFINANCE(""USDGBP""))"),"")</f>
        <v/>
      </c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</row>
    <row r="1270">
      <c r="A1270" s="8" t="str">
        <f>IFERROR(__xludf.DUMMYFUNCTION("""COMPUTED_VALUE"""),"106177620180300750")</f>
        <v>106177620180300750</v>
      </c>
      <c r="B1270" s="9" t="str">
        <f>IFERROR(__xludf.DUMMYFUNCTION("""COMPUTED_VALUE"""),"France")</f>
        <v>France</v>
      </c>
      <c r="C1270" s="9" t="str">
        <f>IFERROR(__xludf.DUMMYFUNCTION("""COMPUTED_VALUE"""),"burgundy")</f>
        <v>burgundy</v>
      </c>
      <c r="D1270" s="9" t="str">
        <f>IFERROR(__xludf.DUMMYFUNCTION("""COMPUTED_VALUE"""),"Domaine Bonneau du Martray, Corton-Charlemagne Grand Cru")</f>
        <v>Domaine Bonneau du Martray, Corton-Charlemagne Grand Cru</v>
      </c>
      <c r="E1270" s="9">
        <f>IFERROR(__xludf.DUMMYFUNCTION("""COMPUTED_VALUE"""),2018.0)</f>
        <v>2018</v>
      </c>
      <c r="F1270" s="9">
        <f>IFERROR(__xludf.DUMMYFUNCTION("""COMPUTED_VALUE"""),750.0)</f>
        <v>750</v>
      </c>
      <c r="G1270" s="9">
        <f>IFERROR(__xludf.DUMMYFUNCTION("""COMPUTED_VALUE"""),3.0)</f>
        <v>3</v>
      </c>
      <c r="H1270" s="10">
        <f>IFERROR(__xludf.DUMMYFUNCTION("""COMPUTED_VALUE"""),3.0)</f>
        <v>3</v>
      </c>
      <c r="I1270" s="11">
        <f>IFERROR(__xludf.DUMMYFUNCTION("""COMPUTED_VALUE"""),999.0)</f>
        <v>999</v>
      </c>
      <c r="J1270" s="9" t="str">
        <f>IFERROR(__xludf.DUMMYFUNCTION("""COMPUTED_VALUE"""),"UK")</f>
        <v>UK</v>
      </c>
      <c r="K1270" s="8"/>
      <c r="L1270" s="12"/>
      <c r="M1270" s="13"/>
      <c r="N1270" s="13" t="str">
        <f>IFERROR(__xludf.DUMMYFUNCTION("IF(ISBLANK(M1270),"""",M1270*GOOGLEFINANCE(""USDGBP""))"),"")</f>
        <v/>
      </c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</row>
    <row r="1271">
      <c r="A1271" s="8" t="str">
        <f>IFERROR(__xludf.DUMMYFUNCTION("""COMPUTED_VALUE"""),"106345120170600750")</f>
        <v>106345120170600750</v>
      </c>
      <c r="B1271" s="9" t="str">
        <f>IFERROR(__xludf.DUMMYFUNCTION("""COMPUTED_VALUE"""),"France")</f>
        <v>France</v>
      </c>
      <c r="C1271" s="9" t="str">
        <f>IFERROR(__xludf.DUMMYFUNCTION("""COMPUTED_VALUE"""),"burgundy")</f>
        <v>burgundy</v>
      </c>
      <c r="D1271" s="9" t="str">
        <f>IFERROR(__xludf.DUMMYFUNCTION("""COMPUTED_VALUE"""),"Domaine Chandon de Briailles, Corton-Charlemagne Grand Cru")</f>
        <v>Domaine Chandon de Briailles, Corton-Charlemagne Grand Cru</v>
      </c>
      <c r="E1271" s="9">
        <f>IFERROR(__xludf.DUMMYFUNCTION("""COMPUTED_VALUE"""),2017.0)</f>
        <v>2017</v>
      </c>
      <c r="F1271" s="9">
        <f>IFERROR(__xludf.DUMMYFUNCTION("""COMPUTED_VALUE"""),750.0)</f>
        <v>750</v>
      </c>
      <c r="G1271" s="9">
        <f>IFERROR(__xludf.DUMMYFUNCTION("""COMPUTED_VALUE"""),6.0)</f>
        <v>6</v>
      </c>
      <c r="H1271" s="10">
        <f>IFERROR(__xludf.DUMMYFUNCTION("""COMPUTED_VALUE"""),1.0)</f>
        <v>1</v>
      </c>
      <c r="I1271" s="11">
        <f>IFERROR(__xludf.DUMMYFUNCTION("""COMPUTED_VALUE"""),1451.0)</f>
        <v>1451</v>
      </c>
      <c r="J1271" s="9" t="str">
        <f>IFERROR(__xludf.DUMMYFUNCTION("""COMPUTED_VALUE"""),"UK")</f>
        <v>UK</v>
      </c>
      <c r="K1271" s="8"/>
      <c r="L1271" s="12"/>
      <c r="M1271" s="13"/>
      <c r="N1271" s="13" t="str">
        <f>IFERROR(__xludf.DUMMYFUNCTION("IF(ISBLANK(M1271),"""",M1271*GOOGLEFINANCE(""USDGBP""))"),"")</f>
        <v/>
      </c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</row>
    <row r="1272">
      <c r="A1272" s="8" t="str">
        <f>IFERROR(__xludf.DUMMYFUNCTION("""COMPUTED_VALUE"""),"107615420181200750")</f>
        <v>107615420181200750</v>
      </c>
      <c r="B1272" s="9" t="str">
        <f>IFERROR(__xludf.DUMMYFUNCTION("""COMPUTED_VALUE"""),"France")</f>
        <v>France</v>
      </c>
      <c r="C1272" s="9" t="str">
        <f>IFERROR(__xludf.DUMMYFUNCTION("""COMPUTED_VALUE"""),"burgundy")</f>
        <v>burgundy</v>
      </c>
      <c r="D1272" s="9" t="str">
        <f>IFERROR(__xludf.DUMMYFUNCTION("""COMPUTED_VALUE"""),"Domaine Christian Moreau Pere &amp; Fils, Chablis Grand Cru, Les Clos")</f>
        <v>Domaine Christian Moreau Pere &amp; Fils, Chablis Grand Cru, Les Clos</v>
      </c>
      <c r="E1272" s="9">
        <f>IFERROR(__xludf.DUMMYFUNCTION("""COMPUTED_VALUE"""),2018.0)</f>
        <v>2018</v>
      </c>
      <c r="F1272" s="9">
        <f>IFERROR(__xludf.DUMMYFUNCTION("""COMPUTED_VALUE"""),750.0)</f>
        <v>750</v>
      </c>
      <c r="G1272" s="9">
        <f>IFERROR(__xludf.DUMMYFUNCTION("""COMPUTED_VALUE"""),12.0)</f>
        <v>12</v>
      </c>
      <c r="H1272" s="10">
        <f>IFERROR(__xludf.DUMMYFUNCTION("""COMPUTED_VALUE"""),2.0)</f>
        <v>2</v>
      </c>
      <c r="I1272" s="11">
        <f>IFERROR(__xludf.DUMMYFUNCTION("""COMPUTED_VALUE"""),1038.0)</f>
        <v>1038</v>
      </c>
      <c r="J1272" s="9" t="str">
        <f>IFERROR(__xludf.DUMMYFUNCTION("""COMPUTED_VALUE"""),"UK")</f>
        <v>UK</v>
      </c>
      <c r="K1272" s="8"/>
      <c r="L1272" s="12"/>
      <c r="M1272" s="13"/>
      <c r="N1272" s="13" t="str">
        <f>IFERROR(__xludf.DUMMYFUNCTION("IF(ISBLANK(M1272),"""",M1272*GOOGLEFINANCE(""USDGBP""))"),"")</f>
        <v/>
      </c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</row>
    <row r="1273">
      <c r="A1273" s="8" t="str">
        <f>IFERROR(__xludf.DUMMYFUNCTION("""COMPUTED_VALUE"""),"141039820180600750")</f>
        <v>141039820180600750</v>
      </c>
      <c r="B1273" s="9" t="str">
        <f>IFERROR(__xludf.DUMMYFUNCTION("""COMPUTED_VALUE"""),"France")</f>
        <v>France</v>
      </c>
      <c r="C1273" s="9" t="str">
        <f>IFERROR(__xludf.DUMMYFUNCTION("""COMPUTED_VALUE"""),"burgundy")</f>
        <v>burgundy</v>
      </c>
      <c r="D1273" s="9" t="str">
        <f>IFERROR(__xludf.DUMMYFUNCTION("""COMPUTED_VALUE"""),"Domaine Dujac, Puligny-Montrachet Premier Cru, Les Combettes")</f>
        <v>Domaine Dujac, Puligny-Montrachet Premier Cru, Les Combettes</v>
      </c>
      <c r="E1273" s="9">
        <f>IFERROR(__xludf.DUMMYFUNCTION("""COMPUTED_VALUE"""),2018.0)</f>
        <v>2018</v>
      </c>
      <c r="F1273" s="9">
        <f>IFERROR(__xludf.DUMMYFUNCTION("""COMPUTED_VALUE"""),750.0)</f>
        <v>750</v>
      </c>
      <c r="G1273" s="9">
        <f>IFERROR(__xludf.DUMMYFUNCTION("""COMPUTED_VALUE"""),6.0)</f>
        <v>6</v>
      </c>
      <c r="H1273" s="10">
        <f>IFERROR(__xludf.DUMMYFUNCTION("""COMPUTED_VALUE"""),1.0)</f>
        <v>1</v>
      </c>
      <c r="I1273" s="11">
        <f>IFERROR(__xludf.DUMMYFUNCTION("""COMPUTED_VALUE"""),1703.0)</f>
        <v>1703</v>
      </c>
      <c r="J1273" s="9" t="str">
        <f>IFERROR(__xludf.DUMMYFUNCTION("""COMPUTED_VALUE"""),"UK")</f>
        <v>UK</v>
      </c>
      <c r="K1273" s="8"/>
      <c r="L1273" s="12"/>
      <c r="M1273" s="13"/>
      <c r="N1273" s="13" t="str">
        <f>IFERROR(__xludf.DUMMYFUNCTION("IF(ISBLANK(M1273),"""",M1273*GOOGLEFINANCE(""USDGBP""))"),"")</f>
        <v/>
      </c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</row>
    <row r="1274">
      <c r="A1274" s="8" t="str">
        <f>IFERROR(__xludf.DUMMYFUNCTION("""COMPUTED_VALUE"""),"106788220180600750")</f>
        <v>106788220180600750</v>
      </c>
      <c r="B1274" s="9" t="str">
        <f>IFERROR(__xludf.DUMMYFUNCTION("""COMPUTED_VALUE"""),"France")</f>
        <v>France</v>
      </c>
      <c r="C1274" s="9" t="str">
        <f>IFERROR(__xludf.DUMMYFUNCTION("""COMPUTED_VALUE"""),"burgundy")</f>
        <v>burgundy</v>
      </c>
      <c r="D1274" s="9" t="str">
        <f>IFERROR(__xludf.DUMMYFUNCTION("""COMPUTED_VALUE"""),"Domaine Faiveley, Batard-Montrachet Grand Cru")</f>
        <v>Domaine Faiveley, Batard-Montrachet Grand Cru</v>
      </c>
      <c r="E1274" s="9">
        <f>IFERROR(__xludf.DUMMYFUNCTION("""COMPUTED_VALUE"""),2018.0)</f>
        <v>2018</v>
      </c>
      <c r="F1274" s="9">
        <f>IFERROR(__xludf.DUMMYFUNCTION("""COMPUTED_VALUE"""),750.0)</f>
        <v>750</v>
      </c>
      <c r="G1274" s="9">
        <f>IFERROR(__xludf.DUMMYFUNCTION("""COMPUTED_VALUE"""),6.0)</f>
        <v>6</v>
      </c>
      <c r="H1274" s="10">
        <f>IFERROR(__xludf.DUMMYFUNCTION("""COMPUTED_VALUE"""),3.0)</f>
        <v>3</v>
      </c>
      <c r="I1274" s="11">
        <f>IFERROR(__xludf.DUMMYFUNCTION("""COMPUTED_VALUE"""),1875.0)</f>
        <v>1875</v>
      </c>
      <c r="J1274" s="9" t="str">
        <f>IFERROR(__xludf.DUMMYFUNCTION("""COMPUTED_VALUE"""),"UK")</f>
        <v>UK</v>
      </c>
      <c r="K1274" s="8"/>
      <c r="L1274" s="12"/>
      <c r="M1274" s="13"/>
      <c r="N1274" s="13" t="str">
        <f>IFERROR(__xludf.DUMMYFUNCTION("IF(ISBLANK(M1274),"""",M1274*GOOGLEFINANCE(""USDGBP""))"),"")</f>
        <v/>
      </c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</row>
    <row r="1275">
      <c r="A1275" s="8" t="str">
        <f>IFERROR(__xludf.DUMMYFUNCTION("""COMPUTED_VALUE"""),"106789520180600750")</f>
        <v>106789520180600750</v>
      </c>
      <c r="B1275" s="9" t="str">
        <f>IFERROR(__xludf.DUMMYFUNCTION("""COMPUTED_VALUE"""),"France")</f>
        <v>France</v>
      </c>
      <c r="C1275" s="9" t="str">
        <f>IFERROR(__xludf.DUMMYFUNCTION("""COMPUTED_VALUE"""),"burgundy")</f>
        <v>burgundy</v>
      </c>
      <c r="D1275" s="9" t="str">
        <f>IFERROR(__xludf.DUMMYFUNCTION("""COMPUTED_VALUE"""),"Domaine Faiveley, Bienvenues-Batard-Montrachet Grand Cru")</f>
        <v>Domaine Faiveley, Bienvenues-Batard-Montrachet Grand Cru</v>
      </c>
      <c r="E1275" s="9">
        <f>IFERROR(__xludf.DUMMYFUNCTION("""COMPUTED_VALUE"""),2018.0)</f>
        <v>2018</v>
      </c>
      <c r="F1275" s="9">
        <f>IFERROR(__xludf.DUMMYFUNCTION("""COMPUTED_VALUE"""),750.0)</f>
        <v>750</v>
      </c>
      <c r="G1275" s="9">
        <f>IFERROR(__xludf.DUMMYFUNCTION("""COMPUTED_VALUE"""),6.0)</f>
        <v>6</v>
      </c>
      <c r="H1275" s="10">
        <f>IFERROR(__xludf.DUMMYFUNCTION("""COMPUTED_VALUE"""),1.0)</f>
        <v>1</v>
      </c>
      <c r="I1275" s="11">
        <f>IFERROR(__xludf.DUMMYFUNCTION("""COMPUTED_VALUE"""),1658.0)</f>
        <v>1658</v>
      </c>
      <c r="J1275" s="9" t="str">
        <f>IFERROR(__xludf.DUMMYFUNCTION("""COMPUTED_VALUE"""),"UK")</f>
        <v>UK</v>
      </c>
      <c r="K1275" s="8"/>
      <c r="L1275" s="12"/>
      <c r="M1275" s="13"/>
      <c r="N1275" s="13" t="str">
        <f>IFERROR(__xludf.DUMMYFUNCTION("IF(ISBLANK(M1275),"""",M1275*GOOGLEFINANCE(""USDGBP""))"),"")</f>
        <v/>
      </c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</row>
    <row r="1276">
      <c r="A1276" s="8" t="str">
        <f>IFERROR(__xludf.DUMMYFUNCTION("""COMPUTED_VALUE"""),"106796720180600750")</f>
        <v>106796720180600750</v>
      </c>
      <c r="B1276" s="9" t="str">
        <f>IFERROR(__xludf.DUMMYFUNCTION("""COMPUTED_VALUE"""),"France")</f>
        <v>France</v>
      </c>
      <c r="C1276" s="9" t="str">
        <f>IFERROR(__xludf.DUMMYFUNCTION("""COMPUTED_VALUE"""),"burgundy")</f>
        <v>burgundy</v>
      </c>
      <c r="D1276" s="9" t="str">
        <f>IFERROR(__xludf.DUMMYFUNCTION("""COMPUTED_VALUE"""),"Domaine Faiveley, Corton-Charlemagne Grand Cru")</f>
        <v>Domaine Faiveley, Corton-Charlemagne Grand Cru</v>
      </c>
      <c r="E1276" s="9">
        <f>IFERROR(__xludf.DUMMYFUNCTION("""COMPUTED_VALUE"""),2018.0)</f>
        <v>2018</v>
      </c>
      <c r="F1276" s="9">
        <f>IFERROR(__xludf.DUMMYFUNCTION("""COMPUTED_VALUE"""),750.0)</f>
        <v>750</v>
      </c>
      <c r="G1276" s="9">
        <f>IFERROR(__xludf.DUMMYFUNCTION("""COMPUTED_VALUE"""),6.0)</f>
        <v>6</v>
      </c>
      <c r="H1276" s="10">
        <f>IFERROR(__xludf.DUMMYFUNCTION("""COMPUTED_VALUE"""),6.0)</f>
        <v>6</v>
      </c>
      <c r="I1276" s="11">
        <f>IFERROR(__xludf.DUMMYFUNCTION("""COMPUTED_VALUE"""),1181.0)</f>
        <v>1181</v>
      </c>
      <c r="J1276" s="9" t="str">
        <f>IFERROR(__xludf.DUMMYFUNCTION("""COMPUTED_VALUE"""),"UK")</f>
        <v>UK</v>
      </c>
      <c r="K1276" s="8"/>
      <c r="L1276" s="12"/>
      <c r="M1276" s="13"/>
      <c r="N1276" s="13" t="str">
        <f>IFERROR(__xludf.DUMMYFUNCTION("IF(ISBLANK(M1276),"""",M1276*GOOGLEFINANCE(""USDGBP""))"),"")</f>
        <v/>
      </c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</row>
    <row r="1277">
      <c r="A1277" s="8" t="str">
        <f>IFERROR(__xludf.DUMMYFUNCTION("""COMPUTED_VALUE"""),"113247820180600750")</f>
        <v>113247820180600750</v>
      </c>
      <c r="B1277" s="9" t="str">
        <f>IFERROR(__xludf.DUMMYFUNCTION("""COMPUTED_VALUE"""),"France")</f>
        <v>France</v>
      </c>
      <c r="C1277" s="9" t="str">
        <f>IFERROR(__xludf.DUMMYFUNCTION("""COMPUTED_VALUE"""),"burgundy")</f>
        <v>burgundy</v>
      </c>
      <c r="D1277" s="9" t="str">
        <f>IFERROR(__xludf.DUMMYFUNCTION("""COMPUTED_VALUE"""),"Domaine Faiveley, Puligny-Montrachet Premier Cru, La Garenne")</f>
        <v>Domaine Faiveley, Puligny-Montrachet Premier Cru, La Garenne</v>
      </c>
      <c r="E1277" s="9">
        <f>IFERROR(__xludf.DUMMYFUNCTION("""COMPUTED_VALUE"""),2018.0)</f>
        <v>2018</v>
      </c>
      <c r="F1277" s="9">
        <f>IFERROR(__xludf.DUMMYFUNCTION("""COMPUTED_VALUE"""),750.0)</f>
        <v>750</v>
      </c>
      <c r="G1277" s="9">
        <f>IFERROR(__xludf.DUMMYFUNCTION("""COMPUTED_VALUE"""),6.0)</f>
        <v>6</v>
      </c>
      <c r="H1277" s="10">
        <f>IFERROR(__xludf.DUMMYFUNCTION("""COMPUTED_VALUE"""),1.0)</f>
        <v>1</v>
      </c>
      <c r="I1277" s="11">
        <f>IFERROR(__xludf.DUMMYFUNCTION("""COMPUTED_VALUE"""),560.0)</f>
        <v>560</v>
      </c>
      <c r="J1277" s="9" t="str">
        <f>IFERROR(__xludf.DUMMYFUNCTION("""COMPUTED_VALUE"""),"UK")</f>
        <v>UK</v>
      </c>
      <c r="K1277" s="8"/>
      <c r="L1277" s="12"/>
      <c r="M1277" s="13"/>
      <c r="N1277" s="13" t="str">
        <f>IFERROR(__xludf.DUMMYFUNCTION("IF(ISBLANK(M1277),"""",M1277*GOOGLEFINANCE(""USDGBP""))"),"")</f>
        <v/>
      </c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</row>
    <row r="1278">
      <c r="A1278" s="8" t="str">
        <f>IFERROR(__xludf.DUMMYFUNCTION("""COMPUTED_VALUE"""),"106851520170601500")</f>
        <v>106851520170601500</v>
      </c>
      <c r="B1278" s="9" t="str">
        <f>IFERROR(__xludf.DUMMYFUNCTION("""COMPUTED_VALUE"""),"France")</f>
        <v>France</v>
      </c>
      <c r="C1278" s="9" t="str">
        <f>IFERROR(__xludf.DUMMYFUNCTION("""COMPUTED_VALUE"""),"burgundy")</f>
        <v>burgundy</v>
      </c>
      <c r="D1278" s="9" t="str">
        <f>IFERROR(__xludf.DUMMYFUNCTION("""COMPUTED_VALUE"""),"Domaine Fontaine-Gagnard, Chassagne-Montrachet Premier Cru, La Boudriotte")</f>
        <v>Domaine Fontaine-Gagnard, Chassagne-Montrachet Premier Cru, La Boudriotte</v>
      </c>
      <c r="E1278" s="9">
        <f>IFERROR(__xludf.DUMMYFUNCTION("""COMPUTED_VALUE"""),2017.0)</f>
        <v>2017</v>
      </c>
      <c r="F1278" s="9">
        <f>IFERROR(__xludf.DUMMYFUNCTION("""COMPUTED_VALUE"""),1500.0)</f>
        <v>1500</v>
      </c>
      <c r="G1278" s="9">
        <f>IFERROR(__xludf.DUMMYFUNCTION("""COMPUTED_VALUE"""),6.0)</f>
        <v>6</v>
      </c>
      <c r="H1278" s="10">
        <f>IFERROR(__xludf.DUMMYFUNCTION("""COMPUTED_VALUE"""),1.0)</f>
        <v>1</v>
      </c>
      <c r="I1278" s="11">
        <f>IFERROR(__xludf.DUMMYFUNCTION("""COMPUTED_VALUE"""),1214.0)</f>
        <v>1214</v>
      </c>
      <c r="J1278" s="9" t="str">
        <f>IFERROR(__xludf.DUMMYFUNCTION("""COMPUTED_VALUE"""),"UK")</f>
        <v>UK</v>
      </c>
      <c r="K1278" s="8"/>
      <c r="L1278" s="12"/>
      <c r="M1278" s="13"/>
      <c r="N1278" s="13" t="str">
        <f>IFERROR(__xludf.DUMMYFUNCTION("IF(ISBLANK(M1278),"""",M1278*GOOGLEFINANCE(""USDGBP""))"),"")</f>
        <v/>
      </c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</row>
    <row r="1279">
      <c r="A1279" s="8" t="str">
        <f>IFERROR(__xludf.DUMMYFUNCTION("""COMPUTED_VALUE"""),"106857320170600750")</f>
        <v>106857320170600750</v>
      </c>
      <c r="B1279" s="9" t="str">
        <f>IFERROR(__xludf.DUMMYFUNCTION("""COMPUTED_VALUE"""),"France")</f>
        <v>France</v>
      </c>
      <c r="C1279" s="9" t="str">
        <f>IFERROR(__xludf.DUMMYFUNCTION("""COMPUTED_VALUE"""),"burgundy")</f>
        <v>burgundy</v>
      </c>
      <c r="D1279" s="9" t="str">
        <f>IFERROR(__xludf.DUMMYFUNCTION("""COMPUTED_VALUE"""),"Domaine Fontaine-Gagnard, Chassagne-Montrachet Premier Cru, La Romanee")</f>
        <v>Domaine Fontaine-Gagnard, Chassagne-Montrachet Premier Cru, La Romanee</v>
      </c>
      <c r="E1279" s="9">
        <f>IFERROR(__xludf.DUMMYFUNCTION("""COMPUTED_VALUE"""),2017.0)</f>
        <v>2017</v>
      </c>
      <c r="F1279" s="9">
        <f>IFERROR(__xludf.DUMMYFUNCTION("""COMPUTED_VALUE"""),750.0)</f>
        <v>750</v>
      </c>
      <c r="G1279" s="9">
        <f>IFERROR(__xludf.DUMMYFUNCTION("""COMPUTED_VALUE"""),6.0)</f>
        <v>6</v>
      </c>
      <c r="H1279" s="10">
        <f>IFERROR(__xludf.DUMMYFUNCTION("""COMPUTED_VALUE"""),1.0)</f>
        <v>1</v>
      </c>
      <c r="I1279" s="11">
        <f>IFERROR(__xludf.DUMMYFUNCTION("""COMPUTED_VALUE"""),965.0)</f>
        <v>965</v>
      </c>
      <c r="J1279" s="9" t="str">
        <f>IFERROR(__xludf.DUMMYFUNCTION("""COMPUTED_VALUE"""),"UK")</f>
        <v>UK</v>
      </c>
      <c r="K1279" s="8"/>
      <c r="L1279" s="12"/>
      <c r="M1279" s="13"/>
      <c r="N1279" s="13" t="str">
        <f>IFERROR(__xludf.DUMMYFUNCTION("IF(ISBLANK(M1279),"""",M1279*GOOGLEFINANCE(""USDGBP""))"),"")</f>
        <v/>
      </c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</row>
    <row r="1280">
      <c r="A1280" s="8" t="str">
        <f>IFERROR(__xludf.DUMMYFUNCTION("""COMPUTED_VALUE"""),"106855720180601500")</f>
        <v>106855720180601500</v>
      </c>
      <c r="B1280" s="9" t="str">
        <f>IFERROR(__xludf.DUMMYFUNCTION("""COMPUTED_VALUE"""),"France")</f>
        <v>France</v>
      </c>
      <c r="C1280" s="9" t="str">
        <f>IFERROR(__xludf.DUMMYFUNCTION("""COMPUTED_VALUE"""),"burgundy")</f>
        <v>burgundy</v>
      </c>
      <c r="D1280" s="9" t="str">
        <f>IFERROR(__xludf.DUMMYFUNCTION("""COMPUTED_VALUE"""),"Domaine Fontaine-Gagnard, Chassagne-Montrachet Premier Cru, Morgeot Blanc")</f>
        <v>Domaine Fontaine-Gagnard, Chassagne-Montrachet Premier Cru, Morgeot Blanc</v>
      </c>
      <c r="E1280" s="9">
        <f>IFERROR(__xludf.DUMMYFUNCTION("""COMPUTED_VALUE"""),2018.0)</f>
        <v>2018</v>
      </c>
      <c r="F1280" s="9">
        <f>IFERROR(__xludf.DUMMYFUNCTION("""COMPUTED_VALUE"""),1500.0)</f>
        <v>1500</v>
      </c>
      <c r="G1280" s="9">
        <f>IFERROR(__xludf.DUMMYFUNCTION("""COMPUTED_VALUE"""),6.0)</f>
        <v>6</v>
      </c>
      <c r="H1280" s="10">
        <f>IFERROR(__xludf.DUMMYFUNCTION("""COMPUTED_VALUE"""),1.0)</f>
        <v>1</v>
      </c>
      <c r="I1280" s="11">
        <f>IFERROR(__xludf.DUMMYFUNCTION("""COMPUTED_VALUE"""),940.0)</f>
        <v>940</v>
      </c>
      <c r="J1280" s="9" t="str">
        <f>IFERROR(__xludf.DUMMYFUNCTION("""COMPUTED_VALUE"""),"UK")</f>
        <v>UK</v>
      </c>
      <c r="K1280" s="8"/>
      <c r="L1280" s="12"/>
      <c r="M1280" s="13"/>
      <c r="N1280" s="13" t="str">
        <f>IFERROR(__xludf.DUMMYFUNCTION("IF(ISBLANK(M1280),"""",M1280*GOOGLEFINANCE(""USDGBP""))"),"")</f>
        <v/>
      </c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</row>
    <row r="1281">
      <c r="A1281" s="8" t="str">
        <f>IFERROR(__xludf.DUMMYFUNCTION("""COMPUTED_VALUE"""),"106860320170300750")</f>
        <v>106860320170300750</v>
      </c>
      <c r="B1281" s="9" t="str">
        <f>IFERROR(__xludf.DUMMYFUNCTION("""COMPUTED_VALUE"""),"France")</f>
        <v>France</v>
      </c>
      <c r="C1281" s="9" t="str">
        <f>IFERROR(__xludf.DUMMYFUNCTION("""COMPUTED_VALUE"""),"burgundy")</f>
        <v>burgundy</v>
      </c>
      <c r="D1281" s="9" t="str">
        <f>IFERROR(__xludf.DUMMYFUNCTION("""COMPUTED_VALUE"""),"Domaine Fontaine-Gagnard, Criots-Batard-Montrachet Grand Cru")</f>
        <v>Domaine Fontaine-Gagnard, Criots-Batard-Montrachet Grand Cru</v>
      </c>
      <c r="E1281" s="9">
        <f>IFERROR(__xludf.DUMMYFUNCTION("""COMPUTED_VALUE"""),2017.0)</f>
        <v>2017</v>
      </c>
      <c r="F1281" s="9">
        <f>IFERROR(__xludf.DUMMYFUNCTION("""COMPUTED_VALUE"""),750.0)</f>
        <v>750</v>
      </c>
      <c r="G1281" s="9">
        <f>IFERROR(__xludf.DUMMYFUNCTION("""COMPUTED_VALUE"""),3.0)</f>
        <v>3</v>
      </c>
      <c r="H1281" s="10">
        <f>IFERROR(__xludf.DUMMYFUNCTION("""COMPUTED_VALUE"""),1.0)</f>
        <v>1</v>
      </c>
      <c r="I1281" s="11">
        <f>IFERROR(__xludf.DUMMYFUNCTION("""COMPUTED_VALUE"""),885.0)</f>
        <v>885</v>
      </c>
      <c r="J1281" s="9" t="str">
        <f>IFERROR(__xludf.DUMMYFUNCTION("""COMPUTED_VALUE"""),"UK")</f>
        <v>UK</v>
      </c>
      <c r="K1281" s="8"/>
      <c r="L1281" s="12"/>
      <c r="M1281" s="13"/>
      <c r="N1281" s="13" t="str">
        <f>IFERROR(__xludf.DUMMYFUNCTION("IF(ISBLANK(M1281),"""",M1281*GOOGLEFINANCE(""USDGBP""))"),"")</f>
        <v/>
      </c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</row>
    <row r="1282">
      <c r="A1282" s="8" t="str">
        <f>IFERROR(__xludf.DUMMYFUNCTION("""COMPUTED_VALUE"""),"106860320181200750")</f>
        <v>106860320181200750</v>
      </c>
      <c r="B1282" s="9" t="str">
        <f>IFERROR(__xludf.DUMMYFUNCTION("""COMPUTED_VALUE"""),"France")</f>
        <v>France</v>
      </c>
      <c r="C1282" s="9" t="str">
        <f>IFERROR(__xludf.DUMMYFUNCTION("""COMPUTED_VALUE"""),"burgundy")</f>
        <v>burgundy</v>
      </c>
      <c r="D1282" s="9" t="str">
        <f>IFERROR(__xludf.DUMMYFUNCTION("""COMPUTED_VALUE"""),"Domaine Fontaine-Gagnard, Criots-Batard-Montrachet Grand Cru")</f>
        <v>Domaine Fontaine-Gagnard, Criots-Batard-Montrachet Grand Cru</v>
      </c>
      <c r="E1282" s="9">
        <f>IFERROR(__xludf.DUMMYFUNCTION("""COMPUTED_VALUE"""),2018.0)</f>
        <v>2018</v>
      </c>
      <c r="F1282" s="9">
        <f>IFERROR(__xludf.DUMMYFUNCTION("""COMPUTED_VALUE"""),750.0)</f>
        <v>750</v>
      </c>
      <c r="G1282" s="9">
        <f>IFERROR(__xludf.DUMMYFUNCTION("""COMPUTED_VALUE"""),12.0)</f>
        <v>12</v>
      </c>
      <c r="H1282" s="10">
        <f>IFERROR(__xludf.DUMMYFUNCTION("""COMPUTED_VALUE"""),1.0)</f>
        <v>1</v>
      </c>
      <c r="I1282" s="11">
        <f>IFERROR(__xludf.DUMMYFUNCTION("""COMPUTED_VALUE"""),3736.0)</f>
        <v>3736</v>
      </c>
      <c r="J1282" s="9" t="str">
        <f>IFERROR(__xludf.DUMMYFUNCTION("""COMPUTED_VALUE"""),"UK")</f>
        <v>UK</v>
      </c>
      <c r="K1282" s="8"/>
      <c r="L1282" s="12"/>
      <c r="M1282" s="13"/>
      <c r="N1282" s="13" t="str">
        <f>IFERROR(__xludf.DUMMYFUNCTION("IF(ISBLANK(M1282),"""",M1282*GOOGLEFINANCE(""USDGBP""))"),"")</f>
        <v/>
      </c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</row>
    <row r="1283">
      <c r="A1283" s="8" t="str">
        <f>IFERROR(__xludf.DUMMYFUNCTION("""COMPUTED_VALUE"""),"107920120180600750")</f>
        <v>107920120180600750</v>
      </c>
      <c r="B1283" s="9" t="str">
        <f>IFERROR(__xludf.DUMMYFUNCTION("""COMPUTED_VALUE"""),"France")</f>
        <v>France</v>
      </c>
      <c r="C1283" s="9" t="str">
        <f>IFERROR(__xludf.DUMMYFUNCTION("""COMPUTED_VALUE"""),"burgundy")</f>
        <v>burgundy</v>
      </c>
      <c r="D1283" s="9" t="str">
        <f>IFERROR(__xludf.DUMMYFUNCTION("""COMPUTED_VALUE"""),"Domaine Francois Raveneau, Chablis Premier Cru, Butteaux")</f>
        <v>Domaine Francois Raveneau, Chablis Premier Cru, Butteaux</v>
      </c>
      <c r="E1283" s="9">
        <f>IFERROR(__xludf.DUMMYFUNCTION("""COMPUTED_VALUE"""),2018.0)</f>
        <v>2018</v>
      </c>
      <c r="F1283" s="9">
        <f>IFERROR(__xludf.DUMMYFUNCTION("""COMPUTED_VALUE"""),750.0)</f>
        <v>750</v>
      </c>
      <c r="G1283" s="9">
        <f>IFERROR(__xludf.DUMMYFUNCTION("""COMPUTED_VALUE"""),6.0)</f>
        <v>6</v>
      </c>
      <c r="H1283" s="10">
        <f>IFERROR(__xludf.DUMMYFUNCTION("""COMPUTED_VALUE"""),1.0)</f>
        <v>1</v>
      </c>
      <c r="I1283" s="11">
        <f>IFERROR(__xludf.DUMMYFUNCTION("""COMPUTED_VALUE"""),2054.0)</f>
        <v>2054</v>
      </c>
      <c r="J1283" s="9" t="str">
        <f>IFERROR(__xludf.DUMMYFUNCTION("""COMPUTED_VALUE"""),"UK")</f>
        <v>UK</v>
      </c>
      <c r="K1283" s="8"/>
      <c r="L1283" s="12"/>
      <c r="M1283" s="13"/>
      <c r="N1283" s="13" t="str">
        <f>IFERROR(__xludf.DUMMYFUNCTION("IF(ISBLANK(M1283),"""",M1283*GOOGLEFINANCE(""USDGBP""))"),"")</f>
        <v/>
      </c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</row>
    <row r="1284">
      <c r="A1284" s="8" t="str">
        <f>IFERROR(__xludf.DUMMYFUNCTION("""COMPUTED_VALUE"""),"107920120190600750")</f>
        <v>107920120190600750</v>
      </c>
      <c r="B1284" s="9" t="str">
        <f>IFERROR(__xludf.DUMMYFUNCTION("""COMPUTED_VALUE"""),"France")</f>
        <v>France</v>
      </c>
      <c r="C1284" s="9" t="str">
        <f>IFERROR(__xludf.DUMMYFUNCTION("""COMPUTED_VALUE"""),"burgundy")</f>
        <v>burgundy</v>
      </c>
      <c r="D1284" s="9" t="str">
        <f>IFERROR(__xludf.DUMMYFUNCTION("""COMPUTED_VALUE"""),"Domaine Francois Raveneau, Chablis Premier Cru, Butteaux")</f>
        <v>Domaine Francois Raveneau, Chablis Premier Cru, Butteaux</v>
      </c>
      <c r="E1284" s="9">
        <f>IFERROR(__xludf.DUMMYFUNCTION("""COMPUTED_VALUE"""),2019.0)</f>
        <v>2019</v>
      </c>
      <c r="F1284" s="9">
        <f>IFERROR(__xludf.DUMMYFUNCTION("""COMPUTED_VALUE"""),750.0)</f>
        <v>750</v>
      </c>
      <c r="G1284" s="9">
        <f>IFERROR(__xludf.DUMMYFUNCTION("""COMPUTED_VALUE"""),6.0)</f>
        <v>6</v>
      </c>
      <c r="H1284" s="10">
        <f>IFERROR(__xludf.DUMMYFUNCTION("""COMPUTED_VALUE"""),2.0)</f>
        <v>2</v>
      </c>
      <c r="I1284" s="11">
        <f>IFERROR(__xludf.DUMMYFUNCTION("""COMPUTED_VALUE"""),2037.0)</f>
        <v>2037</v>
      </c>
      <c r="J1284" s="9" t="str">
        <f>IFERROR(__xludf.DUMMYFUNCTION("""COMPUTED_VALUE"""),"UK")</f>
        <v>UK</v>
      </c>
      <c r="K1284" s="8"/>
      <c r="L1284" s="12"/>
      <c r="M1284" s="13"/>
      <c r="N1284" s="13" t="str">
        <f>IFERROR(__xludf.DUMMYFUNCTION("IF(ISBLANK(M1284),"""",M1284*GOOGLEFINANCE(""USDGBP""))"),"")</f>
        <v/>
      </c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</row>
    <row r="1285">
      <c r="A1285" s="8" t="str">
        <f>IFERROR(__xludf.DUMMYFUNCTION("""COMPUTED_VALUE"""),"107923020150600750")</f>
        <v>107923020150600750</v>
      </c>
      <c r="B1285" s="9" t="str">
        <f>IFERROR(__xludf.DUMMYFUNCTION("""COMPUTED_VALUE"""),"France")</f>
        <v>France</v>
      </c>
      <c r="C1285" s="9" t="str">
        <f>IFERROR(__xludf.DUMMYFUNCTION("""COMPUTED_VALUE"""),"burgundy")</f>
        <v>burgundy</v>
      </c>
      <c r="D1285" s="9" t="str">
        <f>IFERROR(__xludf.DUMMYFUNCTION("""COMPUTED_VALUE"""),"Domaine Francois Raveneau, Chablis Premier Cru, Forets")</f>
        <v>Domaine Francois Raveneau, Chablis Premier Cru, Forets</v>
      </c>
      <c r="E1285" s="9">
        <f>IFERROR(__xludf.DUMMYFUNCTION("""COMPUTED_VALUE"""),2015.0)</f>
        <v>2015</v>
      </c>
      <c r="F1285" s="9">
        <f>IFERROR(__xludf.DUMMYFUNCTION("""COMPUTED_VALUE"""),750.0)</f>
        <v>750</v>
      </c>
      <c r="G1285" s="9">
        <f>IFERROR(__xludf.DUMMYFUNCTION("""COMPUTED_VALUE"""),6.0)</f>
        <v>6</v>
      </c>
      <c r="H1285" s="10">
        <f>IFERROR(__xludf.DUMMYFUNCTION("""COMPUTED_VALUE"""),1.0)</f>
        <v>1</v>
      </c>
      <c r="I1285" s="11">
        <f>IFERROR(__xludf.DUMMYFUNCTION("""COMPUTED_VALUE"""),2648.0)</f>
        <v>2648</v>
      </c>
      <c r="J1285" s="9" t="str">
        <f>IFERROR(__xludf.DUMMYFUNCTION("""COMPUTED_VALUE"""),"UK")</f>
        <v>UK</v>
      </c>
      <c r="K1285" s="8"/>
      <c r="L1285" s="12"/>
      <c r="M1285" s="13"/>
      <c r="N1285" s="13" t="str">
        <f>IFERROR(__xludf.DUMMYFUNCTION("IF(ISBLANK(M1285),"""",M1285*GOOGLEFINANCE(""USDGBP""))"),"")</f>
        <v/>
      </c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</row>
    <row r="1286">
      <c r="A1286" s="8" t="str">
        <f>IFERROR(__xludf.DUMMYFUNCTION("""COMPUTED_VALUE"""),"107923020180600750")</f>
        <v>107923020180600750</v>
      </c>
      <c r="B1286" s="9" t="str">
        <f>IFERROR(__xludf.DUMMYFUNCTION("""COMPUTED_VALUE"""),"France")</f>
        <v>France</v>
      </c>
      <c r="C1286" s="9" t="str">
        <f>IFERROR(__xludf.DUMMYFUNCTION("""COMPUTED_VALUE"""),"burgundy")</f>
        <v>burgundy</v>
      </c>
      <c r="D1286" s="9" t="str">
        <f>IFERROR(__xludf.DUMMYFUNCTION("""COMPUTED_VALUE"""),"Domaine Francois Raveneau, Chablis Premier Cru, Forets")</f>
        <v>Domaine Francois Raveneau, Chablis Premier Cru, Forets</v>
      </c>
      <c r="E1286" s="9">
        <f>IFERROR(__xludf.DUMMYFUNCTION("""COMPUTED_VALUE"""),2018.0)</f>
        <v>2018</v>
      </c>
      <c r="F1286" s="9">
        <f>IFERROR(__xludf.DUMMYFUNCTION("""COMPUTED_VALUE"""),750.0)</f>
        <v>750</v>
      </c>
      <c r="G1286" s="9">
        <f>IFERROR(__xludf.DUMMYFUNCTION("""COMPUTED_VALUE"""),6.0)</f>
        <v>6</v>
      </c>
      <c r="H1286" s="10">
        <f>IFERROR(__xludf.DUMMYFUNCTION("""COMPUTED_VALUE"""),2.0)</f>
        <v>2</v>
      </c>
      <c r="I1286" s="11">
        <f>IFERROR(__xludf.DUMMYFUNCTION("""COMPUTED_VALUE"""),2036.0)</f>
        <v>2036</v>
      </c>
      <c r="J1286" s="9" t="str">
        <f>IFERROR(__xludf.DUMMYFUNCTION("""COMPUTED_VALUE"""),"UK")</f>
        <v>UK</v>
      </c>
      <c r="K1286" s="8"/>
      <c r="L1286" s="12"/>
      <c r="M1286" s="13"/>
      <c r="N1286" s="13" t="str">
        <f>IFERROR(__xludf.DUMMYFUNCTION("IF(ISBLANK(M1286),"""",M1286*GOOGLEFINANCE(""USDGBP""))"),"")</f>
        <v/>
      </c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</row>
    <row r="1287">
      <c r="A1287" s="8" t="str">
        <f>IFERROR(__xludf.DUMMYFUNCTION("""COMPUTED_VALUE"""),"107924320180100750")</f>
        <v>107924320180100750</v>
      </c>
      <c r="B1287" s="9" t="str">
        <f>IFERROR(__xludf.DUMMYFUNCTION("""COMPUTED_VALUE"""),"France")</f>
        <v>France</v>
      </c>
      <c r="C1287" s="9" t="str">
        <f>IFERROR(__xludf.DUMMYFUNCTION("""COMPUTED_VALUE"""),"burgundy")</f>
        <v>burgundy</v>
      </c>
      <c r="D1287" s="9" t="str">
        <f>IFERROR(__xludf.DUMMYFUNCTION("""COMPUTED_VALUE"""),"Domaine Francois Raveneau, Chablis Premier Cru, Montee de Tonnerre")</f>
        <v>Domaine Francois Raveneau, Chablis Premier Cru, Montee de Tonnerre</v>
      </c>
      <c r="E1287" s="9">
        <f>IFERROR(__xludf.DUMMYFUNCTION("""COMPUTED_VALUE"""),2018.0)</f>
        <v>2018</v>
      </c>
      <c r="F1287" s="9">
        <f>IFERROR(__xludf.DUMMYFUNCTION("""COMPUTED_VALUE"""),750.0)</f>
        <v>750</v>
      </c>
      <c r="G1287" s="9">
        <f>IFERROR(__xludf.DUMMYFUNCTION("""COMPUTED_VALUE"""),1.0)</f>
        <v>1</v>
      </c>
      <c r="H1287" s="10">
        <f>IFERROR(__xludf.DUMMYFUNCTION("""COMPUTED_VALUE"""),1.0)</f>
        <v>1</v>
      </c>
      <c r="I1287" s="11">
        <f>IFERROR(__xludf.DUMMYFUNCTION("""COMPUTED_VALUE"""),323.0)</f>
        <v>323</v>
      </c>
      <c r="J1287" s="9" t="str">
        <f>IFERROR(__xludf.DUMMYFUNCTION("""COMPUTED_VALUE"""),"UK")</f>
        <v>UK</v>
      </c>
      <c r="K1287" s="8"/>
      <c r="L1287" s="12"/>
      <c r="M1287" s="13"/>
      <c r="N1287" s="13" t="str">
        <f>IFERROR(__xludf.DUMMYFUNCTION("IF(ISBLANK(M1287),"""",M1287*GOOGLEFINANCE(""USDGBP""))"),"")</f>
        <v/>
      </c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</row>
    <row r="1288">
      <c r="A1288" s="8" t="str">
        <f>IFERROR(__xludf.DUMMYFUNCTION("""COMPUTED_VALUE"""),"107927220180600750")</f>
        <v>107927220180600750</v>
      </c>
      <c r="B1288" s="9" t="str">
        <f>IFERROR(__xludf.DUMMYFUNCTION("""COMPUTED_VALUE"""),"France")</f>
        <v>France</v>
      </c>
      <c r="C1288" s="9" t="str">
        <f>IFERROR(__xludf.DUMMYFUNCTION("""COMPUTED_VALUE"""),"burgundy")</f>
        <v>burgundy</v>
      </c>
      <c r="D1288" s="9" t="str">
        <f>IFERROR(__xludf.DUMMYFUNCTION("""COMPUTED_VALUE"""),"Domaine Francois Raveneau, Chablis Premier Cru, Vaillons")</f>
        <v>Domaine Francois Raveneau, Chablis Premier Cru, Vaillons</v>
      </c>
      <c r="E1288" s="9">
        <f>IFERROR(__xludf.DUMMYFUNCTION("""COMPUTED_VALUE"""),2018.0)</f>
        <v>2018</v>
      </c>
      <c r="F1288" s="9">
        <f>IFERROR(__xludf.DUMMYFUNCTION("""COMPUTED_VALUE"""),750.0)</f>
        <v>750</v>
      </c>
      <c r="G1288" s="9">
        <f>IFERROR(__xludf.DUMMYFUNCTION("""COMPUTED_VALUE"""),6.0)</f>
        <v>6</v>
      </c>
      <c r="H1288" s="10">
        <f>IFERROR(__xludf.DUMMYFUNCTION("""COMPUTED_VALUE"""),1.0)</f>
        <v>1</v>
      </c>
      <c r="I1288" s="11">
        <f>IFERROR(__xludf.DUMMYFUNCTION("""COMPUTED_VALUE"""),2047.0)</f>
        <v>2047</v>
      </c>
      <c r="J1288" s="9" t="str">
        <f>IFERROR(__xludf.DUMMYFUNCTION("""COMPUTED_VALUE"""),"UK")</f>
        <v>UK</v>
      </c>
      <c r="K1288" s="8"/>
      <c r="L1288" s="12"/>
      <c r="M1288" s="13"/>
      <c r="N1288" s="13" t="str">
        <f>IFERROR(__xludf.DUMMYFUNCTION("IF(ISBLANK(M1288),"""",M1288*GOOGLEFINANCE(""USDGBP""))"),"")</f>
        <v/>
      </c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</row>
    <row r="1289">
      <c r="A1289" s="8" t="str">
        <f>IFERROR(__xludf.DUMMYFUNCTION("""COMPUTED_VALUE"""),"106112520180600750")</f>
        <v>106112520180600750</v>
      </c>
      <c r="B1289" s="9" t="str">
        <f>IFERROR(__xludf.DUMMYFUNCTION("""COMPUTED_VALUE"""),"France")</f>
        <v>France</v>
      </c>
      <c r="C1289" s="9" t="str">
        <f>IFERROR(__xludf.DUMMYFUNCTION("""COMPUTED_VALUE"""),"burgundy")</f>
        <v>burgundy</v>
      </c>
      <c r="D1289" s="9" t="str">
        <f>IFERROR(__xludf.DUMMYFUNCTION("""COMPUTED_VALUE"""),"Domaine Henri Boillot, Meursault Premier Cru, Genevrieres")</f>
        <v>Domaine Henri Boillot, Meursault Premier Cru, Genevrieres</v>
      </c>
      <c r="E1289" s="9">
        <f>IFERROR(__xludf.DUMMYFUNCTION("""COMPUTED_VALUE"""),2018.0)</f>
        <v>2018</v>
      </c>
      <c r="F1289" s="9">
        <f>IFERROR(__xludf.DUMMYFUNCTION("""COMPUTED_VALUE"""),750.0)</f>
        <v>750</v>
      </c>
      <c r="G1289" s="9">
        <f>IFERROR(__xludf.DUMMYFUNCTION("""COMPUTED_VALUE"""),6.0)</f>
        <v>6</v>
      </c>
      <c r="H1289" s="10">
        <f>IFERROR(__xludf.DUMMYFUNCTION("""COMPUTED_VALUE"""),5.0)</f>
        <v>5</v>
      </c>
      <c r="I1289" s="11">
        <f>IFERROR(__xludf.DUMMYFUNCTION("""COMPUTED_VALUE"""),963.0)</f>
        <v>963</v>
      </c>
      <c r="J1289" s="9" t="str">
        <f>IFERROR(__xludf.DUMMYFUNCTION("""COMPUTED_VALUE"""),"UK")</f>
        <v>UK</v>
      </c>
      <c r="K1289" s="8"/>
      <c r="L1289" s="12"/>
      <c r="M1289" s="13"/>
      <c r="N1289" s="13" t="str">
        <f>IFERROR(__xludf.DUMMYFUNCTION("IF(ISBLANK(M1289),"""",M1289*GOOGLEFINANCE(""USDGBP""))"),"")</f>
        <v/>
      </c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</row>
    <row r="1290">
      <c r="A1290" s="8" t="str">
        <f>IFERROR(__xludf.DUMMYFUNCTION("""COMPUTED_VALUE"""),"106122620120600750")</f>
        <v>106122620120600750</v>
      </c>
      <c r="B1290" s="9" t="str">
        <f>IFERROR(__xludf.DUMMYFUNCTION("""COMPUTED_VALUE"""),"France")</f>
        <v>France</v>
      </c>
      <c r="C1290" s="9" t="str">
        <f>IFERROR(__xludf.DUMMYFUNCTION("""COMPUTED_VALUE"""),"burgundy")</f>
        <v>burgundy</v>
      </c>
      <c r="D1290" s="9" t="str">
        <f>IFERROR(__xludf.DUMMYFUNCTION("""COMPUTED_VALUE"""),"Domaine Henri Boillot, Puligny-Montrachet Premier Cru, Clos de la Mouchere")</f>
        <v>Domaine Henri Boillot, Puligny-Montrachet Premier Cru, Clos de la Mouchere</v>
      </c>
      <c r="E1290" s="9">
        <f>IFERROR(__xludf.DUMMYFUNCTION("""COMPUTED_VALUE"""),2012.0)</f>
        <v>2012</v>
      </c>
      <c r="F1290" s="9">
        <f>IFERROR(__xludf.DUMMYFUNCTION("""COMPUTED_VALUE"""),750.0)</f>
        <v>750</v>
      </c>
      <c r="G1290" s="9">
        <f>IFERROR(__xludf.DUMMYFUNCTION("""COMPUTED_VALUE"""),6.0)</f>
        <v>6</v>
      </c>
      <c r="H1290" s="10">
        <f>IFERROR(__xludf.DUMMYFUNCTION("""COMPUTED_VALUE"""),1.0)</f>
        <v>1</v>
      </c>
      <c r="I1290" s="11">
        <f>IFERROR(__xludf.DUMMYFUNCTION("""COMPUTED_VALUE"""),1327.0)</f>
        <v>1327</v>
      </c>
      <c r="J1290" s="9" t="str">
        <f>IFERROR(__xludf.DUMMYFUNCTION("""COMPUTED_VALUE"""),"UK")</f>
        <v>UK</v>
      </c>
      <c r="K1290" s="8"/>
      <c r="L1290" s="12"/>
      <c r="M1290" s="13"/>
      <c r="N1290" s="13" t="str">
        <f>IFERROR(__xludf.DUMMYFUNCTION("IF(ISBLANK(M1290),"""",M1290*GOOGLEFINANCE(""USDGBP""))"),"")</f>
        <v/>
      </c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</row>
    <row r="1291">
      <c r="A1291" s="8" t="str">
        <f>IFERROR(__xludf.DUMMYFUNCTION("""COMPUTED_VALUE"""),"106122620170600750")</f>
        <v>106122620170600750</v>
      </c>
      <c r="B1291" s="9" t="str">
        <f>IFERROR(__xludf.DUMMYFUNCTION("""COMPUTED_VALUE"""),"France")</f>
        <v>France</v>
      </c>
      <c r="C1291" s="9" t="str">
        <f>IFERROR(__xludf.DUMMYFUNCTION("""COMPUTED_VALUE"""),"burgundy")</f>
        <v>burgundy</v>
      </c>
      <c r="D1291" s="9" t="str">
        <f>IFERROR(__xludf.DUMMYFUNCTION("""COMPUTED_VALUE"""),"Domaine Henri Boillot, Puligny-Montrachet Premier Cru, Clos de la Mouchere")</f>
        <v>Domaine Henri Boillot, Puligny-Montrachet Premier Cru, Clos de la Mouchere</v>
      </c>
      <c r="E1291" s="9">
        <f>IFERROR(__xludf.DUMMYFUNCTION("""COMPUTED_VALUE"""),2017.0)</f>
        <v>2017</v>
      </c>
      <c r="F1291" s="9">
        <f>IFERROR(__xludf.DUMMYFUNCTION("""COMPUTED_VALUE"""),750.0)</f>
        <v>750</v>
      </c>
      <c r="G1291" s="9">
        <f>IFERROR(__xludf.DUMMYFUNCTION("""COMPUTED_VALUE"""),6.0)</f>
        <v>6</v>
      </c>
      <c r="H1291" s="10">
        <f>IFERROR(__xludf.DUMMYFUNCTION("""COMPUTED_VALUE"""),1.0)</f>
        <v>1</v>
      </c>
      <c r="I1291" s="11">
        <f>IFERROR(__xludf.DUMMYFUNCTION("""COMPUTED_VALUE"""),1136.0)</f>
        <v>1136</v>
      </c>
      <c r="J1291" s="9" t="str">
        <f>IFERROR(__xludf.DUMMYFUNCTION("""COMPUTED_VALUE"""),"UK")</f>
        <v>UK</v>
      </c>
      <c r="K1291" s="8"/>
      <c r="L1291" s="12"/>
      <c r="M1291" s="13"/>
      <c r="N1291" s="13" t="str">
        <f>IFERROR(__xludf.DUMMYFUNCTION("IF(ISBLANK(M1291),"""",M1291*GOOGLEFINANCE(""USDGBP""))"),"")</f>
        <v/>
      </c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</row>
    <row r="1292">
      <c r="A1292" s="8" t="str">
        <f>IFERROR(__xludf.DUMMYFUNCTION("""COMPUTED_VALUE"""),"106122620180600750")</f>
        <v>106122620180600750</v>
      </c>
      <c r="B1292" s="9" t="str">
        <f>IFERROR(__xludf.DUMMYFUNCTION("""COMPUTED_VALUE"""),"France")</f>
        <v>France</v>
      </c>
      <c r="C1292" s="9" t="str">
        <f>IFERROR(__xludf.DUMMYFUNCTION("""COMPUTED_VALUE"""),"burgundy")</f>
        <v>burgundy</v>
      </c>
      <c r="D1292" s="9" t="str">
        <f>IFERROR(__xludf.DUMMYFUNCTION("""COMPUTED_VALUE"""),"Domaine Henri Boillot, Puligny-Montrachet Premier Cru, Clos de la Mouchere")</f>
        <v>Domaine Henri Boillot, Puligny-Montrachet Premier Cru, Clos de la Mouchere</v>
      </c>
      <c r="E1292" s="9">
        <f>IFERROR(__xludf.DUMMYFUNCTION("""COMPUTED_VALUE"""),2018.0)</f>
        <v>2018</v>
      </c>
      <c r="F1292" s="9">
        <f>IFERROR(__xludf.DUMMYFUNCTION("""COMPUTED_VALUE"""),750.0)</f>
        <v>750</v>
      </c>
      <c r="G1292" s="9">
        <f>IFERROR(__xludf.DUMMYFUNCTION("""COMPUTED_VALUE"""),6.0)</f>
        <v>6</v>
      </c>
      <c r="H1292" s="10">
        <f>IFERROR(__xludf.DUMMYFUNCTION("""COMPUTED_VALUE"""),26.0)</f>
        <v>26</v>
      </c>
      <c r="I1292" s="11">
        <f>IFERROR(__xludf.DUMMYFUNCTION("""COMPUTED_VALUE"""),916.0)</f>
        <v>916</v>
      </c>
      <c r="J1292" s="9" t="str">
        <f>IFERROR(__xludf.DUMMYFUNCTION("""COMPUTED_VALUE"""),"UK")</f>
        <v>UK</v>
      </c>
      <c r="K1292" s="8"/>
      <c r="L1292" s="12"/>
      <c r="M1292" s="13"/>
      <c r="N1292" s="13" t="str">
        <f>IFERROR(__xludf.DUMMYFUNCTION("IF(ISBLANK(M1292),"""",M1292*GOOGLEFINANCE(""USDGBP""))"),"")</f>
        <v/>
      </c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</row>
    <row r="1293">
      <c r="A1293" s="8" t="str">
        <f>IFERROR(__xludf.DUMMYFUNCTION("""COMPUTED_VALUE"""),"106122620190600750")</f>
        <v>106122620190600750</v>
      </c>
      <c r="B1293" s="9" t="str">
        <f>IFERROR(__xludf.DUMMYFUNCTION("""COMPUTED_VALUE"""),"France")</f>
        <v>France</v>
      </c>
      <c r="C1293" s="9" t="str">
        <f>IFERROR(__xludf.DUMMYFUNCTION("""COMPUTED_VALUE"""),"burgundy")</f>
        <v>burgundy</v>
      </c>
      <c r="D1293" s="9" t="str">
        <f>IFERROR(__xludf.DUMMYFUNCTION("""COMPUTED_VALUE"""),"Domaine Henri Boillot, Puligny-Montrachet Premier Cru, Clos de la Mouchere")</f>
        <v>Domaine Henri Boillot, Puligny-Montrachet Premier Cru, Clos de la Mouchere</v>
      </c>
      <c r="E1293" s="9">
        <f>IFERROR(__xludf.DUMMYFUNCTION("""COMPUTED_VALUE"""),2019.0)</f>
        <v>2019</v>
      </c>
      <c r="F1293" s="9">
        <f>IFERROR(__xludf.DUMMYFUNCTION("""COMPUTED_VALUE"""),750.0)</f>
        <v>750</v>
      </c>
      <c r="G1293" s="9">
        <f>IFERROR(__xludf.DUMMYFUNCTION("""COMPUTED_VALUE"""),6.0)</f>
        <v>6</v>
      </c>
      <c r="H1293" s="10">
        <f>IFERROR(__xludf.DUMMYFUNCTION("""COMPUTED_VALUE"""),6.0)</f>
        <v>6</v>
      </c>
      <c r="I1293" s="11">
        <f>IFERROR(__xludf.DUMMYFUNCTION("""COMPUTED_VALUE"""),1104.0)</f>
        <v>1104</v>
      </c>
      <c r="J1293" s="9" t="str">
        <f>IFERROR(__xludf.DUMMYFUNCTION("""COMPUTED_VALUE"""),"UK")</f>
        <v>UK</v>
      </c>
      <c r="K1293" s="8"/>
      <c r="L1293" s="12"/>
      <c r="M1293" s="13"/>
      <c r="N1293" s="13" t="str">
        <f>IFERROR(__xludf.DUMMYFUNCTION("IF(ISBLANK(M1293),"""",M1293*GOOGLEFINANCE(""USDGBP""))"),"")</f>
        <v/>
      </c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</row>
    <row r="1294">
      <c r="A1294" s="8" t="str">
        <f>IFERROR(__xludf.DUMMYFUNCTION("""COMPUTED_VALUE"""),"123196620160600750")</f>
        <v>123196620160600750</v>
      </c>
      <c r="B1294" s="9" t="str">
        <f>IFERROR(__xludf.DUMMYFUNCTION("""COMPUTED_VALUE"""),"France")</f>
        <v>France</v>
      </c>
      <c r="C1294" s="9" t="str">
        <f>IFERROR(__xludf.DUMMYFUNCTION("""COMPUTED_VALUE"""),"burgundy")</f>
        <v>burgundy</v>
      </c>
      <c r="D1294" s="9" t="str">
        <f>IFERROR(__xludf.DUMMYFUNCTION("""COMPUTED_VALUE"""),"Domaine Henri Boillot, Puligny-Montrachet Premier Cru, Les Combettes")</f>
        <v>Domaine Henri Boillot, Puligny-Montrachet Premier Cru, Les Combettes</v>
      </c>
      <c r="E1294" s="9">
        <f>IFERROR(__xludf.DUMMYFUNCTION("""COMPUTED_VALUE"""),2016.0)</f>
        <v>2016</v>
      </c>
      <c r="F1294" s="9">
        <f>IFERROR(__xludf.DUMMYFUNCTION("""COMPUTED_VALUE"""),750.0)</f>
        <v>750</v>
      </c>
      <c r="G1294" s="9">
        <f>IFERROR(__xludf.DUMMYFUNCTION("""COMPUTED_VALUE"""),6.0)</f>
        <v>6</v>
      </c>
      <c r="H1294" s="10">
        <f>IFERROR(__xludf.DUMMYFUNCTION("""COMPUTED_VALUE"""),1.0)</f>
        <v>1</v>
      </c>
      <c r="I1294" s="11">
        <f>IFERROR(__xludf.DUMMYFUNCTION("""COMPUTED_VALUE"""),1324.0)</f>
        <v>1324</v>
      </c>
      <c r="J1294" s="9" t="str">
        <f>IFERROR(__xludf.DUMMYFUNCTION("""COMPUTED_VALUE"""),"UK")</f>
        <v>UK</v>
      </c>
      <c r="K1294" s="8"/>
      <c r="L1294" s="12"/>
      <c r="M1294" s="13"/>
      <c r="N1294" s="13" t="str">
        <f>IFERROR(__xludf.DUMMYFUNCTION("IF(ISBLANK(M1294),"""",M1294*GOOGLEFINANCE(""USDGBP""))"),"")</f>
        <v/>
      </c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</row>
    <row r="1295">
      <c r="A1295" s="8" t="str">
        <f>IFERROR(__xludf.DUMMYFUNCTION("""COMPUTED_VALUE"""),"123196620180600750")</f>
        <v>123196620180600750</v>
      </c>
      <c r="B1295" s="9" t="str">
        <f>IFERROR(__xludf.DUMMYFUNCTION("""COMPUTED_VALUE"""),"France")</f>
        <v>France</v>
      </c>
      <c r="C1295" s="9" t="str">
        <f>IFERROR(__xludf.DUMMYFUNCTION("""COMPUTED_VALUE"""),"burgundy")</f>
        <v>burgundy</v>
      </c>
      <c r="D1295" s="9" t="str">
        <f>IFERROR(__xludf.DUMMYFUNCTION("""COMPUTED_VALUE"""),"Domaine Henri Boillot, Puligny-Montrachet Premier Cru, Les Combettes")</f>
        <v>Domaine Henri Boillot, Puligny-Montrachet Premier Cru, Les Combettes</v>
      </c>
      <c r="E1295" s="9">
        <f>IFERROR(__xludf.DUMMYFUNCTION("""COMPUTED_VALUE"""),2018.0)</f>
        <v>2018</v>
      </c>
      <c r="F1295" s="9">
        <f>IFERROR(__xludf.DUMMYFUNCTION("""COMPUTED_VALUE"""),750.0)</f>
        <v>750</v>
      </c>
      <c r="G1295" s="9">
        <f>IFERROR(__xludf.DUMMYFUNCTION("""COMPUTED_VALUE"""),6.0)</f>
        <v>6</v>
      </c>
      <c r="H1295" s="10">
        <f>IFERROR(__xludf.DUMMYFUNCTION("""COMPUTED_VALUE"""),3.0)</f>
        <v>3</v>
      </c>
      <c r="I1295" s="11">
        <f>IFERROR(__xludf.DUMMYFUNCTION("""COMPUTED_VALUE"""),1010.0)</f>
        <v>1010</v>
      </c>
      <c r="J1295" s="9" t="str">
        <f>IFERROR(__xludf.DUMMYFUNCTION("""COMPUTED_VALUE"""),"UK")</f>
        <v>UK</v>
      </c>
      <c r="K1295" s="8"/>
      <c r="L1295" s="12"/>
      <c r="M1295" s="13"/>
      <c r="N1295" s="13" t="str">
        <f>IFERROR(__xludf.DUMMYFUNCTION("IF(ISBLANK(M1295),"""",M1295*GOOGLEFINANCE(""USDGBP""))"),"")</f>
        <v/>
      </c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</row>
    <row r="1296">
      <c r="A1296" s="8" t="str">
        <f>IFERROR(__xludf.DUMMYFUNCTION("""COMPUTED_VALUE"""),"106124220181200750")</f>
        <v>106124220181200750</v>
      </c>
      <c r="B1296" s="9" t="str">
        <f>IFERROR(__xludf.DUMMYFUNCTION("""COMPUTED_VALUE"""),"France")</f>
        <v>France</v>
      </c>
      <c r="C1296" s="9" t="str">
        <f>IFERROR(__xludf.DUMMYFUNCTION("""COMPUTED_VALUE"""),"burgundy")</f>
        <v>burgundy</v>
      </c>
      <c r="D1296" s="9" t="str">
        <f>IFERROR(__xludf.DUMMYFUNCTION("""COMPUTED_VALUE"""),"Domaine Henri Boillot, Puligny-Montrachet Premier Cru, Les Pucelles")</f>
        <v>Domaine Henri Boillot, Puligny-Montrachet Premier Cru, Les Pucelles</v>
      </c>
      <c r="E1296" s="9">
        <f>IFERROR(__xludf.DUMMYFUNCTION("""COMPUTED_VALUE"""),2018.0)</f>
        <v>2018</v>
      </c>
      <c r="F1296" s="9">
        <f>IFERROR(__xludf.DUMMYFUNCTION("""COMPUTED_VALUE"""),750.0)</f>
        <v>750</v>
      </c>
      <c r="G1296" s="9">
        <f>IFERROR(__xludf.DUMMYFUNCTION("""COMPUTED_VALUE"""),12.0)</f>
        <v>12</v>
      </c>
      <c r="H1296" s="10">
        <f>IFERROR(__xludf.DUMMYFUNCTION("""COMPUTED_VALUE"""),1.0)</f>
        <v>1</v>
      </c>
      <c r="I1296" s="11">
        <f>IFERROR(__xludf.DUMMYFUNCTION("""COMPUTED_VALUE"""),2631.0)</f>
        <v>2631</v>
      </c>
      <c r="J1296" s="9" t="str">
        <f>IFERROR(__xludf.DUMMYFUNCTION("""COMPUTED_VALUE"""),"UK")</f>
        <v>UK</v>
      </c>
      <c r="K1296" s="8"/>
      <c r="L1296" s="12"/>
      <c r="M1296" s="13"/>
      <c r="N1296" s="13" t="str">
        <f>IFERROR(__xludf.DUMMYFUNCTION("IF(ISBLANK(M1296),"""",M1296*GOOGLEFINANCE(""USDGBP""))"),"")</f>
        <v/>
      </c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</row>
    <row r="1297">
      <c r="A1297" s="8" t="str">
        <f>IFERROR(__xludf.DUMMYFUNCTION("""COMPUTED_VALUE"""),"119511820191200750")</f>
        <v>119511820191200750</v>
      </c>
      <c r="B1297" s="9" t="str">
        <f>IFERROR(__xludf.DUMMYFUNCTION("""COMPUTED_VALUE"""),"France")</f>
        <v>France</v>
      </c>
      <c r="C1297" s="9" t="str">
        <f>IFERROR(__xludf.DUMMYFUNCTION("""COMPUTED_VALUE"""),"burgundy")</f>
        <v>burgundy</v>
      </c>
      <c r="D1297" s="9" t="str">
        <f>IFERROR(__xludf.DUMMYFUNCTION("""COMPUTED_VALUE"""),"Domaine Jacques Carillon, Puligny-Montrachet")</f>
        <v>Domaine Jacques Carillon, Puligny-Montrachet</v>
      </c>
      <c r="E1297" s="9">
        <f>IFERROR(__xludf.DUMMYFUNCTION("""COMPUTED_VALUE"""),2019.0)</f>
        <v>2019</v>
      </c>
      <c r="F1297" s="9">
        <f>IFERROR(__xludf.DUMMYFUNCTION("""COMPUTED_VALUE"""),750.0)</f>
        <v>750</v>
      </c>
      <c r="G1297" s="9">
        <f>IFERROR(__xludf.DUMMYFUNCTION("""COMPUTED_VALUE"""),12.0)</f>
        <v>12</v>
      </c>
      <c r="H1297" s="10">
        <f>IFERROR(__xludf.DUMMYFUNCTION("""COMPUTED_VALUE"""),1.0)</f>
        <v>1</v>
      </c>
      <c r="I1297" s="11">
        <f>IFERROR(__xludf.DUMMYFUNCTION("""COMPUTED_VALUE"""),828.0)</f>
        <v>828</v>
      </c>
      <c r="J1297" s="9" t="str">
        <f>IFERROR(__xludf.DUMMYFUNCTION("""COMPUTED_VALUE"""),"UK")</f>
        <v>UK</v>
      </c>
      <c r="K1297" s="8"/>
      <c r="L1297" s="12"/>
      <c r="M1297" s="13"/>
      <c r="N1297" s="13" t="str">
        <f>IFERROR(__xludf.DUMMYFUNCTION("IF(ISBLANK(M1297),"""",M1297*GOOGLEFINANCE(""USDGBP""))"),"")</f>
        <v/>
      </c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</row>
    <row r="1298">
      <c r="A1298" s="8" t="str">
        <f>IFERROR(__xludf.DUMMYFUNCTION("""COMPUTED_VALUE"""),"107338420180600750")</f>
        <v>107338420180600750</v>
      </c>
      <c r="B1298" s="9" t="str">
        <f>IFERROR(__xludf.DUMMYFUNCTION("""COMPUTED_VALUE"""),"France")</f>
        <v>France</v>
      </c>
      <c r="C1298" s="9" t="str">
        <f>IFERROR(__xludf.DUMMYFUNCTION("""COMPUTED_VALUE"""),"burgundy")</f>
        <v>burgundy</v>
      </c>
      <c r="D1298" s="9" t="str">
        <f>IFERROR(__xludf.DUMMYFUNCTION("""COMPUTED_VALUE"""),"Domaine Leflaive, Bourgogne, Blanc")</f>
        <v>Domaine Leflaive, Bourgogne, Blanc</v>
      </c>
      <c r="E1298" s="9">
        <f>IFERROR(__xludf.DUMMYFUNCTION("""COMPUTED_VALUE"""),2018.0)</f>
        <v>2018</v>
      </c>
      <c r="F1298" s="9">
        <f>IFERROR(__xludf.DUMMYFUNCTION("""COMPUTED_VALUE"""),750.0)</f>
        <v>750</v>
      </c>
      <c r="G1298" s="9">
        <f>IFERROR(__xludf.DUMMYFUNCTION("""COMPUTED_VALUE"""),6.0)</f>
        <v>6</v>
      </c>
      <c r="H1298" s="10">
        <f>IFERROR(__xludf.DUMMYFUNCTION("""COMPUTED_VALUE"""),5.0)</f>
        <v>5</v>
      </c>
      <c r="I1298" s="11">
        <f>IFERROR(__xludf.DUMMYFUNCTION("""COMPUTED_VALUE"""),551.0)</f>
        <v>551</v>
      </c>
      <c r="J1298" s="9" t="str">
        <f>IFERROR(__xludf.DUMMYFUNCTION("""COMPUTED_VALUE"""),"UK")</f>
        <v>UK</v>
      </c>
      <c r="K1298" s="8"/>
      <c r="L1298" s="12"/>
      <c r="M1298" s="13"/>
      <c r="N1298" s="13" t="str">
        <f>IFERROR(__xludf.DUMMYFUNCTION("IF(ISBLANK(M1298),"""",M1298*GOOGLEFINANCE(""USDGBP""))"),"")</f>
        <v/>
      </c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</row>
    <row r="1299">
      <c r="A1299" s="8" t="str">
        <f>IFERROR(__xludf.DUMMYFUNCTION("""COMPUTED_VALUE"""),"107346920180301500")</f>
        <v>107346920180301500</v>
      </c>
      <c r="B1299" s="9" t="str">
        <f>IFERROR(__xludf.DUMMYFUNCTION("""COMPUTED_VALUE"""),"France")</f>
        <v>France</v>
      </c>
      <c r="C1299" s="9" t="str">
        <f>IFERROR(__xludf.DUMMYFUNCTION("""COMPUTED_VALUE"""),"burgundy")</f>
        <v>burgundy</v>
      </c>
      <c r="D1299" s="9" t="str">
        <f>IFERROR(__xludf.DUMMYFUNCTION("""COMPUTED_VALUE"""),"Domaine Leflaive, Puligny-Montrachet")</f>
        <v>Domaine Leflaive, Puligny-Montrachet</v>
      </c>
      <c r="E1299" s="9">
        <f>IFERROR(__xludf.DUMMYFUNCTION("""COMPUTED_VALUE"""),2018.0)</f>
        <v>2018</v>
      </c>
      <c r="F1299" s="9">
        <f>IFERROR(__xludf.DUMMYFUNCTION("""COMPUTED_VALUE"""),1500.0)</f>
        <v>1500</v>
      </c>
      <c r="G1299" s="9">
        <f>IFERROR(__xludf.DUMMYFUNCTION("""COMPUTED_VALUE"""),3.0)</f>
        <v>3</v>
      </c>
      <c r="H1299" s="10">
        <f>IFERROR(__xludf.DUMMYFUNCTION("""COMPUTED_VALUE"""),1.0)</f>
        <v>1</v>
      </c>
      <c r="I1299" s="11">
        <f>IFERROR(__xludf.DUMMYFUNCTION("""COMPUTED_VALUE"""),1201.0)</f>
        <v>1201</v>
      </c>
      <c r="J1299" s="9" t="str">
        <f>IFERROR(__xludf.DUMMYFUNCTION("""COMPUTED_VALUE"""),"UK")</f>
        <v>UK</v>
      </c>
      <c r="K1299" s="8"/>
      <c r="L1299" s="12"/>
      <c r="M1299" s="13"/>
      <c r="N1299" s="13" t="str">
        <f>IFERROR(__xludf.DUMMYFUNCTION("IF(ISBLANK(M1299),"""",M1299*GOOGLEFINANCE(""USDGBP""))"),"")</f>
        <v/>
      </c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</row>
    <row r="1300">
      <c r="A1300" s="8" t="str">
        <f>IFERROR(__xludf.DUMMYFUNCTION("""COMPUTED_VALUE"""),"107349820180301500")</f>
        <v>107349820180301500</v>
      </c>
      <c r="B1300" s="9" t="str">
        <f>IFERROR(__xludf.DUMMYFUNCTION("""COMPUTED_VALUE"""),"France")</f>
        <v>France</v>
      </c>
      <c r="C1300" s="9" t="str">
        <f>IFERROR(__xludf.DUMMYFUNCTION("""COMPUTED_VALUE"""),"burgundy")</f>
        <v>burgundy</v>
      </c>
      <c r="D1300" s="9" t="str">
        <f>IFERROR(__xludf.DUMMYFUNCTION("""COMPUTED_VALUE"""),"Domaine Leflaive, Puligny-Montrachet Premier Cru, Les Combettes")</f>
        <v>Domaine Leflaive, Puligny-Montrachet Premier Cru, Les Combettes</v>
      </c>
      <c r="E1300" s="9">
        <f>IFERROR(__xludf.DUMMYFUNCTION("""COMPUTED_VALUE"""),2018.0)</f>
        <v>2018</v>
      </c>
      <c r="F1300" s="9">
        <f>IFERROR(__xludf.DUMMYFUNCTION("""COMPUTED_VALUE"""),1500.0)</f>
        <v>1500</v>
      </c>
      <c r="G1300" s="9">
        <f>IFERROR(__xludf.DUMMYFUNCTION("""COMPUTED_VALUE"""),3.0)</f>
        <v>3</v>
      </c>
      <c r="H1300" s="10">
        <f>IFERROR(__xludf.DUMMYFUNCTION("""COMPUTED_VALUE"""),1.0)</f>
        <v>1</v>
      </c>
      <c r="I1300" s="11">
        <f>IFERROR(__xludf.DUMMYFUNCTION("""COMPUTED_VALUE"""),2727.0)</f>
        <v>2727</v>
      </c>
      <c r="J1300" s="9" t="str">
        <f>IFERROR(__xludf.DUMMYFUNCTION("""COMPUTED_VALUE"""),"UK")</f>
        <v>UK</v>
      </c>
      <c r="K1300" s="8"/>
      <c r="L1300" s="12"/>
      <c r="M1300" s="13"/>
      <c r="N1300" s="13" t="str">
        <f>IFERROR(__xludf.DUMMYFUNCTION("IF(ISBLANK(M1300),"""",M1300*GOOGLEFINANCE(""USDGBP""))"),"")</f>
        <v/>
      </c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</row>
    <row r="1301">
      <c r="A1301" s="8" t="str">
        <f>IFERROR(__xludf.DUMMYFUNCTION("""COMPUTED_VALUE"""),"107350220180600750")</f>
        <v>107350220180600750</v>
      </c>
      <c r="B1301" s="9" t="str">
        <f>IFERROR(__xludf.DUMMYFUNCTION("""COMPUTED_VALUE"""),"France")</f>
        <v>France</v>
      </c>
      <c r="C1301" s="9" t="str">
        <f>IFERROR(__xludf.DUMMYFUNCTION("""COMPUTED_VALUE"""),"burgundy")</f>
        <v>burgundy</v>
      </c>
      <c r="D1301" s="9" t="str">
        <f>IFERROR(__xludf.DUMMYFUNCTION("""COMPUTED_VALUE"""),"Domaine Leflaive, Puligny-Montrachet Premier Cru, Les Folatieres")</f>
        <v>Domaine Leflaive, Puligny-Montrachet Premier Cru, Les Folatieres</v>
      </c>
      <c r="E1301" s="9">
        <f>IFERROR(__xludf.DUMMYFUNCTION("""COMPUTED_VALUE"""),2018.0)</f>
        <v>2018</v>
      </c>
      <c r="F1301" s="9">
        <f>IFERROR(__xludf.DUMMYFUNCTION("""COMPUTED_VALUE"""),750.0)</f>
        <v>750</v>
      </c>
      <c r="G1301" s="9">
        <f>IFERROR(__xludf.DUMMYFUNCTION("""COMPUTED_VALUE"""),6.0)</f>
        <v>6</v>
      </c>
      <c r="H1301" s="10">
        <f>IFERROR(__xludf.DUMMYFUNCTION("""COMPUTED_VALUE"""),1.0)</f>
        <v>1</v>
      </c>
      <c r="I1301" s="11">
        <f>IFERROR(__xludf.DUMMYFUNCTION("""COMPUTED_VALUE"""),2288.0)</f>
        <v>2288</v>
      </c>
      <c r="J1301" s="9" t="str">
        <f>IFERROR(__xludf.DUMMYFUNCTION("""COMPUTED_VALUE"""),"UK")</f>
        <v>UK</v>
      </c>
      <c r="K1301" s="8"/>
      <c r="L1301" s="12"/>
      <c r="M1301" s="13"/>
      <c r="N1301" s="13" t="str">
        <f>IFERROR(__xludf.DUMMYFUNCTION("IF(ISBLANK(M1301),"""",M1301*GOOGLEFINANCE(""USDGBP""))"),"")</f>
        <v/>
      </c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</row>
    <row r="1302">
      <c r="A1302" s="8" t="str">
        <f>IFERROR(__xludf.DUMMYFUNCTION("""COMPUTED_VALUE"""),"107351520180600750")</f>
        <v>107351520180600750</v>
      </c>
      <c r="B1302" s="9" t="str">
        <f>IFERROR(__xludf.DUMMYFUNCTION("""COMPUTED_VALUE"""),"France")</f>
        <v>France</v>
      </c>
      <c r="C1302" s="9" t="str">
        <f>IFERROR(__xludf.DUMMYFUNCTION("""COMPUTED_VALUE"""),"burgundy")</f>
        <v>burgundy</v>
      </c>
      <c r="D1302" s="9" t="str">
        <f>IFERROR(__xludf.DUMMYFUNCTION("""COMPUTED_VALUE"""),"Domaine Leflaive, Puligny-Montrachet Premier Cru, Les Pucelles")</f>
        <v>Domaine Leflaive, Puligny-Montrachet Premier Cru, Les Pucelles</v>
      </c>
      <c r="E1302" s="9">
        <f>IFERROR(__xludf.DUMMYFUNCTION("""COMPUTED_VALUE"""),2018.0)</f>
        <v>2018</v>
      </c>
      <c r="F1302" s="9">
        <f>IFERROR(__xludf.DUMMYFUNCTION("""COMPUTED_VALUE"""),750.0)</f>
        <v>750</v>
      </c>
      <c r="G1302" s="9">
        <f>IFERROR(__xludf.DUMMYFUNCTION("""COMPUTED_VALUE"""),6.0)</f>
        <v>6</v>
      </c>
      <c r="H1302" s="10">
        <f>IFERROR(__xludf.DUMMYFUNCTION("""COMPUTED_VALUE"""),2.0)</f>
        <v>2</v>
      </c>
      <c r="I1302" s="11">
        <f>IFERROR(__xludf.DUMMYFUNCTION("""COMPUTED_VALUE"""),2905.0)</f>
        <v>2905</v>
      </c>
      <c r="J1302" s="9" t="str">
        <f>IFERROR(__xludf.DUMMYFUNCTION("""COMPUTED_VALUE"""),"UK")</f>
        <v>UK</v>
      </c>
      <c r="K1302" s="8"/>
      <c r="L1302" s="12"/>
      <c r="M1302" s="13"/>
      <c r="N1302" s="13" t="str">
        <f>IFERROR(__xludf.DUMMYFUNCTION("IF(ISBLANK(M1302),"""",M1302*GOOGLEFINANCE(""USDGBP""))"),"")</f>
        <v/>
      </c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</row>
    <row r="1303">
      <c r="A1303" s="8" t="str">
        <f>IFERROR(__xludf.DUMMYFUNCTION("""COMPUTED_VALUE"""),"107351520190600750")</f>
        <v>107351520190600750</v>
      </c>
      <c r="B1303" s="9" t="str">
        <f>IFERROR(__xludf.DUMMYFUNCTION("""COMPUTED_VALUE"""),"France")</f>
        <v>France</v>
      </c>
      <c r="C1303" s="9" t="str">
        <f>IFERROR(__xludf.DUMMYFUNCTION("""COMPUTED_VALUE"""),"burgundy")</f>
        <v>burgundy</v>
      </c>
      <c r="D1303" s="9" t="str">
        <f>IFERROR(__xludf.DUMMYFUNCTION("""COMPUTED_VALUE"""),"Domaine Leflaive, Puligny-Montrachet Premier Cru, Les Pucelles")</f>
        <v>Domaine Leflaive, Puligny-Montrachet Premier Cru, Les Pucelles</v>
      </c>
      <c r="E1303" s="9">
        <f>IFERROR(__xludf.DUMMYFUNCTION("""COMPUTED_VALUE"""),2019.0)</f>
        <v>2019</v>
      </c>
      <c r="F1303" s="9">
        <f>IFERROR(__xludf.DUMMYFUNCTION("""COMPUTED_VALUE"""),750.0)</f>
        <v>750</v>
      </c>
      <c r="G1303" s="9">
        <f>IFERROR(__xludf.DUMMYFUNCTION("""COMPUTED_VALUE"""),6.0)</f>
        <v>6</v>
      </c>
      <c r="H1303" s="10">
        <f>IFERROR(__xludf.DUMMYFUNCTION("""COMPUTED_VALUE"""),1.0)</f>
        <v>1</v>
      </c>
      <c r="I1303" s="11">
        <f>IFERROR(__xludf.DUMMYFUNCTION("""COMPUTED_VALUE"""),3129.0)</f>
        <v>3129</v>
      </c>
      <c r="J1303" s="9" t="str">
        <f>IFERROR(__xludf.DUMMYFUNCTION("""COMPUTED_VALUE"""),"UK")</f>
        <v>UK</v>
      </c>
      <c r="K1303" s="8"/>
      <c r="L1303" s="12"/>
      <c r="M1303" s="13"/>
      <c r="N1303" s="13" t="str">
        <f>IFERROR(__xludf.DUMMYFUNCTION("IF(ISBLANK(M1303),"""",M1303*GOOGLEFINANCE(""USDGBP""))"),"")</f>
        <v/>
      </c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</row>
    <row r="1304">
      <c r="A1304" s="8" t="str">
        <f>IFERROR(__xludf.DUMMYFUNCTION("""COMPUTED_VALUE"""),"105994020170600750")</f>
        <v>105994020170600750</v>
      </c>
      <c r="B1304" s="9" t="str">
        <f>IFERROR(__xludf.DUMMYFUNCTION("""COMPUTED_VALUE"""),"France")</f>
        <v>France</v>
      </c>
      <c r="C1304" s="9" t="str">
        <f>IFERROR(__xludf.DUMMYFUNCTION("""COMPUTED_VALUE"""),"burgundy")</f>
        <v>burgundy</v>
      </c>
      <c r="D1304" s="9" t="str">
        <f>IFERROR(__xludf.DUMMYFUNCTION("""COMPUTED_VALUE"""),"Domaine Marquis d'Angerville, Meursault Premier Cru, Santenots")</f>
        <v>Domaine Marquis d'Angerville, Meursault Premier Cru, Santenots</v>
      </c>
      <c r="E1304" s="9">
        <f>IFERROR(__xludf.DUMMYFUNCTION("""COMPUTED_VALUE"""),2017.0)</f>
        <v>2017</v>
      </c>
      <c r="F1304" s="9">
        <f>IFERROR(__xludf.DUMMYFUNCTION("""COMPUTED_VALUE"""),750.0)</f>
        <v>750</v>
      </c>
      <c r="G1304" s="9">
        <f>IFERROR(__xludf.DUMMYFUNCTION("""COMPUTED_VALUE"""),6.0)</f>
        <v>6</v>
      </c>
      <c r="H1304" s="10">
        <f>IFERROR(__xludf.DUMMYFUNCTION("""COMPUTED_VALUE"""),2.0)</f>
        <v>2</v>
      </c>
      <c r="I1304" s="11">
        <f>IFERROR(__xludf.DUMMYFUNCTION("""COMPUTED_VALUE"""),586.0)</f>
        <v>586</v>
      </c>
      <c r="J1304" s="9" t="str">
        <f>IFERROR(__xludf.DUMMYFUNCTION("""COMPUTED_VALUE"""),"UK")</f>
        <v>UK</v>
      </c>
      <c r="K1304" s="8"/>
      <c r="L1304" s="12"/>
      <c r="M1304" s="13"/>
      <c r="N1304" s="13" t="str">
        <f>IFERROR(__xludf.DUMMYFUNCTION("IF(ISBLANK(M1304),"""",M1304*GOOGLEFINANCE(""USDGBP""))"),"")</f>
        <v/>
      </c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</row>
    <row r="1305">
      <c r="A1305" s="8" t="str">
        <f>IFERROR(__xludf.DUMMYFUNCTION("""COMPUTED_VALUE"""),"113251120130600750")</f>
        <v>113251120130600750</v>
      </c>
      <c r="B1305" s="9" t="str">
        <f>IFERROR(__xludf.DUMMYFUNCTION("""COMPUTED_VALUE"""),"France")</f>
        <v>France</v>
      </c>
      <c r="C1305" s="9" t="str">
        <f>IFERROR(__xludf.DUMMYFUNCTION("""COMPUTED_VALUE"""),"burgundy")</f>
        <v>burgundy</v>
      </c>
      <c r="D1305" s="9" t="str">
        <f>IFERROR(__xludf.DUMMYFUNCTION("""COMPUTED_VALUE"""),"Domaine Michel Lafarge, Beaune Premier Cru, Les Aigrots Blanc")</f>
        <v>Domaine Michel Lafarge, Beaune Premier Cru, Les Aigrots Blanc</v>
      </c>
      <c r="E1305" s="9">
        <f>IFERROR(__xludf.DUMMYFUNCTION("""COMPUTED_VALUE"""),2013.0)</f>
        <v>2013</v>
      </c>
      <c r="F1305" s="9">
        <f>IFERROR(__xludf.DUMMYFUNCTION("""COMPUTED_VALUE"""),750.0)</f>
        <v>750</v>
      </c>
      <c r="G1305" s="9">
        <f>IFERROR(__xludf.DUMMYFUNCTION("""COMPUTED_VALUE"""),6.0)</f>
        <v>6</v>
      </c>
      <c r="H1305" s="10">
        <f>IFERROR(__xludf.DUMMYFUNCTION("""COMPUTED_VALUE"""),1.0)</f>
        <v>1</v>
      </c>
      <c r="I1305" s="11">
        <f>IFERROR(__xludf.DUMMYFUNCTION("""COMPUTED_VALUE"""),319.0)</f>
        <v>319</v>
      </c>
      <c r="J1305" s="9" t="str">
        <f>IFERROR(__xludf.DUMMYFUNCTION("""COMPUTED_VALUE"""),"UK")</f>
        <v>UK</v>
      </c>
      <c r="K1305" s="8"/>
      <c r="L1305" s="12"/>
      <c r="M1305" s="13"/>
      <c r="N1305" s="13" t="str">
        <f>IFERROR(__xludf.DUMMYFUNCTION("IF(ISBLANK(M1305),"""",M1305*GOOGLEFINANCE(""USDGBP""))"),"")</f>
        <v/>
      </c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</row>
    <row r="1306">
      <c r="A1306" s="8" t="str">
        <f>IFERROR(__xludf.DUMMYFUNCTION("""COMPUTED_VALUE"""),"107753920171200750")</f>
        <v>107753920171200750</v>
      </c>
      <c r="B1306" s="9" t="str">
        <f>IFERROR(__xludf.DUMMYFUNCTION("""COMPUTED_VALUE"""),"France")</f>
        <v>France</v>
      </c>
      <c r="C1306" s="9" t="str">
        <f>IFERROR(__xludf.DUMMYFUNCTION("""COMPUTED_VALUE"""),"burgundy")</f>
        <v>burgundy</v>
      </c>
      <c r="D1306" s="9" t="str">
        <f>IFERROR(__xludf.DUMMYFUNCTION("""COMPUTED_VALUE"""),"Domaine Michel Niellon, Chassagne-Montrachet Premier Cru, Clos Saint-Jean Blanc")</f>
        <v>Domaine Michel Niellon, Chassagne-Montrachet Premier Cru, Clos Saint-Jean Blanc</v>
      </c>
      <c r="E1306" s="9">
        <f>IFERROR(__xludf.DUMMYFUNCTION("""COMPUTED_VALUE"""),2017.0)</f>
        <v>2017</v>
      </c>
      <c r="F1306" s="9">
        <f>IFERROR(__xludf.DUMMYFUNCTION("""COMPUTED_VALUE"""),750.0)</f>
        <v>750</v>
      </c>
      <c r="G1306" s="9">
        <f>IFERROR(__xludf.DUMMYFUNCTION("""COMPUTED_VALUE"""),12.0)</f>
        <v>12</v>
      </c>
      <c r="H1306" s="10">
        <f>IFERROR(__xludf.DUMMYFUNCTION("""COMPUTED_VALUE"""),2.0)</f>
        <v>2</v>
      </c>
      <c r="I1306" s="11">
        <f>IFERROR(__xludf.DUMMYFUNCTION("""COMPUTED_VALUE"""),1024.0)</f>
        <v>1024</v>
      </c>
      <c r="J1306" s="9" t="str">
        <f>IFERROR(__xludf.DUMMYFUNCTION("""COMPUTED_VALUE"""),"UK")</f>
        <v>UK</v>
      </c>
      <c r="K1306" s="8"/>
      <c r="L1306" s="12"/>
      <c r="M1306" s="13"/>
      <c r="N1306" s="13" t="str">
        <f>IFERROR(__xludf.DUMMYFUNCTION("IF(ISBLANK(M1306),"""",M1306*GOOGLEFINANCE(""USDGBP""))"),"")</f>
        <v/>
      </c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</row>
    <row r="1307">
      <c r="A1307" s="8" t="str">
        <f>IFERROR(__xludf.DUMMYFUNCTION("""COMPUTED_VALUE"""),"107753920181200750")</f>
        <v>107753920181200750</v>
      </c>
      <c r="B1307" s="9" t="str">
        <f>IFERROR(__xludf.DUMMYFUNCTION("""COMPUTED_VALUE"""),"France")</f>
        <v>France</v>
      </c>
      <c r="C1307" s="9" t="str">
        <f>IFERROR(__xludf.DUMMYFUNCTION("""COMPUTED_VALUE"""),"burgundy")</f>
        <v>burgundy</v>
      </c>
      <c r="D1307" s="9" t="str">
        <f>IFERROR(__xludf.DUMMYFUNCTION("""COMPUTED_VALUE"""),"Domaine Michel Niellon, Chassagne-Montrachet Premier Cru, Clos Saint-Jean Blanc")</f>
        <v>Domaine Michel Niellon, Chassagne-Montrachet Premier Cru, Clos Saint-Jean Blanc</v>
      </c>
      <c r="E1307" s="9">
        <f>IFERROR(__xludf.DUMMYFUNCTION("""COMPUTED_VALUE"""),2018.0)</f>
        <v>2018</v>
      </c>
      <c r="F1307" s="9">
        <f>IFERROR(__xludf.DUMMYFUNCTION("""COMPUTED_VALUE"""),750.0)</f>
        <v>750</v>
      </c>
      <c r="G1307" s="9">
        <f>IFERROR(__xludf.DUMMYFUNCTION("""COMPUTED_VALUE"""),12.0)</f>
        <v>12</v>
      </c>
      <c r="H1307" s="10">
        <f>IFERROR(__xludf.DUMMYFUNCTION("""COMPUTED_VALUE"""),11.0)</f>
        <v>11</v>
      </c>
      <c r="I1307" s="11">
        <f>IFERROR(__xludf.DUMMYFUNCTION("""COMPUTED_VALUE"""),1387.0)</f>
        <v>1387</v>
      </c>
      <c r="J1307" s="9" t="str">
        <f>IFERROR(__xludf.DUMMYFUNCTION("""COMPUTED_VALUE"""),"UK")</f>
        <v>UK</v>
      </c>
      <c r="K1307" s="8"/>
      <c r="L1307" s="12"/>
      <c r="M1307" s="13"/>
      <c r="N1307" s="13" t="str">
        <f>IFERROR(__xludf.DUMMYFUNCTION("IF(ISBLANK(M1307),"""",M1307*GOOGLEFINANCE(""USDGBP""))"),"")</f>
        <v/>
      </c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</row>
    <row r="1308">
      <c r="A1308" s="8" t="str">
        <f>IFERROR(__xludf.DUMMYFUNCTION("""COMPUTED_VALUE"""),"107752620171200750")</f>
        <v>107752620171200750</v>
      </c>
      <c r="B1308" s="9" t="str">
        <f>IFERROR(__xludf.DUMMYFUNCTION("""COMPUTED_VALUE"""),"France")</f>
        <v>France</v>
      </c>
      <c r="C1308" s="9" t="str">
        <f>IFERROR(__xludf.DUMMYFUNCTION("""COMPUTED_VALUE"""),"burgundy")</f>
        <v>burgundy</v>
      </c>
      <c r="D1308" s="9" t="str">
        <f>IFERROR(__xludf.DUMMYFUNCTION("""COMPUTED_VALUE"""),"Domaine Michel Niellon, Chassagne-Montrachet Premier Cru, La Maltroie Blanc")</f>
        <v>Domaine Michel Niellon, Chassagne-Montrachet Premier Cru, La Maltroie Blanc</v>
      </c>
      <c r="E1308" s="9">
        <f>IFERROR(__xludf.DUMMYFUNCTION("""COMPUTED_VALUE"""),2017.0)</f>
        <v>2017</v>
      </c>
      <c r="F1308" s="9">
        <f>IFERROR(__xludf.DUMMYFUNCTION("""COMPUTED_VALUE"""),750.0)</f>
        <v>750</v>
      </c>
      <c r="G1308" s="9">
        <f>IFERROR(__xludf.DUMMYFUNCTION("""COMPUTED_VALUE"""),12.0)</f>
        <v>12</v>
      </c>
      <c r="H1308" s="10">
        <f>IFERROR(__xludf.DUMMYFUNCTION("""COMPUTED_VALUE"""),3.0)</f>
        <v>3</v>
      </c>
      <c r="I1308" s="11">
        <f>IFERROR(__xludf.DUMMYFUNCTION("""COMPUTED_VALUE"""),1075.0)</f>
        <v>1075</v>
      </c>
      <c r="J1308" s="9" t="str">
        <f>IFERROR(__xludf.DUMMYFUNCTION("""COMPUTED_VALUE"""),"UK")</f>
        <v>UK</v>
      </c>
      <c r="K1308" s="8"/>
      <c r="L1308" s="12"/>
      <c r="M1308" s="13"/>
      <c r="N1308" s="13" t="str">
        <f>IFERROR(__xludf.DUMMYFUNCTION("IF(ISBLANK(M1308),"""",M1308*GOOGLEFINANCE(""USDGBP""))"),"")</f>
        <v/>
      </c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</row>
    <row r="1309">
      <c r="A1309" s="8" t="str">
        <f>IFERROR(__xludf.DUMMYFUNCTION("""COMPUTED_VALUE"""),"107752620181200750")</f>
        <v>107752620181200750</v>
      </c>
      <c r="B1309" s="9" t="str">
        <f>IFERROR(__xludf.DUMMYFUNCTION("""COMPUTED_VALUE"""),"France")</f>
        <v>France</v>
      </c>
      <c r="C1309" s="9" t="str">
        <f>IFERROR(__xludf.DUMMYFUNCTION("""COMPUTED_VALUE"""),"burgundy")</f>
        <v>burgundy</v>
      </c>
      <c r="D1309" s="9" t="str">
        <f>IFERROR(__xludf.DUMMYFUNCTION("""COMPUTED_VALUE"""),"Domaine Michel Niellon, Chassagne-Montrachet Premier Cru, La Maltroie Blanc")</f>
        <v>Domaine Michel Niellon, Chassagne-Montrachet Premier Cru, La Maltroie Blanc</v>
      </c>
      <c r="E1309" s="9">
        <f>IFERROR(__xludf.DUMMYFUNCTION("""COMPUTED_VALUE"""),2018.0)</f>
        <v>2018</v>
      </c>
      <c r="F1309" s="9">
        <f>IFERROR(__xludf.DUMMYFUNCTION("""COMPUTED_VALUE"""),750.0)</f>
        <v>750</v>
      </c>
      <c r="G1309" s="9">
        <f>IFERROR(__xludf.DUMMYFUNCTION("""COMPUTED_VALUE"""),12.0)</f>
        <v>12</v>
      </c>
      <c r="H1309" s="10">
        <f>IFERROR(__xludf.DUMMYFUNCTION("""COMPUTED_VALUE"""),13.0)</f>
        <v>13</v>
      </c>
      <c r="I1309" s="11">
        <f>IFERROR(__xludf.DUMMYFUNCTION("""COMPUTED_VALUE"""),1097.0)</f>
        <v>1097</v>
      </c>
      <c r="J1309" s="9" t="str">
        <f>IFERROR(__xludf.DUMMYFUNCTION("""COMPUTED_VALUE"""),"UK")</f>
        <v>UK</v>
      </c>
      <c r="K1309" s="8"/>
      <c r="L1309" s="12"/>
      <c r="M1309" s="13"/>
      <c r="N1309" s="13" t="str">
        <f>IFERROR(__xludf.DUMMYFUNCTION("IF(ISBLANK(M1309),"""",M1309*GOOGLEFINANCE(""USDGBP""))"),"")</f>
        <v/>
      </c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</row>
    <row r="1310">
      <c r="A1310" s="8" t="str">
        <f>IFERROR(__xludf.DUMMYFUNCTION("""COMPUTED_VALUE"""),"107748320181200750")</f>
        <v>107748320181200750</v>
      </c>
      <c r="B1310" s="9" t="str">
        <f>IFERROR(__xludf.DUMMYFUNCTION("""COMPUTED_VALUE"""),"France")</f>
        <v>France</v>
      </c>
      <c r="C1310" s="9" t="str">
        <f>IFERROR(__xludf.DUMMYFUNCTION("""COMPUTED_VALUE"""),"burgundy")</f>
        <v>burgundy</v>
      </c>
      <c r="D1310" s="9" t="str">
        <f>IFERROR(__xludf.DUMMYFUNCTION("""COMPUTED_VALUE"""),"Domaine Michel Niellon, Chassagne-Montrachet Premier Cru, Les Champs Gain")</f>
        <v>Domaine Michel Niellon, Chassagne-Montrachet Premier Cru, Les Champs Gain</v>
      </c>
      <c r="E1310" s="9">
        <f>IFERROR(__xludf.DUMMYFUNCTION("""COMPUTED_VALUE"""),2018.0)</f>
        <v>2018</v>
      </c>
      <c r="F1310" s="9">
        <f>IFERROR(__xludf.DUMMYFUNCTION("""COMPUTED_VALUE"""),750.0)</f>
        <v>750</v>
      </c>
      <c r="G1310" s="9">
        <f>IFERROR(__xludf.DUMMYFUNCTION("""COMPUTED_VALUE"""),12.0)</f>
        <v>12</v>
      </c>
      <c r="H1310" s="10">
        <f>IFERROR(__xludf.DUMMYFUNCTION("""COMPUTED_VALUE"""),2.0)</f>
        <v>2</v>
      </c>
      <c r="I1310" s="11">
        <f>IFERROR(__xludf.DUMMYFUNCTION("""COMPUTED_VALUE"""),1123.0)</f>
        <v>1123</v>
      </c>
      <c r="J1310" s="9" t="str">
        <f>IFERROR(__xludf.DUMMYFUNCTION("""COMPUTED_VALUE"""),"UK")</f>
        <v>UK</v>
      </c>
      <c r="K1310" s="8"/>
      <c r="L1310" s="12"/>
      <c r="M1310" s="13"/>
      <c r="N1310" s="13" t="str">
        <f>IFERROR(__xludf.DUMMYFUNCTION("IF(ISBLANK(M1310),"""",M1310*GOOGLEFINANCE(""USDGBP""))"),"")</f>
        <v/>
      </c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</row>
    <row r="1311">
      <c r="A1311" s="8" t="str">
        <f>IFERROR(__xludf.DUMMYFUNCTION("""COMPUTED_VALUE"""),"107749620181200750")</f>
        <v>107749620181200750</v>
      </c>
      <c r="B1311" s="9" t="str">
        <f>IFERROR(__xludf.DUMMYFUNCTION("""COMPUTED_VALUE"""),"France")</f>
        <v>France</v>
      </c>
      <c r="C1311" s="9" t="str">
        <f>IFERROR(__xludf.DUMMYFUNCTION("""COMPUTED_VALUE"""),"burgundy")</f>
        <v>burgundy</v>
      </c>
      <c r="D1311" s="9" t="str">
        <f>IFERROR(__xludf.DUMMYFUNCTION("""COMPUTED_VALUE"""),"Domaine Michel Niellon, Chassagne-Montrachet Premier Cru, Les Chaumees")</f>
        <v>Domaine Michel Niellon, Chassagne-Montrachet Premier Cru, Les Chaumees</v>
      </c>
      <c r="E1311" s="9">
        <f>IFERROR(__xludf.DUMMYFUNCTION("""COMPUTED_VALUE"""),2018.0)</f>
        <v>2018</v>
      </c>
      <c r="F1311" s="9">
        <f>IFERROR(__xludf.DUMMYFUNCTION("""COMPUTED_VALUE"""),750.0)</f>
        <v>750</v>
      </c>
      <c r="G1311" s="9">
        <f>IFERROR(__xludf.DUMMYFUNCTION("""COMPUTED_VALUE"""),12.0)</f>
        <v>12</v>
      </c>
      <c r="H1311" s="10">
        <f>IFERROR(__xludf.DUMMYFUNCTION("""COMPUTED_VALUE"""),3.0)</f>
        <v>3</v>
      </c>
      <c r="I1311" s="11">
        <f>IFERROR(__xludf.DUMMYFUNCTION("""COMPUTED_VALUE"""),1827.0)</f>
        <v>1827</v>
      </c>
      <c r="J1311" s="9" t="str">
        <f>IFERROR(__xludf.DUMMYFUNCTION("""COMPUTED_VALUE"""),"UK")</f>
        <v>UK</v>
      </c>
      <c r="K1311" s="8"/>
      <c r="L1311" s="12"/>
      <c r="M1311" s="13"/>
      <c r="N1311" s="13" t="str">
        <f>IFERROR(__xludf.DUMMYFUNCTION("IF(ISBLANK(M1311),"""",M1311*GOOGLEFINANCE(""USDGBP""))"),"")</f>
        <v/>
      </c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</row>
    <row r="1312">
      <c r="A1312" s="8" t="str">
        <f>IFERROR(__xludf.DUMMYFUNCTION("""COMPUTED_VALUE"""),"107751320171200750")</f>
        <v>107751320171200750</v>
      </c>
      <c r="B1312" s="9" t="str">
        <f>IFERROR(__xludf.DUMMYFUNCTION("""COMPUTED_VALUE"""),"France")</f>
        <v>France</v>
      </c>
      <c r="C1312" s="9" t="str">
        <f>IFERROR(__xludf.DUMMYFUNCTION("""COMPUTED_VALUE"""),"burgundy")</f>
        <v>burgundy</v>
      </c>
      <c r="D1312" s="9" t="str">
        <f>IFERROR(__xludf.DUMMYFUNCTION("""COMPUTED_VALUE"""),"Domaine Michel Niellon, Chassagne-Montrachet Premier Cru, Les Chenevottes")</f>
        <v>Domaine Michel Niellon, Chassagne-Montrachet Premier Cru, Les Chenevottes</v>
      </c>
      <c r="E1312" s="9">
        <f>IFERROR(__xludf.DUMMYFUNCTION("""COMPUTED_VALUE"""),2017.0)</f>
        <v>2017</v>
      </c>
      <c r="F1312" s="9">
        <f>IFERROR(__xludf.DUMMYFUNCTION("""COMPUTED_VALUE"""),750.0)</f>
        <v>750</v>
      </c>
      <c r="G1312" s="9">
        <f>IFERROR(__xludf.DUMMYFUNCTION("""COMPUTED_VALUE"""),12.0)</f>
        <v>12</v>
      </c>
      <c r="H1312" s="10">
        <f>IFERROR(__xludf.DUMMYFUNCTION("""COMPUTED_VALUE"""),2.0)</f>
        <v>2</v>
      </c>
      <c r="I1312" s="11">
        <f>IFERROR(__xludf.DUMMYFUNCTION("""COMPUTED_VALUE"""),1489.0)</f>
        <v>1489</v>
      </c>
      <c r="J1312" s="9" t="str">
        <f>IFERROR(__xludf.DUMMYFUNCTION("""COMPUTED_VALUE"""),"UK")</f>
        <v>UK</v>
      </c>
      <c r="K1312" s="8"/>
      <c r="L1312" s="12"/>
      <c r="M1312" s="13"/>
      <c r="N1312" s="13" t="str">
        <f>IFERROR(__xludf.DUMMYFUNCTION("IF(ISBLANK(M1312),"""",M1312*GOOGLEFINANCE(""USDGBP""))"),"")</f>
        <v/>
      </c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</row>
    <row r="1313">
      <c r="A1313" s="8" t="str">
        <f>IFERROR(__xludf.DUMMYFUNCTION("""COMPUTED_VALUE"""),"107751320181200750")</f>
        <v>107751320181200750</v>
      </c>
      <c r="B1313" s="9" t="str">
        <f>IFERROR(__xludf.DUMMYFUNCTION("""COMPUTED_VALUE"""),"France")</f>
        <v>France</v>
      </c>
      <c r="C1313" s="9" t="str">
        <f>IFERROR(__xludf.DUMMYFUNCTION("""COMPUTED_VALUE"""),"burgundy")</f>
        <v>burgundy</v>
      </c>
      <c r="D1313" s="9" t="str">
        <f>IFERROR(__xludf.DUMMYFUNCTION("""COMPUTED_VALUE"""),"Domaine Michel Niellon, Chassagne-Montrachet Premier Cru, Les Chenevottes")</f>
        <v>Domaine Michel Niellon, Chassagne-Montrachet Premier Cru, Les Chenevottes</v>
      </c>
      <c r="E1313" s="9">
        <f>IFERROR(__xludf.DUMMYFUNCTION("""COMPUTED_VALUE"""),2018.0)</f>
        <v>2018</v>
      </c>
      <c r="F1313" s="9">
        <f>IFERROR(__xludf.DUMMYFUNCTION("""COMPUTED_VALUE"""),750.0)</f>
        <v>750</v>
      </c>
      <c r="G1313" s="9">
        <f>IFERROR(__xludf.DUMMYFUNCTION("""COMPUTED_VALUE"""),12.0)</f>
        <v>12</v>
      </c>
      <c r="H1313" s="10">
        <f>IFERROR(__xludf.DUMMYFUNCTION("""COMPUTED_VALUE"""),9.0)</f>
        <v>9</v>
      </c>
      <c r="I1313" s="11">
        <f>IFERROR(__xludf.DUMMYFUNCTION("""COMPUTED_VALUE"""),1129.0)</f>
        <v>1129</v>
      </c>
      <c r="J1313" s="9" t="str">
        <f>IFERROR(__xludf.DUMMYFUNCTION("""COMPUTED_VALUE"""),"UK")</f>
        <v>UK</v>
      </c>
      <c r="K1313" s="8"/>
      <c r="L1313" s="12"/>
      <c r="M1313" s="13"/>
      <c r="N1313" s="13" t="str">
        <f>IFERROR(__xludf.DUMMYFUNCTION("IF(ISBLANK(M1313),"""",M1313*GOOGLEFINANCE(""USDGBP""))"),"")</f>
        <v/>
      </c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</row>
    <row r="1314">
      <c r="A1314" s="8" t="str">
        <f>IFERROR(__xludf.DUMMYFUNCTION("""COMPUTED_VALUE"""),"107756820150600750")</f>
        <v>107756820150600750</v>
      </c>
      <c r="B1314" s="9" t="str">
        <f>IFERROR(__xludf.DUMMYFUNCTION("""COMPUTED_VALUE"""),"France")</f>
        <v>France</v>
      </c>
      <c r="C1314" s="9" t="str">
        <f>IFERROR(__xludf.DUMMYFUNCTION("""COMPUTED_VALUE"""),"burgundy")</f>
        <v>burgundy</v>
      </c>
      <c r="D1314" s="9" t="str">
        <f>IFERROR(__xludf.DUMMYFUNCTION("""COMPUTED_VALUE"""),"Domaine Michel Niellon, Chevalier-Montrachet Grand Cru")</f>
        <v>Domaine Michel Niellon, Chevalier-Montrachet Grand Cru</v>
      </c>
      <c r="E1314" s="9">
        <f>IFERROR(__xludf.DUMMYFUNCTION("""COMPUTED_VALUE"""),2015.0)</f>
        <v>2015</v>
      </c>
      <c r="F1314" s="9">
        <f>IFERROR(__xludf.DUMMYFUNCTION("""COMPUTED_VALUE"""),750.0)</f>
        <v>750</v>
      </c>
      <c r="G1314" s="9">
        <f>IFERROR(__xludf.DUMMYFUNCTION("""COMPUTED_VALUE"""),6.0)</f>
        <v>6</v>
      </c>
      <c r="H1314" s="10">
        <f>IFERROR(__xludf.DUMMYFUNCTION("""COMPUTED_VALUE"""),1.0)</f>
        <v>1</v>
      </c>
      <c r="I1314" s="11">
        <f>IFERROR(__xludf.DUMMYFUNCTION("""COMPUTED_VALUE"""),2645.0)</f>
        <v>2645</v>
      </c>
      <c r="J1314" s="9" t="str">
        <f>IFERROR(__xludf.DUMMYFUNCTION("""COMPUTED_VALUE"""),"UK")</f>
        <v>UK</v>
      </c>
      <c r="K1314" s="8"/>
      <c r="L1314" s="12"/>
      <c r="M1314" s="13"/>
      <c r="N1314" s="13" t="str">
        <f>IFERROR(__xludf.DUMMYFUNCTION("IF(ISBLANK(M1314),"""",M1314*GOOGLEFINANCE(""USDGBP""))"),"")</f>
        <v/>
      </c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</row>
    <row r="1315">
      <c r="A1315" s="8" t="str">
        <f>IFERROR(__xludf.DUMMYFUNCTION("""COMPUTED_VALUE"""),"107756820190600750")</f>
        <v>107756820190600750</v>
      </c>
      <c r="B1315" s="9" t="str">
        <f>IFERROR(__xludf.DUMMYFUNCTION("""COMPUTED_VALUE"""),"France")</f>
        <v>France</v>
      </c>
      <c r="C1315" s="9" t="str">
        <f>IFERROR(__xludf.DUMMYFUNCTION("""COMPUTED_VALUE"""),"burgundy")</f>
        <v>burgundy</v>
      </c>
      <c r="D1315" s="9" t="str">
        <f>IFERROR(__xludf.DUMMYFUNCTION("""COMPUTED_VALUE"""),"Domaine Michel Niellon, Chevalier-Montrachet Grand Cru")</f>
        <v>Domaine Michel Niellon, Chevalier-Montrachet Grand Cru</v>
      </c>
      <c r="E1315" s="9">
        <f>IFERROR(__xludf.DUMMYFUNCTION("""COMPUTED_VALUE"""),2019.0)</f>
        <v>2019</v>
      </c>
      <c r="F1315" s="9">
        <f>IFERROR(__xludf.DUMMYFUNCTION("""COMPUTED_VALUE"""),750.0)</f>
        <v>750</v>
      </c>
      <c r="G1315" s="9">
        <f>IFERROR(__xludf.DUMMYFUNCTION("""COMPUTED_VALUE"""),6.0)</f>
        <v>6</v>
      </c>
      <c r="H1315" s="10">
        <f>IFERROR(__xludf.DUMMYFUNCTION("""COMPUTED_VALUE"""),2.0)</f>
        <v>2</v>
      </c>
      <c r="I1315" s="11">
        <f>IFERROR(__xludf.DUMMYFUNCTION("""COMPUTED_VALUE"""),3119.0)</f>
        <v>3119</v>
      </c>
      <c r="J1315" s="9" t="str">
        <f>IFERROR(__xludf.DUMMYFUNCTION("""COMPUTED_VALUE"""),"UK")</f>
        <v>UK</v>
      </c>
      <c r="K1315" s="8"/>
      <c r="L1315" s="12"/>
      <c r="M1315" s="13"/>
      <c r="N1315" s="13" t="str">
        <f>IFERROR(__xludf.DUMMYFUNCTION("IF(ISBLANK(M1315),"""",M1315*GOOGLEFINANCE(""USDGBP""))"),"")</f>
        <v/>
      </c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</row>
    <row r="1316">
      <c r="A1316" s="8" t="str">
        <f>IFERROR(__xludf.DUMMYFUNCTION("""COMPUTED_VALUE"""),"191638220181200750")</f>
        <v>191638220181200750</v>
      </c>
      <c r="B1316" s="9" t="str">
        <f>IFERROR(__xludf.DUMMYFUNCTION("""COMPUTED_VALUE"""),"France")</f>
        <v>France</v>
      </c>
      <c r="C1316" s="9" t="str">
        <f>IFERROR(__xludf.DUMMYFUNCTION("""COMPUTED_VALUE"""),"burgundy")</f>
        <v>burgundy</v>
      </c>
      <c r="D1316" s="9" t="str">
        <f>IFERROR(__xludf.DUMMYFUNCTION("""COMPUTED_VALUE"""),"Domaine Parigot, Chassagne-Montrachet Premier Cru, Clos Saint-Jean")</f>
        <v>Domaine Parigot, Chassagne-Montrachet Premier Cru, Clos Saint-Jean</v>
      </c>
      <c r="E1316" s="9">
        <f>IFERROR(__xludf.DUMMYFUNCTION("""COMPUTED_VALUE"""),2018.0)</f>
        <v>2018</v>
      </c>
      <c r="F1316" s="9">
        <f>IFERROR(__xludf.DUMMYFUNCTION("""COMPUTED_VALUE"""),750.0)</f>
        <v>750</v>
      </c>
      <c r="G1316" s="9">
        <f>IFERROR(__xludf.DUMMYFUNCTION("""COMPUTED_VALUE"""),12.0)</f>
        <v>12</v>
      </c>
      <c r="H1316" s="10">
        <f>IFERROR(__xludf.DUMMYFUNCTION("""COMPUTED_VALUE"""),2.0)</f>
        <v>2</v>
      </c>
      <c r="I1316" s="11">
        <f>IFERROR(__xludf.DUMMYFUNCTION("""COMPUTED_VALUE"""),645.0)</f>
        <v>645</v>
      </c>
      <c r="J1316" s="9" t="str">
        <f>IFERROR(__xludf.DUMMYFUNCTION("""COMPUTED_VALUE"""),"UK")</f>
        <v>UK</v>
      </c>
      <c r="K1316" s="8"/>
      <c r="L1316" s="12"/>
      <c r="M1316" s="13"/>
      <c r="N1316" s="13" t="str">
        <f>IFERROR(__xludf.DUMMYFUNCTION("IF(ISBLANK(M1316),"""",M1316*GOOGLEFINANCE(""USDGBP""))"),"")</f>
        <v/>
      </c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</row>
    <row r="1317">
      <c r="A1317" s="8" t="str">
        <f>IFERROR(__xludf.DUMMYFUNCTION("""COMPUTED_VALUE"""),"107801520170600750")</f>
        <v>107801520170600750</v>
      </c>
      <c r="B1317" s="9" t="str">
        <f>IFERROR(__xludf.DUMMYFUNCTION("""COMPUTED_VALUE"""),"France")</f>
        <v>France</v>
      </c>
      <c r="C1317" s="9" t="str">
        <f>IFERROR(__xludf.DUMMYFUNCTION("""COMPUTED_VALUE"""),"burgundy")</f>
        <v>burgundy</v>
      </c>
      <c r="D1317" s="9" t="str">
        <f>IFERROR(__xludf.DUMMYFUNCTION("""COMPUTED_VALUE"""),"Domaine Paul Pillot, Chassagne-Montrachet Premier Cru, Cailleret")</f>
        <v>Domaine Paul Pillot, Chassagne-Montrachet Premier Cru, Cailleret</v>
      </c>
      <c r="E1317" s="9">
        <f>IFERROR(__xludf.DUMMYFUNCTION("""COMPUTED_VALUE"""),2017.0)</f>
        <v>2017</v>
      </c>
      <c r="F1317" s="9">
        <f>IFERROR(__xludf.DUMMYFUNCTION("""COMPUTED_VALUE"""),750.0)</f>
        <v>750</v>
      </c>
      <c r="G1317" s="9">
        <f>IFERROR(__xludf.DUMMYFUNCTION("""COMPUTED_VALUE"""),6.0)</f>
        <v>6</v>
      </c>
      <c r="H1317" s="10">
        <f>IFERROR(__xludf.DUMMYFUNCTION("""COMPUTED_VALUE"""),1.0)</f>
        <v>1</v>
      </c>
      <c r="I1317" s="11">
        <f>IFERROR(__xludf.DUMMYFUNCTION("""COMPUTED_VALUE"""),1657.0)</f>
        <v>1657</v>
      </c>
      <c r="J1317" s="9" t="str">
        <f>IFERROR(__xludf.DUMMYFUNCTION("""COMPUTED_VALUE"""),"UK")</f>
        <v>UK</v>
      </c>
      <c r="K1317" s="8"/>
      <c r="L1317" s="12"/>
      <c r="M1317" s="13"/>
      <c r="N1317" s="13" t="str">
        <f>IFERROR(__xludf.DUMMYFUNCTION("IF(ISBLANK(M1317),"""",M1317*GOOGLEFINANCE(""USDGBP""))"),"")</f>
        <v/>
      </c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</row>
    <row r="1318">
      <c r="A1318" s="8" t="str">
        <f>IFERROR(__xludf.DUMMYFUNCTION("""COMPUTED_VALUE"""),"107808620150600750")</f>
        <v>107808620150600750</v>
      </c>
      <c r="B1318" s="9" t="str">
        <f>IFERROR(__xludf.DUMMYFUNCTION("""COMPUTED_VALUE"""),"France")</f>
        <v>France</v>
      </c>
      <c r="C1318" s="9" t="str">
        <f>IFERROR(__xludf.DUMMYFUNCTION("""COMPUTED_VALUE"""),"burgundy")</f>
        <v>burgundy</v>
      </c>
      <c r="D1318" s="9" t="str">
        <f>IFERROR(__xludf.DUMMYFUNCTION("""COMPUTED_VALUE"""),"Domaine Paul Pillot, Chassagne-Montrachet Premier Cru, Clos Saint-Jean Blanc")</f>
        <v>Domaine Paul Pillot, Chassagne-Montrachet Premier Cru, Clos Saint-Jean Blanc</v>
      </c>
      <c r="E1318" s="9">
        <f>IFERROR(__xludf.DUMMYFUNCTION("""COMPUTED_VALUE"""),2015.0)</f>
        <v>2015</v>
      </c>
      <c r="F1318" s="9">
        <f>IFERROR(__xludf.DUMMYFUNCTION("""COMPUTED_VALUE"""),750.0)</f>
        <v>750</v>
      </c>
      <c r="G1318" s="9">
        <f>IFERROR(__xludf.DUMMYFUNCTION("""COMPUTED_VALUE"""),6.0)</f>
        <v>6</v>
      </c>
      <c r="H1318" s="10">
        <f>IFERROR(__xludf.DUMMYFUNCTION("""COMPUTED_VALUE"""),1.0)</f>
        <v>1</v>
      </c>
      <c r="I1318" s="11">
        <f>IFERROR(__xludf.DUMMYFUNCTION("""COMPUTED_VALUE"""),1070.0)</f>
        <v>1070</v>
      </c>
      <c r="J1318" s="9" t="str">
        <f>IFERROR(__xludf.DUMMYFUNCTION("""COMPUTED_VALUE"""),"UK")</f>
        <v>UK</v>
      </c>
      <c r="K1318" s="8"/>
      <c r="L1318" s="12"/>
      <c r="M1318" s="13"/>
      <c r="N1318" s="13" t="str">
        <f>IFERROR(__xludf.DUMMYFUNCTION("IF(ISBLANK(M1318),"""",M1318*GOOGLEFINANCE(""USDGBP""))"),"")</f>
        <v/>
      </c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</row>
    <row r="1319">
      <c r="A1319" s="8" t="str">
        <f>IFERROR(__xludf.DUMMYFUNCTION("""COMPUTED_VALUE"""),"107802820170600750")</f>
        <v>107802820170600750</v>
      </c>
      <c r="B1319" s="9" t="str">
        <f>IFERROR(__xludf.DUMMYFUNCTION("""COMPUTED_VALUE"""),"France")</f>
        <v>France</v>
      </c>
      <c r="C1319" s="9" t="str">
        <f>IFERROR(__xludf.DUMMYFUNCTION("""COMPUTED_VALUE"""),"burgundy")</f>
        <v>burgundy</v>
      </c>
      <c r="D1319" s="9" t="str">
        <f>IFERROR(__xludf.DUMMYFUNCTION("""COMPUTED_VALUE"""),"Domaine Paul Pillot, Chassagne-Montrachet Premier Cru, Les Champs Gain")</f>
        <v>Domaine Paul Pillot, Chassagne-Montrachet Premier Cru, Les Champs Gain</v>
      </c>
      <c r="E1319" s="9">
        <f>IFERROR(__xludf.DUMMYFUNCTION("""COMPUTED_VALUE"""),2017.0)</f>
        <v>2017</v>
      </c>
      <c r="F1319" s="9">
        <f>IFERROR(__xludf.DUMMYFUNCTION("""COMPUTED_VALUE"""),750.0)</f>
        <v>750</v>
      </c>
      <c r="G1319" s="9">
        <f>IFERROR(__xludf.DUMMYFUNCTION("""COMPUTED_VALUE"""),6.0)</f>
        <v>6</v>
      </c>
      <c r="H1319" s="10">
        <f>IFERROR(__xludf.DUMMYFUNCTION("""COMPUTED_VALUE"""),3.0)</f>
        <v>3</v>
      </c>
      <c r="I1319" s="11">
        <f>IFERROR(__xludf.DUMMYFUNCTION("""COMPUTED_VALUE"""),1203.0)</f>
        <v>1203</v>
      </c>
      <c r="J1319" s="9" t="str">
        <f>IFERROR(__xludf.DUMMYFUNCTION("""COMPUTED_VALUE"""),"UK")</f>
        <v>UK</v>
      </c>
      <c r="K1319" s="8"/>
      <c r="L1319" s="12"/>
      <c r="M1319" s="13"/>
      <c r="N1319" s="13" t="str">
        <f>IFERROR(__xludf.DUMMYFUNCTION("IF(ISBLANK(M1319),"""",M1319*GOOGLEFINANCE(""USDGBP""))"),"")</f>
        <v/>
      </c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</row>
    <row r="1320">
      <c r="A1320" s="8" t="str">
        <f>IFERROR(__xludf.DUMMYFUNCTION("""COMPUTED_VALUE"""),"107805720170600750")</f>
        <v>107805720170600750</v>
      </c>
      <c r="B1320" s="9" t="str">
        <f>IFERROR(__xludf.DUMMYFUNCTION("""COMPUTED_VALUE"""),"France")</f>
        <v>France</v>
      </c>
      <c r="C1320" s="9" t="str">
        <f>IFERROR(__xludf.DUMMYFUNCTION("""COMPUTED_VALUE"""),"burgundy")</f>
        <v>burgundy</v>
      </c>
      <c r="D1320" s="9" t="str">
        <f>IFERROR(__xludf.DUMMYFUNCTION("""COMPUTED_VALUE"""),"Domaine Paul Pillot, Chassagne-Montrachet, Mazures")</f>
        <v>Domaine Paul Pillot, Chassagne-Montrachet, Mazures</v>
      </c>
      <c r="E1320" s="9">
        <f>IFERROR(__xludf.DUMMYFUNCTION("""COMPUTED_VALUE"""),2017.0)</f>
        <v>2017</v>
      </c>
      <c r="F1320" s="9">
        <f>IFERROR(__xludf.DUMMYFUNCTION("""COMPUTED_VALUE"""),750.0)</f>
        <v>750</v>
      </c>
      <c r="G1320" s="9">
        <f>IFERROR(__xludf.DUMMYFUNCTION("""COMPUTED_VALUE"""),6.0)</f>
        <v>6</v>
      </c>
      <c r="H1320" s="10">
        <f>IFERROR(__xludf.DUMMYFUNCTION("""COMPUTED_VALUE"""),3.0)</f>
        <v>3</v>
      </c>
      <c r="I1320" s="11">
        <f>IFERROR(__xludf.DUMMYFUNCTION("""COMPUTED_VALUE"""),574.0)</f>
        <v>574</v>
      </c>
      <c r="J1320" s="9" t="str">
        <f>IFERROR(__xludf.DUMMYFUNCTION("""COMPUTED_VALUE"""),"UK")</f>
        <v>UK</v>
      </c>
      <c r="K1320" s="8"/>
      <c r="L1320" s="12"/>
      <c r="M1320" s="13"/>
      <c r="N1320" s="13" t="str">
        <f>IFERROR(__xludf.DUMMYFUNCTION("IF(ISBLANK(M1320),"""",M1320*GOOGLEFINANCE(""USDGBP""))"),"")</f>
        <v/>
      </c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</row>
    <row r="1321">
      <c r="A1321" s="8" t="str">
        <f>IFERROR(__xludf.DUMMYFUNCTION("""COMPUTED_VALUE"""),"107805720181200750")</f>
        <v>107805720181200750</v>
      </c>
      <c r="B1321" s="9" t="str">
        <f>IFERROR(__xludf.DUMMYFUNCTION("""COMPUTED_VALUE"""),"France")</f>
        <v>France</v>
      </c>
      <c r="C1321" s="9" t="str">
        <f>IFERROR(__xludf.DUMMYFUNCTION("""COMPUTED_VALUE"""),"burgundy")</f>
        <v>burgundy</v>
      </c>
      <c r="D1321" s="9" t="str">
        <f>IFERROR(__xludf.DUMMYFUNCTION("""COMPUTED_VALUE"""),"Domaine Paul Pillot, Chassagne-Montrachet, Mazures")</f>
        <v>Domaine Paul Pillot, Chassagne-Montrachet, Mazures</v>
      </c>
      <c r="E1321" s="9">
        <f>IFERROR(__xludf.DUMMYFUNCTION("""COMPUTED_VALUE"""),2018.0)</f>
        <v>2018</v>
      </c>
      <c r="F1321" s="9">
        <f>IFERROR(__xludf.DUMMYFUNCTION("""COMPUTED_VALUE"""),750.0)</f>
        <v>750</v>
      </c>
      <c r="G1321" s="9">
        <f>IFERROR(__xludf.DUMMYFUNCTION("""COMPUTED_VALUE"""),12.0)</f>
        <v>12</v>
      </c>
      <c r="H1321" s="10">
        <f>IFERROR(__xludf.DUMMYFUNCTION("""COMPUTED_VALUE"""),7.0)</f>
        <v>7</v>
      </c>
      <c r="I1321" s="11">
        <f>IFERROR(__xludf.DUMMYFUNCTION("""COMPUTED_VALUE"""),1417.0)</f>
        <v>1417</v>
      </c>
      <c r="J1321" s="9" t="str">
        <f>IFERROR(__xludf.DUMMYFUNCTION("""COMPUTED_VALUE"""),"UK")</f>
        <v>UK</v>
      </c>
      <c r="K1321" s="8"/>
      <c r="L1321" s="12"/>
      <c r="M1321" s="13"/>
      <c r="N1321" s="13" t="str">
        <f>IFERROR(__xludf.DUMMYFUNCTION("IF(ISBLANK(M1321),"""",M1321*GOOGLEFINANCE(""USDGBP""))"),"")</f>
        <v/>
      </c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</row>
    <row r="1322">
      <c r="A1322" s="8" t="str">
        <f>IFERROR(__xludf.DUMMYFUNCTION("""COMPUTED_VALUE"""),"107810320131200750")</f>
        <v>107810320131200750</v>
      </c>
      <c r="B1322" s="9" t="str">
        <f>IFERROR(__xludf.DUMMYFUNCTION("""COMPUTED_VALUE"""),"France")</f>
        <v>France</v>
      </c>
      <c r="C1322" s="9" t="str">
        <f>IFERROR(__xludf.DUMMYFUNCTION("""COMPUTED_VALUE"""),"burgundy")</f>
        <v>burgundy</v>
      </c>
      <c r="D1322" s="9" t="str">
        <f>IFERROR(__xludf.DUMMYFUNCTION("""COMPUTED_VALUE"""),"Domaine Paul Pillot, Saint-Aubin Premier Cru, Le Charmois Blanc")</f>
        <v>Domaine Paul Pillot, Saint-Aubin Premier Cru, Le Charmois Blanc</v>
      </c>
      <c r="E1322" s="9">
        <f>IFERROR(__xludf.DUMMYFUNCTION("""COMPUTED_VALUE"""),2013.0)</f>
        <v>2013</v>
      </c>
      <c r="F1322" s="9">
        <f>IFERROR(__xludf.DUMMYFUNCTION("""COMPUTED_VALUE"""),750.0)</f>
        <v>750</v>
      </c>
      <c r="G1322" s="9">
        <f>IFERROR(__xludf.DUMMYFUNCTION("""COMPUTED_VALUE"""),12.0)</f>
        <v>12</v>
      </c>
      <c r="H1322" s="10">
        <f>IFERROR(__xludf.DUMMYFUNCTION("""COMPUTED_VALUE"""),1.0)</f>
        <v>1</v>
      </c>
      <c r="I1322" s="11">
        <f>IFERROR(__xludf.DUMMYFUNCTION("""COMPUTED_VALUE"""),1094.0)</f>
        <v>1094</v>
      </c>
      <c r="J1322" s="9" t="str">
        <f>IFERROR(__xludf.DUMMYFUNCTION("""COMPUTED_VALUE"""),"UK")</f>
        <v>UK</v>
      </c>
      <c r="K1322" s="8"/>
      <c r="L1322" s="12"/>
      <c r="M1322" s="13"/>
      <c r="N1322" s="13" t="str">
        <f>IFERROR(__xludf.DUMMYFUNCTION("IF(ISBLANK(M1322),"""",M1322*GOOGLEFINANCE(""USDGBP""))"),"")</f>
        <v/>
      </c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</row>
    <row r="1323">
      <c r="A1323" s="8" t="str">
        <f>IFERROR(__xludf.DUMMYFUNCTION("""COMPUTED_VALUE"""),"107810320161200750")</f>
        <v>107810320161200750</v>
      </c>
      <c r="B1323" s="9" t="str">
        <f>IFERROR(__xludf.DUMMYFUNCTION("""COMPUTED_VALUE"""),"France")</f>
        <v>France</v>
      </c>
      <c r="C1323" s="9" t="str">
        <f>IFERROR(__xludf.DUMMYFUNCTION("""COMPUTED_VALUE"""),"burgundy")</f>
        <v>burgundy</v>
      </c>
      <c r="D1323" s="9" t="str">
        <f>IFERROR(__xludf.DUMMYFUNCTION("""COMPUTED_VALUE"""),"Domaine Paul Pillot, Saint-Aubin Premier Cru, Le Charmois Blanc")</f>
        <v>Domaine Paul Pillot, Saint-Aubin Premier Cru, Le Charmois Blanc</v>
      </c>
      <c r="E1323" s="9">
        <f>IFERROR(__xludf.DUMMYFUNCTION("""COMPUTED_VALUE"""),2016.0)</f>
        <v>2016</v>
      </c>
      <c r="F1323" s="9">
        <f>IFERROR(__xludf.DUMMYFUNCTION("""COMPUTED_VALUE"""),750.0)</f>
        <v>750</v>
      </c>
      <c r="G1323" s="9">
        <f>IFERROR(__xludf.DUMMYFUNCTION("""COMPUTED_VALUE"""),12.0)</f>
        <v>12</v>
      </c>
      <c r="H1323" s="10">
        <f>IFERROR(__xludf.DUMMYFUNCTION("""COMPUTED_VALUE"""),1.0)</f>
        <v>1</v>
      </c>
      <c r="I1323" s="11">
        <f>IFERROR(__xludf.DUMMYFUNCTION("""COMPUTED_VALUE"""),710.0)</f>
        <v>710</v>
      </c>
      <c r="J1323" s="9" t="str">
        <f>IFERROR(__xludf.DUMMYFUNCTION("""COMPUTED_VALUE"""),"UK")</f>
        <v>UK</v>
      </c>
      <c r="K1323" s="8"/>
      <c r="L1323" s="12"/>
      <c r="M1323" s="13"/>
      <c r="N1323" s="13" t="str">
        <f>IFERROR(__xludf.DUMMYFUNCTION("IF(ISBLANK(M1323),"""",M1323*GOOGLEFINANCE(""USDGBP""))"),"")</f>
        <v/>
      </c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</row>
    <row r="1324">
      <c r="A1324" s="8" t="str">
        <f>IFERROR(__xludf.DUMMYFUNCTION("""COMPUTED_VALUE"""),"115039920160600750")</f>
        <v>115039920160600750</v>
      </c>
      <c r="B1324" s="9" t="str">
        <f>IFERROR(__xludf.DUMMYFUNCTION("""COMPUTED_VALUE"""),"France")</f>
        <v>France</v>
      </c>
      <c r="C1324" s="9" t="str">
        <f>IFERROR(__xludf.DUMMYFUNCTION("""COMPUTED_VALUE"""),"burgundy")</f>
        <v>burgundy</v>
      </c>
      <c r="D1324" s="9" t="str">
        <f>IFERROR(__xludf.DUMMYFUNCTION("""COMPUTED_VALUE"""),"Domaine Ponsot, Corton-Charlemagne Grand Cru")</f>
        <v>Domaine Ponsot, Corton-Charlemagne Grand Cru</v>
      </c>
      <c r="E1324" s="9">
        <f>IFERROR(__xludf.DUMMYFUNCTION("""COMPUTED_VALUE"""),2016.0)</f>
        <v>2016</v>
      </c>
      <c r="F1324" s="9">
        <f>IFERROR(__xludf.DUMMYFUNCTION("""COMPUTED_VALUE"""),750.0)</f>
        <v>750</v>
      </c>
      <c r="G1324" s="9">
        <f>IFERROR(__xludf.DUMMYFUNCTION("""COMPUTED_VALUE"""),6.0)</f>
        <v>6</v>
      </c>
      <c r="H1324" s="10">
        <f>IFERROR(__xludf.DUMMYFUNCTION("""COMPUTED_VALUE"""),1.0)</f>
        <v>1</v>
      </c>
      <c r="I1324" s="11">
        <f>IFERROR(__xludf.DUMMYFUNCTION("""COMPUTED_VALUE"""),1306.0)</f>
        <v>1306</v>
      </c>
      <c r="J1324" s="9" t="str">
        <f>IFERROR(__xludf.DUMMYFUNCTION("""COMPUTED_VALUE"""),"UK")</f>
        <v>UK</v>
      </c>
      <c r="K1324" s="8"/>
      <c r="L1324" s="12"/>
      <c r="M1324" s="13"/>
      <c r="N1324" s="13" t="str">
        <f>IFERROR(__xludf.DUMMYFUNCTION("IF(ISBLANK(M1324),"""",M1324*GOOGLEFINANCE(""USDGBP""))"),"")</f>
        <v/>
      </c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</row>
    <row r="1325">
      <c r="A1325" s="8" t="str">
        <f>IFERROR(__xludf.DUMMYFUNCTION("""COMPUTED_VALUE"""),"115039920170600750")</f>
        <v>115039920170600750</v>
      </c>
      <c r="B1325" s="9" t="str">
        <f>IFERROR(__xludf.DUMMYFUNCTION("""COMPUTED_VALUE"""),"France")</f>
        <v>France</v>
      </c>
      <c r="C1325" s="9" t="str">
        <f>IFERROR(__xludf.DUMMYFUNCTION("""COMPUTED_VALUE"""),"burgundy")</f>
        <v>burgundy</v>
      </c>
      <c r="D1325" s="9" t="str">
        <f>IFERROR(__xludf.DUMMYFUNCTION("""COMPUTED_VALUE"""),"Domaine Ponsot, Corton-Charlemagne Grand Cru")</f>
        <v>Domaine Ponsot, Corton-Charlemagne Grand Cru</v>
      </c>
      <c r="E1325" s="9">
        <f>IFERROR(__xludf.DUMMYFUNCTION("""COMPUTED_VALUE"""),2017.0)</f>
        <v>2017</v>
      </c>
      <c r="F1325" s="9">
        <f>IFERROR(__xludf.DUMMYFUNCTION("""COMPUTED_VALUE"""),750.0)</f>
        <v>750</v>
      </c>
      <c r="G1325" s="9">
        <f>IFERROR(__xludf.DUMMYFUNCTION("""COMPUTED_VALUE"""),6.0)</f>
        <v>6</v>
      </c>
      <c r="H1325" s="10">
        <f>IFERROR(__xludf.DUMMYFUNCTION("""COMPUTED_VALUE"""),2.0)</f>
        <v>2</v>
      </c>
      <c r="I1325" s="11">
        <f>IFERROR(__xludf.DUMMYFUNCTION("""COMPUTED_VALUE"""),1629.0)</f>
        <v>1629</v>
      </c>
      <c r="J1325" s="9" t="str">
        <f>IFERROR(__xludf.DUMMYFUNCTION("""COMPUTED_VALUE"""),"UK")</f>
        <v>UK</v>
      </c>
      <c r="K1325" s="8"/>
      <c r="L1325" s="12"/>
      <c r="M1325" s="13"/>
      <c r="N1325" s="13" t="str">
        <f>IFERROR(__xludf.DUMMYFUNCTION("IF(ISBLANK(M1325),"""",M1325*GOOGLEFINANCE(""USDGBP""))"),"")</f>
        <v/>
      </c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</row>
    <row r="1326">
      <c r="A1326" s="8" t="str">
        <f>IFERROR(__xludf.DUMMYFUNCTION("""COMPUTED_VALUE"""),"107819020130301500")</f>
        <v>107819020130301500</v>
      </c>
      <c r="B1326" s="9" t="str">
        <f>IFERROR(__xludf.DUMMYFUNCTION("""COMPUTED_VALUE"""),"France")</f>
        <v>France</v>
      </c>
      <c r="C1326" s="9" t="str">
        <f>IFERROR(__xludf.DUMMYFUNCTION("""COMPUTED_VALUE"""),"burgundy")</f>
        <v>burgundy</v>
      </c>
      <c r="D1326" s="9" t="str">
        <f>IFERROR(__xludf.DUMMYFUNCTION("""COMPUTED_VALUE"""),"Domaine Ponsot, Morey-Saint-Denis Premier Cru, Monts Luisants Vieilles Vignes")</f>
        <v>Domaine Ponsot, Morey-Saint-Denis Premier Cru, Monts Luisants Vieilles Vignes</v>
      </c>
      <c r="E1326" s="9">
        <f>IFERROR(__xludf.DUMMYFUNCTION("""COMPUTED_VALUE"""),2013.0)</f>
        <v>2013</v>
      </c>
      <c r="F1326" s="9">
        <f>IFERROR(__xludf.DUMMYFUNCTION("""COMPUTED_VALUE"""),1500.0)</f>
        <v>1500</v>
      </c>
      <c r="G1326" s="9">
        <f>IFERROR(__xludf.DUMMYFUNCTION("""COMPUTED_VALUE"""),3.0)</f>
        <v>3</v>
      </c>
      <c r="H1326" s="10">
        <f>IFERROR(__xludf.DUMMYFUNCTION("""COMPUTED_VALUE"""),1.0)</f>
        <v>1</v>
      </c>
      <c r="I1326" s="11">
        <f>IFERROR(__xludf.DUMMYFUNCTION("""COMPUTED_VALUE"""),684.0)</f>
        <v>684</v>
      </c>
      <c r="J1326" s="9" t="str">
        <f>IFERROR(__xludf.DUMMYFUNCTION("""COMPUTED_VALUE"""),"UK")</f>
        <v>UK</v>
      </c>
      <c r="K1326" s="8"/>
      <c r="L1326" s="12"/>
      <c r="M1326" s="13"/>
      <c r="N1326" s="13" t="str">
        <f>IFERROR(__xludf.DUMMYFUNCTION("IF(ISBLANK(M1326),"""",M1326*GOOGLEFINANCE(""USDGBP""))"),"")</f>
        <v/>
      </c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</row>
    <row r="1327">
      <c r="A1327" s="8" t="str">
        <f>IFERROR(__xludf.DUMMYFUNCTION("""COMPUTED_VALUE"""),"107819020160600750")</f>
        <v>107819020160600750</v>
      </c>
      <c r="B1327" s="9" t="str">
        <f>IFERROR(__xludf.DUMMYFUNCTION("""COMPUTED_VALUE"""),"France")</f>
        <v>France</v>
      </c>
      <c r="C1327" s="9" t="str">
        <f>IFERROR(__xludf.DUMMYFUNCTION("""COMPUTED_VALUE"""),"burgundy")</f>
        <v>burgundy</v>
      </c>
      <c r="D1327" s="9" t="str">
        <f>IFERROR(__xludf.DUMMYFUNCTION("""COMPUTED_VALUE"""),"Domaine Ponsot, Morey-Saint-Denis Premier Cru, Monts Luisants Vieilles Vignes")</f>
        <v>Domaine Ponsot, Morey-Saint-Denis Premier Cru, Monts Luisants Vieilles Vignes</v>
      </c>
      <c r="E1327" s="9">
        <f>IFERROR(__xludf.DUMMYFUNCTION("""COMPUTED_VALUE"""),2016.0)</f>
        <v>2016</v>
      </c>
      <c r="F1327" s="9">
        <f>IFERROR(__xludf.DUMMYFUNCTION("""COMPUTED_VALUE"""),750.0)</f>
        <v>750</v>
      </c>
      <c r="G1327" s="9">
        <f>IFERROR(__xludf.DUMMYFUNCTION("""COMPUTED_VALUE"""),6.0)</f>
        <v>6</v>
      </c>
      <c r="H1327" s="10">
        <f>IFERROR(__xludf.DUMMYFUNCTION("""COMPUTED_VALUE"""),1.0)</f>
        <v>1</v>
      </c>
      <c r="I1327" s="11">
        <f>IFERROR(__xludf.DUMMYFUNCTION("""COMPUTED_VALUE"""),644.0)</f>
        <v>644</v>
      </c>
      <c r="J1327" s="9" t="str">
        <f>IFERROR(__xludf.DUMMYFUNCTION("""COMPUTED_VALUE"""),"UK")</f>
        <v>UK</v>
      </c>
      <c r="K1327" s="8"/>
      <c r="L1327" s="12"/>
      <c r="M1327" s="13"/>
      <c r="N1327" s="13" t="str">
        <f>IFERROR(__xludf.DUMMYFUNCTION("IF(ISBLANK(M1327),"""",M1327*GOOGLEFINANCE(""USDGBP""))"),"")</f>
        <v/>
      </c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</row>
    <row r="1328">
      <c r="A1328" s="8" t="str">
        <f>IFERROR(__xludf.DUMMYFUNCTION("""COMPUTED_VALUE"""),"106817920180600750")</f>
        <v>106817920180600750</v>
      </c>
      <c r="B1328" s="9" t="str">
        <f>IFERROR(__xludf.DUMMYFUNCTION("""COMPUTED_VALUE"""),"France")</f>
        <v>France</v>
      </c>
      <c r="C1328" s="9" t="str">
        <f>IFERROR(__xludf.DUMMYFUNCTION("""COMPUTED_VALUE"""),"burgundy")</f>
        <v>burgundy</v>
      </c>
      <c r="D1328" s="9" t="str">
        <f>IFERROR(__xludf.DUMMYFUNCTION("""COMPUTED_VALUE"""),"Domaine William Fevre, Chablis Grand Cru, Les Clos")</f>
        <v>Domaine William Fevre, Chablis Grand Cru, Les Clos</v>
      </c>
      <c r="E1328" s="9">
        <f>IFERROR(__xludf.DUMMYFUNCTION("""COMPUTED_VALUE"""),2018.0)</f>
        <v>2018</v>
      </c>
      <c r="F1328" s="9">
        <f>IFERROR(__xludf.DUMMYFUNCTION("""COMPUTED_VALUE"""),750.0)</f>
        <v>750</v>
      </c>
      <c r="G1328" s="9">
        <f>IFERROR(__xludf.DUMMYFUNCTION("""COMPUTED_VALUE"""),6.0)</f>
        <v>6</v>
      </c>
      <c r="H1328" s="10">
        <f>IFERROR(__xludf.DUMMYFUNCTION("""COMPUTED_VALUE"""),3.0)</f>
        <v>3</v>
      </c>
      <c r="I1328" s="11">
        <f>IFERROR(__xludf.DUMMYFUNCTION("""COMPUTED_VALUE"""),527.0)</f>
        <v>527</v>
      </c>
      <c r="J1328" s="9" t="str">
        <f>IFERROR(__xludf.DUMMYFUNCTION("""COMPUTED_VALUE"""),"UK")</f>
        <v>UK</v>
      </c>
      <c r="K1328" s="8"/>
      <c r="L1328" s="12"/>
      <c r="M1328" s="13"/>
      <c r="N1328" s="13" t="str">
        <f>IFERROR(__xludf.DUMMYFUNCTION("IF(ISBLANK(M1328),"""",M1328*GOOGLEFINANCE(""USDGBP""))"),"")</f>
        <v/>
      </c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</row>
    <row r="1329">
      <c r="A1329" s="8" t="str">
        <f>IFERROR(__xludf.DUMMYFUNCTION("""COMPUTED_VALUE"""),"106827020190600750")</f>
        <v>106827020190600750</v>
      </c>
      <c r="B1329" s="9" t="str">
        <f>IFERROR(__xludf.DUMMYFUNCTION("""COMPUTED_VALUE"""),"France")</f>
        <v>France</v>
      </c>
      <c r="C1329" s="9" t="str">
        <f>IFERROR(__xludf.DUMMYFUNCTION("""COMPUTED_VALUE"""),"burgundy")</f>
        <v>burgundy</v>
      </c>
      <c r="D1329" s="9" t="str">
        <f>IFERROR(__xludf.DUMMYFUNCTION("""COMPUTED_VALUE"""),"Domaine William Fevre, Chablis Grand Cru, Preuses")</f>
        <v>Domaine William Fevre, Chablis Grand Cru, Preuses</v>
      </c>
      <c r="E1329" s="9">
        <f>IFERROR(__xludf.DUMMYFUNCTION("""COMPUTED_VALUE"""),2019.0)</f>
        <v>2019</v>
      </c>
      <c r="F1329" s="9">
        <f>IFERROR(__xludf.DUMMYFUNCTION("""COMPUTED_VALUE"""),750.0)</f>
        <v>750</v>
      </c>
      <c r="G1329" s="9">
        <f>IFERROR(__xludf.DUMMYFUNCTION("""COMPUTED_VALUE"""),6.0)</f>
        <v>6</v>
      </c>
      <c r="H1329" s="10">
        <f>IFERROR(__xludf.DUMMYFUNCTION("""COMPUTED_VALUE"""),2.0)</f>
        <v>2</v>
      </c>
      <c r="I1329" s="11">
        <f>IFERROR(__xludf.DUMMYFUNCTION("""COMPUTED_VALUE"""),481.0)</f>
        <v>481</v>
      </c>
      <c r="J1329" s="9" t="str">
        <f>IFERROR(__xludf.DUMMYFUNCTION("""COMPUTED_VALUE"""),"UK")</f>
        <v>UK</v>
      </c>
      <c r="K1329" s="8"/>
      <c r="L1329" s="12"/>
      <c r="M1329" s="13"/>
      <c r="N1329" s="13" t="str">
        <f>IFERROR(__xludf.DUMMYFUNCTION("IF(ISBLANK(M1329),"""",M1329*GOOGLEFINANCE(""USDGBP""))"),"")</f>
        <v/>
      </c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</row>
    <row r="1330">
      <c r="A1330" s="8" t="str">
        <f>IFERROR(__xludf.DUMMYFUNCTION("""COMPUTED_VALUE"""),"107592620170301500")</f>
        <v>107592620170301500</v>
      </c>
      <c r="B1330" s="9" t="str">
        <f>IFERROR(__xludf.DUMMYFUNCTION("""COMPUTED_VALUE"""),"France")</f>
        <v>France</v>
      </c>
      <c r="C1330" s="9" t="str">
        <f>IFERROR(__xludf.DUMMYFUNCTION("""COMPUTED_VALUE"""),"burgundy")</f>
        <v>burgundy</v>
      </c>
      <c r="D1330" s="9" t="str">
        <f>IFERROR(__xludf.DUMMYFUNCTION("""COMPUTED_VALUE"""),"Domaine de Montille, Corton-Charlemagne Grand Cru")</f>
        <v>Domaine de Montille, Corton-Charlemagne Grand Cru</v>
      </c>
      <c r="E1330" s="9">
        <f>IFERROR(__xludf.DUMMYFUNCTION("""COMPUTED_VALUE"""),2017.0)</f>
        <v>2017</v>
      </c>
      <c r="F1330" s="9">
        <f>IFERROR(__xludf.DUMMYFUNCTION("""COMPUTED_VALUE"""),1500.0)</f>
        <v>1500</v>
      </c>
      <c r="G1330" s="9">
        <f>IFERROR(__xludf.DUMMYFUNCTION("""COMPUTED_VALUE"""),3.0)</f>
        <v>3</v>
      </c>
      <c r="H1330" s="10">
        <f>IFERROR(__xludf.DUMMYFUNCTION("""COMPUTED_VALUE"""),1.0)</f>
        <v>1</v>
      </c>
      <c r="I1330" s="11">
        <f>IFERROR(__xludf.DUMMYFUNCTION("""COMPUTED_VALUE"""),918.0)</f>
        <v>918</v>
      </c>
      <c r="J1330" s="9" t="str">
        <f>IFERROR(__xludf.DUMMYFUNCTION("""COMPUTED_VALUE"""),"UK")</f>
        <v>UK</v>
      </c>
      <c r="K1330" s="8"/>
      <c r="L1330" s="12"/>
      <c r="M1330" s="13"/>
      <c r="N1330" s="13" t="str">
        <f>IFERROR(__xludf.DUMMYFUNCTION("IF(ISBLANK(M1330),"""",M1330*GOOGLEFINANCE(""USDGBP""))"),"")</f>
        <v/>
      </c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</row>
    <row r="1331">
      <c r="A1331" s="8" t="str">
        <f>IFERROR(__xludf.DUMMYFUNCTION("""COMPUTED_VALUE"""),"107592620181200750")</f>
        <v>107592620181200750</v>
      </c>
      <c r="B1331" s="9" t="str">
        <f>IFERROR(__xludf.DUMMYFUNCTION("""COMPUTED_VALUE"""),"France")</f>
        <v>France</v>
      </c>
      <c r="C1331" s="9" t="str">
        <f>IFERROR(__xludf.DUMMYFUNCTION("""COMPUTED_VALUE"""),"burgundy")</f>
        <v>burgundy</v>
      </c>
      <c r="D1331" s="9" t="str">
        <f>IFERROR(__xludf.DUMMYFUNCTION("""COMPUTED_VALUE"""),"Domaine de Montille, Corton-Charlemagne Grand Cru")</f>
        <v>Domaine de Montille, Corton-Charlemagne Grand Cru</v>
      </c>
      <c r="E1331" s="9">
        <f>IFERROR(__xludf.DUMMYFUNCTION("""COMPUTED_VALUE"""),2018.0)</f>
        <v>2018</v>
      </c>
      <c r="F1331" s="9">
        <f>IFERROR(__xludf.DUMMYFUNCTION("""COMPUTED_VALUE"""),750.0)</f>
        <v>750</v>
      </c>
      <c r="G1331" s="9">
        <f>IFERROR(__xludf.DUMMYFUNCTION("""COMPUTED_VALUE"""),12.0)</f>
        <v>12</v>
      </c>
      <c r="H1331" s="10">
        <f>IFERROR(__xludf.DUMMYFUNCTION("""COMPUTED_VALUE"""),2.0)</f>
        <v>2</v>
      </c>
      <c r="I1331" s="11">
        <f>IFERROR(__xludf.DUMMYFUNCTION("""COMPUTED_VALUE"""),1959.0)</f>
        <v>1959</v>
      </c>
      <c r="J1331" s="9" t="str">
        <f>IFERROR(__xludf.DUMMYFUNCTION("""COMPUTED_VALUE"""),"UK")</f>
        <v>UK</v>
      </c>
      <c r="K1331" s="8"/>
      <c r="L1331" s="12"/>
      <c r="M1331" s="13"/>
      <c r="N1331" s="13" t="str">
        <f>IFERROR(__xludf.DUMMYFUNCTION("IF(ISBLANK(M1331),"""",M1331*GOOGLEFINANCE(""USDGBP""))"),"")</f>
        <v/>
      </c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</row>
    <row r="1332">
      <c r="A1332" s="8" t="str">
        <f>IFERROR(__xludf.DUMMYFUNCTION("""COMPUTED_VALUE"""),"125503620170600750")</f>
        <v>125503620170600750</v>
      </c>
      <c r="B1332" s="9" t="str">
        <f>IFERROR(__xludf.DUMMYFUNCTION("""COMPUTED_VALUE"""),"France")</f>
        <v>France</v>
      </c>
      <c r="C1332" s="9" t="str">
        <f>IFERROR(__xludf.DUMMYFUNCTION("""COMPUTED_VALUE"""),"burgundy")</f>
        <v>burgundy</v>
      </c>
      <c r="D1332" s="9" t="str">
        <f>IFERROR(__xludf.DUMMYFUNCTION("""COMPUTED_VALUE"""),"Domaine de Montille, Meursault Premier Cru, Perrieres")</f>
        <v>Domaine de Montille, Meursault Premier Cru, Perrieres</v>
      </c>
      <c r="E1332" s="9">
        <f>IFERROR(__xludf.DUMMYFUNCTION("""COMPUTED_VALUE"""),2017.0)</f>
        <v>2017</v>
      </c>
      <c r="F1332" s="9">
        <f>IFERROR(__xludf.DUMMYFUNCTION("""COMPUTED_VALUE"""),750.0)</f>
        <v>750</v>
      </c>
      <c r="G1332" s="9">
        <f>IFERROR(__xludf.DUMMYFUNCTION("""COMPUTED_VALUE"""),6.0)</f>
        <v>6</v>
      </c>
      <c r="H1332" s="10">
        <f>IFERROR(__xludf.DUMMYFUNCTION("""COMPUTED_VALUE"""),1.0)</f>
        <v>1</v>
      </c>
      <c r="I1332" s="11">
        <f>IFERROR(__xludf.DUMMYFUNCTION("""COMPUTED_VALUE"""),648.0)</f>
        <v>648</v>
      </c>
      <c r="J1332" s="9" t="str">
        <f>IFERROR(__xludf.DUMMYFUNCTION("""COMPUTED_VALUE"""),"UK")</f>
        <v>UK</v>
      </c>
      <c r="K1332" s="8"/>
      <c r="L1332" s="12"/>
      <c r="M1332" s="13"/>
      <c r="N1332" s="13" t="str">
        <f>IFERROR(__xludf.DUMMYFUNCTION("IF(ISBLANK(M1332),"""",M1332*GOOGLEFINANCE(""USDGBP""))"),"")</f>
        <v/>
      </c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</row>
    <row r="1333">
      <c r="A1333" s="8" t="str">
        <f>IFERROR(__xludf.DUMMYFUNCTION("""COMPUTED_VALUE"""),"107597120181200750")</f>
        <v>107597120181200750</v>
      </c>
      <c r="B1333" s="9" t="str">
        <f>IFERROR(__xludf.DUMMYFUNCTION("""COMPUTED_VALUE"""),"France")</f>
        <v>France</v>
      </c>
      <c r="C1333" s="9" t="str">
        <f>IFERROR(__xludf.DUMMYFUNCTION("""COMPUTED_VALUE"""),"burgundy")</f>
        <v>burgundy</v>
      </c>
      <c r="D1333" s="9" t="str">
        <f>IFERROR(__xludf.DUMMYFUNCTION("""COMPUTED_VALUE"""),"Domaine de Montille, Meursault Premier Cru, Porusot")</f>
        <v>Domaine de Montille, Meursault Premier Cru, Porusot</v>
      </c>
      <c r="E1333" s="9">
        <f>IFERROR(__xludf.DUMMYFUNCTION("""COMPUTED_VALUE"""),2018.0)</f>
        <v>2018</v>
      </c>
      <c r="F1333" s="9">
        <f>IFERROR(__xludf.DUMMYFUNCTION("""COMPUTED_VALUE"""),750.0)</f>
        <v>750</v>
      </c>
      <c r="G1333" s="9">
        <f>IFERROR(__xludf.DUMMYFUNCTION("""COMPUTED_VALUE"""),12.0)</f>
        <v>12</v>
      </c>
      <c r="H1333" s="10">
        <f>IFERROR(__xludf.DUMMYFUNCTION("""COMPUTED_VALUE"""),1.0)</f>
        <v>1</v>
      </c>
      <c r="I1333" s="11">
        <f>IFERROR(__xludf.DUMMYFUNCTION("""COMPUTED_VALUE"""),840.0)</f>
        <v>840</v>
      </c>
      <c r="J1333" s="9" t="str">
        <f>IFERROR(__xludf.DUMMYFUNCTION("""COMPUTED_VALUE"""),"UK")</f>
        <v>UK</v>
      </c>
      <c r="K1333" s="8"/>
      <c r="L1333" s="12"/>
      <c r="M1333" s="13"/>
      <c r="N1333" s="13" t="str">
        <f>IFERROR(__xludf.DUMMYFUNCTION("IF(ISBLANK(M1333),"""",M1333*GOOGLEFINANCE(""USDGBP""))"),"")</f>
        <v/>
      </c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</row>
    <row r="1334">
      <c r="A1334" s="8" t="str">
        <f>IFERROR(__xludf.DUMMYFUNCTION("""COMPUTED_VALUE"""),"179445420181200750")</f>
        <v>179445420181200750</v>
      </c>
      <c r="B1334" s="9" t="str">
        <f>IFERROR(__xludf.DUMMYFUNCTION("""COMPUTED_VALUE"""),"France")</f>
        <v>France</v>
      </c>
      <c r="C1334" s="9" t="str">
        <f>IFERROR(__xludf.DUMMYFUNCTION("""COMPUTED_VALUE"""),"burgundy")</f>
        <v>burgundy</v>
      </c>
      <c r="D1334" s="9" t="str">
        <f>IFERROR(__xludf.DUMMYFUNCTION("""COMPUTED_VALUE"""),"Domaine de Montille, Meursault, Saint Christophe")</f>
        <v>Domaine de Montille, Meursault, Saint Christophe</v>
      </c>
      <c r="E1334" s="9">
        <f>IFERROR(__xludf.DUMMYFUNCTION("""COMPUTED_VALUE"""),2018.0)</f>
        <v>2018</v>
      </c>
      <c r="F1334" s="9">
        <f>IFERROR(__xludf.DUMMYFUNCTION("""COMPUTED_VALUE"""),750.0)</f>
        <v>750</v>
      </c>
      <c r="G1334" s="9">
        <f>IFERROR(__xludf.DUMMYFUNCTION("""COMPUTED_VALUE"""),12.0)</f>
        <v>12</v>
      </c>
      <c r="H1334" s="10">
        <f>IFERROR(__xludf.DUMMYFUNCTION("""COMPUTED_VALUE"""),3.0)</f>
        <v>3</v>
      </c>
      <c r="I1334" s="11">
        <f>IFERROR(__xludf.DUMMYFUNCTION("""COMPUTED_VALUE"""),963.0)</f>
        <v>963</v>
      </c>
      <c r="J1334" s="9" t="str">
        <f>IFERROR(__xludf.DUMMYFUNCTION("""COMPUTED_VALUE"""),"UK")</f>
        <v>UK</v>
      </c>
      <c r="K1334" s="8"/>
      <c r="L1334" s="12"/>
      <c r="M1334" s="13"/>
      <c r="N1334" s="13" t="str">
        <f>IFERROR(__xludf.DUMMYFUNCTION("IF(ISBLANK(M1334),"""",M1334*GOOGLEFINANCE(""USDGBP""))"),"")</f>
        <v/>
      </c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</row>
    <row r="1335">
      <c r="A1335" s="8" t="str">
        <f>IFERROR(__xludf.DUMMYFUNCTION("""COMPUTED_VALUE"""),"179445420191200750")</f>
        <v>179445420191200750</v>
      </c>
      <c r="B1335" s="9" t="str">
        <f>IFERROR(__xludf.DUMMYFUNCTION("""COMPUTED_VALUE"""),"France")</f>
        <v>France</v>
      </c>
      <c r="C1335" s="9" t="str">
        <f>IFERROR(__xludf.DUMMYFUNCTION("""COMPUTED_VALUE"""),"burgundy")</f>
        <v>burgundy</v>
      </c>
      <c r="D1335" s="9" t="str">
        <f>IFERROR(__xludf.DUMMYFUNCTION("""COMPUTED_VALUE"""),"Domaine de Montille, Meursault, Saint Christophe")</f>
        <v>Domaine de Montille, Meursault, Saint Christophe</v>
      </c>
      <c r="E1335" s="9">
        <f>IFERROR(__xludf.DUMMYFUNCTION("""COMPUTED_VALUE"""),2019.0)</f>
        <v>2019</v>
      </c>
      <c r="F1335" s="9">
        <f>IFERROR(__xludf.DUMMYFUNCTION("""COMPUTED_VALUE"""),750.0)</f>
        <v>750</v>
      </c>
      <c r="G1335" s="9">
        <f>IFERROR(__xludf.DUMMYFUNCTION("""COMPUTED_VALUE"""),12.0)</f>
        <v>12</v>
      </c>
      <c r="H1335" s="10">
        <f>IFERROR(__xludf.DUMMYFUNCTION("""COMPUTED_VALUE"""),1.0)</f>
        <v>1</v>
      </c>
      <c r="I1335" s="11">
        <f>IFERROR(__xludf.DUMMYFUNCTION("""COMPUTED_VALUE"""),957.0)</f>
        <v>957</v>
      </c>
      <c r="J1335" s="9" t="str">
        <f>IFERROR(__xludf.DUMMYFUNCTION("""COMPUTED_VALUE"""),"UK")</f>
        <v>UK</v>
      </c>
      <c r="K1335" s="8"/>
      <c r="L1335" s="12"/>
      <c r="M1335" s="13"/>
      <c r="N1335" s="13" t="str">
        <f>IFERROR(__xludf.DUMMYFUNCTION("IF(ISBLANK(M1335),"""",M1335*GOOGLEFINANCE(""USDGBP""))"),"")</f>
        <v/>
      </c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</row>
    <row r="1336">
      <c r="A1336" s="8" t="str">
        <f>IFERROR(__xludf.DUMMYFUNCTION("""COMPUTED_VALUE"""),"107602420170301500")</f>
        <v>107602420170301500</v>
      </c>
      <c r="B1336" s="9" t="str">
        <f>IFERROR(__xludf.DUMMYFUNCTION("""COMPUTED_VALUE"""),"France")</f>
        <v>France</v>
      </c>
      <c r="C1336" s="9" t="str">
        <f>IFERROR(__xludf.DUMMYFUNCTION("""COMPUTED_VALUE"""),"burgundy")</f>
        <v>burgundy</v>
      </c>
      <c r="D1336" s="9" t="str">
        <f>IFERROR(__xludf.DUMMYFUNCTION("""COMPUTED_VALUE"""),"Domaine de Montille, Puligny-Montrachet Premier Cru, Le Cailleret")</f>
        <v>Domaine de Montille, Puligny-Montrachet Premier Cru, Le Cailleret</v>
      </c>
      <c r="E1336" s="9">
        <f>IFERROR(__xludf.DUMMYFUNCTION("""COMPUTED_VALUE"""),2017.0)</f>
        <v>2017</v>
      </c>
      <c r="F1336" s="9">
        <f>IFERROR(__xludf.DUMMYFUNCTION("""COMPUTED_VALUE"""),1500.0)</f>
        <v>1500</v>
      </c>
      <c r="G1336" s="9">
        <f>IFERROR(__xludf.DUMMYFUNCTION("""COMPUTED_VALUE"""),3.0)</f>
        <v>3</v>
      </c>
      <c r="H1336" s="10">
        <f>IFERROR(__xludf.DUMMYFUNCTION("""COMPUTED_VALUE"""),1.0)</f>
        <v>1</v>
      </c>
      <c r="I1336" s="11">
        <f>IFERROR(__xludf.DUMMYFUNCTION("""COMPUTED_VALUE"""),879.0)</f>
        <v>879</v>
      </c>
      <c r="J1336" s="9" t="str">
        <f>IFERROR(__xludf.DUMMYFUNCTION("""COMPUTED_VALUE"""),"UK")</f>
        <v>UK</v>
      </c>
      <c r="K1336" s="8"/>
      <c r="L1336" s="12"/>
      <c r="M1336" s="13"/>
      <c r="N1336" s="13" t="str">
        <f>IFERROR(__xludf.DUMMYFUNCTION("IF(ISBLANK(M1336),"""",M1336*GOOGLEFINANCE(""USDGBP""))"),"")</f>
        <v/>
      </c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</row>
    <row r="1337">
      <c r="A1337" s="8" t="str">
        <f>IFERROR(__xludf.DUMMYFUNCTION("""COMPUTED_VALUE"""),"184211320171200750")</f>
        <v>184211320171200750</v>
      </c>
      <c r="B1337" s="9" t="str">
        <f>IFERROR(__xludf.DUMMYFUNCTION("""COMPUTED_VALUE"""),"France")</f>
        <v>France</v>
      </c>
      <c r="C1337" s="9" t="str">
        <f>IFERROR(__xludf.DUMMYFUNCTION("""COMPUTED_VALUE"""),"burgundy")</f>
        <v>burgundy</v>
      </c>
      <c r="D1337" s="9" t="str">
        <f>IFERROR(__xludf.DUMMYFUNCTION("""COMPUTED_VALUE"""),"Domaine de Montille, Puligny-Montrachet Premier Cru, Les Folatieres")</f>
        <v>Domaine de Montille, Puligny-Montrachet Premier Cru, Les Folatieres</v>
      </c>
      <c r="E1337" s="9">
        <f>IFERROR(__xludf.DUMMYFUNCTION("""COMPUTED_VALUE"""),2017.0)</f>
        <v>2017</v>
      </c>
      <c r="F1337" s="9">
        <f>IFERROR(__xludf.DUMMYFUNCTION("""COMPUTED_VALUE"""),750.0)</f>
        <v>750</v>
      </c>
      <c r="G1337" s="9">
        <f>IFERROR(__xludf.DUMMYFUNCTION("""COMPUTED_VALUE"""),12.0)</f>
        <v>12</v>
      </c>
      <c r="H1337" s="10">
        <f>IFERROR(__xludf.DUMMYFUNCTION("""COMPUTED_VALUE"""),1.0)</f>
        <v>1</v>
      </c>
      <c r="I1337" s="11">
        <f>IFERROR(__xludf.DUMMYFUNCTION("""COMPUTED_VALUE"""),1262.0)</f>
        <v>1262</v>
      </c>
      <c r="J1337" s="9" t="str">
        <f>IFERROR(__xludf.DUMMYFUNCTION("""COMPUTED_VALUE"""),"UK")</f>
        <v>UK</v>
      </c>
      <c r="K1337" s="8"/>
      <c r="L1337" s="12"/>
      <c r="M1337" s="13"/>
      <c r="N1337" s="13" t="str">
        <f>IFERROR(__xludf.DUMMYFUNCTION("IF(ISBLANK(M1337),"""",M1337*GOOGLEFINANCE(""USDGBP""))"),"")</f>
        <v/>
      </c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</row>
    <row r="1338">
      <c r="A1338" s="8" t="str">
        <f>IFERROR(__xludf.DUMMYFUNCTION("""COMPUTED_VALUE"""),"184211320181200750")</f>
        <v>184211320181200750</v>
      </c>
      <c r="B1338" s="9" t="str">
        <f>IFERROR(__xludf.DUMMYFUNCTION("""COMPUTED_VALUE"""),"France")</f>
        <v>France</v>
      </c>
      <c r="C1338" s="9" t="str">
        <f>IFERROR(__xludf.DUMMYFUNCTION("""COMPUTED_VALUE"""),"burgundy")</f>
        <v>burgundy</v>
      </c>
      <c r="D1338" s="9" t="str">
        <f>IFERROR(__xludf.DUMMYFUNCTION("""COMPUTED_VALUE"""),"Domaine de Montille, Puligny-Montrachet Premier Cru, Les Folatieres")</f>
        <v>Domaine de Montille, Puligny-Montrachet Premier Cru, Les Folatieres</v>
      </c>
      <c r="E1338" s="9">
        <f>IFERROR(__xludf.DUMMYFUNCTION("""COMPUTED_VALUE"""),2018.0)</f>
        <v>2018</v>
      </c>
      <c r="F1338" s="9">
        <f>IFERROR(__xludf.DUMMYFUNCTION("""COMPUTED_VALUE"""),750.0)</f>
        <v>750</v>
      </c>
      <c r="G1338" s="9">
        <f>IFERROR(__xludf.DUMMYFUNCTION("""COMPUTED_VALUE"""),12.0)</f>
        <v>12</v>
      </c>
      <c r="H1338" s="10">
        <f>IFERROR(__xludf.DUMMYFUNCTION("""COMPUTED_VALUE"""),1.0)</f>
        <v>1</v>
      </c>
      <c r="I1338" s="11">
        <f>IFERROR(__xludf.DUMMYFUNCTION("""COMPUTED_VALUE"""),1635.0)</f>
        <v>1635</v>
      </c>
      <c r="J1338" s="9" t="str">
        <f>IFERROR(__xludf.DUMMYFUNCTION("""COMPUTED_VALUE"""),"UK")</f>
        <v>UK</v>
      </c>
      <c r="K1338" s="8"/>
      <c r="L1338" s="12"/>
      <c r="M1338" s="13"/>
      <c r="N1338" s="13" t="str">
        <f>IFERROR(__xludf.DUMMYFUNCTION("IF(ISBLANK(M1338),"""",M1338*GOOGLEFINANCE(""USDGBP""))"),"")</f>
        <v/>
      </c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</row>
    <row r="1339">
      <c r="A1339" s="8" t="str">
        <f>IFERROR(__xludf.DUMMYFUNCTION("""COMPUTED_VALUE"""),"178512420181200750")</f>
        <v>178512420181200750</v>
      </c>
      <c r="B1339" s="9" t="str">
        <f>IFERROR(__xludf.DUMMYFUNCTION("""COMPUTED_VALUE"""),"France")</f>
        <v>France</v>
      </c>
      <c r="C1339" s="9" t="str">
        <f>IFERROR(__xludf.DUMMYFUNCTION("""COMPUTED_VALUE"""),"burgundy")</f>
        <v>burgundy</v>
      </c>
      <c r="D1339" s="9" t="str">
        <f>IFERROR(__xludf.DUMMYFUNCTION("""COMPUTED_VALUE"""),"Domaine de Montille, Saint-Aubin Premier Cru, En Remilly")</f>
        <v>Domaine de Montille, Saint-Aubin Premier Cru, En Remilly</v>
      </c>
      <c r="E1339" s="9">
        <f>IFERROR(__xludf.DUMMYFUNCTION("""COMPUTED_VALUE"""),2018.0)</f>
        <v>2018</v>
      </c>
      <c r="F1339" s="9">
        <f>IFERROR(__xludf.DUMMYFUNCTION("""COMPUTED_VALUE"""),750.0)</f>
        <v>750</v>
      </c>
      <c r="G1339" s="9">
        <f>IFERROR(__xludf.DUMMYFUNCTION("""COMPUTED_VALUE"""),12.0)</f>
        <v>12</v>
      </c>
      <c r="H1339" s="10">
        <f>IFERROR(__xludf.DUMMYFUNCTION("""COMPUTED_VALUE"""),4.0)</f>
        <v>4</v>
      </c>
      <c r="I1339" s="11">
        <f>IFERROR(__xludf.DUMMYFUNCTION("""COMPUTED_VALUE"""),751.0)</f>
        <v>751</v>
      </c>
      <c r="J1339" s="9" t="str">
        <f>IFERROR(__xludf.DUMMYFUNCTION("""COMPUTED_VALUE"""),"UK")</f>
        <v>UK</v>
      </c>
      <c r="K1339" s="8"/>
      <c r="L1339" s="12"/>
      <c r="M1339" s="13"/>
      <c r="N1339" s="13" t="str">
        <f>IFERROR(__xludf.DUMMYFUNCTION("IF(ISBLANK(M1339),"""",M1339*GOOGLEFINANCE(""USDGBP""))"),"")</f>
        <v/>
      </c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</row>
    <row r="1340">
      <c r="A1340" s="8" t="str">
        <f>IFERROR(__xludf.DUMMYFUNCTION("""COMPUTED_VALUE"""),"143773320160600750")</f>
        <v>143773320160600750</v>
      </c>
      <c r="B1340" s="9" t="str">
        <f>IFERROR(__xludf.DUMMYFUNCTION("""COMPUTED_VALUE"""),"France")</f>
        <v>France</v>
      </c>
      <c r="C1340" s="9" t="str">
        <f>IFERROR(__xludf.DUMMYFUNCTION("""COMPUTED_VALUE"""),"burgundy")</f>
        <v>burgundy</v>
      </c>
      <c r="D1340" s="9" t="str">
        <f>IFERROR(__xludf.DUMMYFUNCTION("""COMPUTED_VALUE"""),"Domaine de la Vougeraie, Bienvenues-Batard-Montrachet Grand Cru")</f>
        <v>Domaine de la Vougeraie, Bienvenues-Batard-Montrachet Grand Cru</v>
      </c>
      <c r="E1340" s="9">
        <f>IFERROR(__xludf.DUMMYFUNCTION("""COMPUTED_VALUE"""),2016.0)</f>
        <v>2016</v>
      </c>
      <c r="F1340" s="9">
        <f>IFERROR(__xludf.DUMMYFUNCTION("""COMPUTED_VALUE"""),750.0)</f>
        <v>750</v>
      </c>
      <c r="G1340" s="9">
        <f>IFERROR(__xludf.DUMMYFUNCTION("""COMPUTED_VALUE"""),6.0)</f>
        <v>6</v>
      </c>
      <c r="H1340" s="10">
        <f>IFERROR(__xludf.DUMMYFUNCTION("""COMPUTED_VALUE"""),1.0)</f>
        <v>1</v>
      </c>
      <c r="I1340" s="11">
        <f>IFERROR(__xludf.DUMMYFUNCTION("""COMPUTED_VALUE"""),1986.0)</f>
        <v>1986</v>
      </c>
      <c r="J1340" s="9" t="str">
        <f>IFERROR(__xludf.DUMMYFUNCTION("""COMPUTED_VALUE"""),"UK")</f>
        <v>UK</v>
      </c>
      <c r="K1340" s="8"/>
      <c r="L1340" s="12"/>
      <c r="M1340" s="13"/>
      <c r="N1340" s="13" t="str">
        <f>IFERROR(__xludf.DUMMYFUNCTION("IF(ISBLANK(M1340),"""",M1340*GOOGLEFINANCE(""USDGBP""))"),"")</f>
        <v/>
      </c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</row>
    <row r="1341">
      <c r="A1341" s="8" t="str">
        <f>IFERROR(__xludf.DUMMYFUNCTION("""COMPUTED_VALUE"""),"108159020190600750")</f>
        <v>108159020190600750</v>
      </c>
      <c r="B1341" s="9" t="str">
        <f>IFERROR(__xludf.DUMMYFUNCTION("""COMPUTED_VALUE"""),"France")</f>
        <v>France</v>
      </c>
      <c r="C1341" s="9" t="str">
        <f>IFERROR(__xludf.DUMMYFUNCTION("""COMPUTED_VALUE"""),"burgundy")</f>
        <v>burgundy</v>
      </c>
      <c r="D1341" s="9" t="str">
        <f>IFERROR(__xludf.DUMMYFUNCTION("""COMPUTED_VALUE"""),"Domaine de la Vougeraie, Charlemagne Grand Cru")</f>
        <v>Domaine de la Vougeraie, Charlemagne Grand Cru</v>
      </c>
      <c r="E1341" s="9">
        <f>IFERROR(__xludf.DUMMYFUNCTION("""COMPUTED_VALUE"""),2019.0)</f>
        <v>2019</v>
      </c>
      <c r="F1341" s="9">
        <f>IFERROR(__xludf.DUMMYFUNCTION("""COMPUTED_VALUE"""),750.0)</f>
        <v>750</v>
      </c>
      <c r="G1341" s="9">
        <f>IFERROR(__xludf.DUMMYFUNCTION("""COMPUTED_VALUE"""),6.0)</f>
        <v>6</v>
      </c>
      <c r="H1341" s="10">
        <f>IFERROR(__xludf.DUMMYFUNCTION("""COMPUTED_VALUE"""),1.0)</f>
        <v>1</v>
      </c>
      <c r="I1341" s="11">
        <f>IFERROR(__xludf.DUMMYFUNCTION("""COMPUTED_VALUE"""),1056.0)</f>
        <v>1056</v>
      </c>
      <c r="J1341" s="9" t="str">
        <f>IFERROR(__xludf.DUMMYFUNCTION("""COMPUTED_VALUE"""),"UK")</f>
        <v>UK</v>
      </c>
      <c r="K1341" s="8"/>
      <c r="L1341" s="12"/>
      <c r="M1341" s="13"/>
      <c r="N1341" s="13" t="str">
        <f>IFERROR(__xludf.DUMMYFUNCTION("IF(ISBLANK(M1341),"""",M1341*GOOGLEFINANCE(""USDGBP""))"),"")</f>
        <v/>
      </c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</row>
    <row r="1342">
      <c r="A1342" s="8" t="str">
        <f>IFERROR(__xludf.DUMMYFUNCTION("""COMPUTED_VALUE"""),"108161720160600750")</f>
        <v>108161720160600750</v>
      </c>
      <c r="B1342" s="9" t="str">
        <f>IFERROR(__xludf.DUMMYFUNCTION("""COMPUTED_VALUE"""),"France")</f>
        <v>France</v>
      </c>
      <c r="C1342" s="9" t="str">
        <f>IFERROR(__xludf.DUMMYFUNCTION("""COMPUTED_VALUE"""),"burgundy")</f>
        <v>burgundy</v>
      </c>
      <c r="D1342" s="9" t="str">
        <f>IFERROR(__xludf.DUMMYFUNCTION("""COMPUTED_VALUE"""),"Domaine de la Vougeraie, Vougeot Premier Cru, Le Clos Blanc de Vougeot")</f>
        <v>Domaine de la Vougeraie, Vougeot Premier Cru, Le Clos Blanc de Vougeot</v>
      </c>
      <c r="E1342" s="9">
        <f>IFERROR(__xludf.DUMMYFUNCTION("""COMPUTED_VALUE"""),2016.0)</f>
        <v>2016</v>
      </c>
      <c r="F1342" s="9">
        <f>IFERROR(__xludf.DUMMYFUNCTION("""COMPUTED_VALUE"""),750.0)</f>
        <v>750</v>
      </c>
      <c r="G1342" s="9">
        <f>IFERROR(__xludf.DUMMYFUNCTION("""COMPUTED_VALUE"""),6.0)</f>
        <v>6</v>
      </c>
      <c r="H1342" s="10">
        <f>IFERROR(__xludf.DUMMYFUNCTION("""COMPUTED_VALUE"""),1.0)</f>
        <v>1</v>
      </c>
      <c r="I1342" s="11">
        <f>IFERROR(__xludf.DUMMYFUNCTION("""COMPUTED_VALUE"""),459.0)</f>
        <v>459</v>
      </c>
      <c r="J1342" s="9" t="str">
        <f>IFERROR(__xludf.DUMMYFUNCTION("""COMPUTED_VALUE"""),"UK")</f>
        <v>UK</v>
      </c>
      <c r="K1342" s="8"/>
      <c r="L1342" s="12"/>
      <c r="M1342" s="13"/>
      <c r="N1342" s="13" t="str">
        <f>IFERROR(__xludf.DUMMYFUNCTION("IF(ISBLANK(M1342),"""",M1342*GOOGLEFINANCE(""USDGBP""))"),"")</f>
        <v/>
      </c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</row>
    <row r="1343">
      <c r="A1343" s="8" t="str">
        <f>IFERROR(__xludf.DUMMYFUNCTION("""COMPUTED_VALUE"""),"108161720170600750")</f>
        <v>108161720170600750</v>
      </c>
      <c r="B1343" s="9" t="str">
        <f>IFERROR(__xludf.DUMMYFUNCTION("""COMPUTED_VALUE"""),"France")</f>
        <v>France</v>
      </c>
      <c r="C1343" s="9" t="str">
        <f>IFERROR(__xludf.DUMMYFUNCTION("""COMPUTED_VALUE"""),"burgundy")</f>
        <v>burgundy</v>
      </c>
      <c r="D1343" s="9" t="str">
        <f>IFERROR(__xludf.DUMMYFUNCTION("""COMPUTED_VALUE"""),"Domaine de la Vougeraie, Vougeot Premier Cru, Le Clos Blanc de Vougeot")</f>
        <v>Domaine de la Vougeraie, Vougeot Premier Cru, Le Clos Blanc de Vougeot</v>
      </c>
      <c r="E1343" s="9">
        <f>IFERROR(__xludf.DUMMYFUNCTION("""COMPUTED_VALUE"""),2017.0)</f>
        <v>2017</v>
      </c>
      <c r="F1343" s="9">
        <f>IFERROR(__xludf.DUMMYFUNCTION("""COMPUTED_VALUE"""),750.0)</f>
        <v>750</v>
      </c>
      <c r="G1343" s="9">
        <f>IFERROR(__xludf.DUMMYFUNCTION("""COMPUTED_VALUE"""),6.0)</f>
        <v>6</v>
      </c>
      <c r="H1343" s="10">
        <f>IFERROR(__xludf.DUMMYFUNCTION("""COMPUTED_VALUE"""),1.0)</f>
        <v>1</v>
      </c>
      <c r="I1343" s="11">
        <f>IFERROR(__xludf.DUMMYFUNCTION("""COMPUTED_VALUE"""),543.0)</f>
        <v>543</v>
      </c>
      <c r="J1343" s="9" t="str">
        <f>IFERROR(__xludf.DUMMYFUNCTION("""COMPUTED_VALUE"""),"UK")</f>
        <v>UK</v>
      </c>
      <c r="K1343" s="8"/>
      <c r="L1343" s="12"/>
      <c r="M1343" s="13"/>
      <c r="N1343" s="13" t="str">
        <f>IFERROR(__xludf.DUMMYFUNCTION("IF(ISBLANK(M1343),"""",M1343*GOOGLEFINANCE(""USDGBP""))"),"")</f>
        <v/>
      </c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</row>
    <row r="1344">
      <c r="A1344" s="8" t="str">
        <f>IFERROR(__xludf.DUMMYFUNCTION("""COMPUTED_VALUE"""),"108161720190600750")</f>
        <v>108161720190600750</v>
      </c>
      <c r="B1344" s="9" t="str">
        <f>IFERROR(__xludf.DUMMYFUNCTION("""COMPUTED_VALUE"""),"France")</f>
        <v>France</v>
      </c>
      <c r="C1344" s="9" t="str">
        <f>IFERROR(__xludf.DUMMYFUNCTION("""COMPUTED_VALUE"""),"burgundy")</f>
        <v>burgundy</v>
      </c>
      <c r="D1344" s="9" t="str">
        <f>IFERROR(__xludf.DUMMYFUNCTION("""COMPUTED_VALUE"""),"Domaine de la Vougeraie, Vougeot Premier Cru, Le Clos Blanc de Vougeot")</f>
        <v>Domaine de la Vougeraie, Vougeot Premier Cru, Le Clos Blanc de Vougeot</v>
      </c>
      <c r="E1344" s="9">
        <f>IFERROR(__xludf.DUMMYFUNCTION("""COMPUTED_VALUE"""),2019.0)</f>
        <v>2019</v>
      </c>
      <c r="F1344" s="9">
        <f>IFERROR(__xludf.DUMMYFUNCTION("""COMPUTED_VALUE"""),750.0)</f>
        <v>750</v>
      </c>
      <c r="G1344" s="9">
        <f>IFERROR(__xludf.DUMMYFUNCTION("""COMPUTED_VALUE"""),6.0)</f>
        <v>6</v>
      </c>
      <c r="H1344" s="10">
        <f>IFERROR(__xludf.DUMMYFUNCTION("""COMPUTED_VALUE"""),4.0)</f>
        <v>4</v>
      </c>
      <c r="I1344" s="11">
        <f>IFERROR(__xludf.DUMMYFUNCTION("""COMPUTED_VALUE"""),577.0)</f>
        <v>577</v>
      </c>
      <c r="J1344" s="9" t="str">
        <f>IFERROR(__xludf.DUMMYFUNCTION("""COMPUTED_VALUE"""),"UK")</f>
        <v>UK</v>
      </c>
      <c r="K1344" s="8"/>
      <c r="L1344" s="12"/>
      <c r="M1344" s="13"/>
      <c r="N1344" s="13" t="str">
        <f>IFERROR(__xludf.DUMMYFUNCTION("IF(ISBLANK(M1344),"""",M1344*GOOGLEFINANCE(""USDGBP""))"),"")</f>
        <v/>
      </c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</row>
    <row r="1345">
      <c r="A1345" s="8" t="str">
        <f>IFERROR(__xludf.DUMMYFUNCTION("""COMPUTED_VALUE"""),"106596320171200750")</f>
        <v>106596320171200750</v>
      </c>
      <c r="B1345" s="9" t="str">
        <f>IFERROR(__xludf.DUMMYFUNCTION("""COMPUTED_VALUE"""),"France")</f>
        <v>France</v>
      </c>
      <c r="C1345" s="9" t="str">
        <f>IFERROR(__xludf.DUMMYFUNCTION("""COMPUTED_VALUE"""),"burgundy")</f>
        <v>burgundy</v>
      </c>
      <c r="D1345" s="9" t="str">
        <f>IFERROR(__xludf.DUMMYFUNCTION("""COMPUTED_VALUE"""),"Domaine des Comtes Lafon, Meursault, Clos de la Barre")</f>
        <v>Domaine des Comtes Lafon, Meursault, Clos de la Barre</v>
      </c>
      <c r="E1345" s="9">
        <f>IFERROR(__xludf.DUMMYFUNCTION("""COMPUTED_VALUE"""),2017.0)</f>
        <v>2017</v>
      </c>
      <c r="F1345" s="9">
        <f>IFERROR(__xludf.DUMMYFUNCTION("""COMPUTED_VALUE"""),750.0)</f>
        <v>750</v>
      </c>
      <c r="G1345" s="9">
        <f>IFERROR(__xludf.DUMMYFUNCTION("""COMPUTED_VALUE"""),12.0)</f>
        <v>12</v>
      </c>
      <c r="H1345" s="10">
        <f>IFERROR(__xludf.DUMMYFUNCTION("""COMPUTED_VALUE"""),1.0)</f>
        <v>1</v>
      </c>
      <c r="I1345" s="11">
        <f>IFERROR(__xludf.DUMMYFUNCTION("""COMPUTED_VALUE"""),2641.0)</f>
        <v>2641</v>
      </c>
      <c r="J1345" s="9" t="str">
        <f>IFERROR(__xludf.DUMMYFUNCTION("""COMPUTED_VALUE"""),"UK")</f>
        <v>UK</v>
      </c>
      <c r="K1345" s="8"/>
      <c r="L1345" s="12"/>
      <c r="M1345" s="13"/>
      <c r="N1345" s="13" t="str">
        <f>IFERROR(__xludf.DUMMYFUNCTION("IF(ISBLANK(M1345),"""",M1345*GOOGLEFINANCE(""USDGBP""))"),"")</f>
        <v/>
      </c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</row>
    <row r="1346">
      <c r="A1346" s="8" t="str">
        <f>IFERROR(__xludf.DUMMYFUNCTION("""COMPUTED_VALUE"""),"106596320181200750")</f>
        <v>106596320181200750</v>
      </c>
      <c r="B1346" s="9" t="str">
        <f>IFERROR(__xludf.DUMMYFUNCTION("""COMPUTED_VALUE"""),"France")</f>
        <v>France</v>
      </c>
      <c r="C1346" s="9" t="str">
        <f>IFERROR(__xludf.DUMMYFUNCTION("""COMPUTED_VALUE"""),"burgundy")</f>
        <v>burgundy</v>
      </c>
      <c r="D1346" s="9" t="str">
        <f>IFERROR(__xludf.DUMMYFUNCTION("""COMPUTED_VALUE"""),"Domaine des Comtes Lafon, Meursault, Clos de la Barre")</f>
        <v>Domaine des Comtes Lafon, Meursault, Clos de la Barre</v>
      </c>
      <c r="E1346" s="9">
        <f>IFERROR(__xludf.DUMMYFUNCTION("""COMPUTED_VALUE"""),2018.0)</f>
        <v>2018</v>
      </c>
      <c r="F1346" s="9">
        <f>IFERROR(__xludf.DUMMYFUNCTION("""COMPUTED_VALUE"""),750.0)</f>
        <v>750</v>
      </c>
      <c r="G1346" s="9">
        <f>IFERROR(__xludf.DUMMYFUNCTION("""COMPUTED_VALUE"""),12.0)</f>
        <v>12</v>
      </c>
      <c r="H1346" s="10">
        <f>IFERROR(__xludf.DUMMYFUNCTION("""COMPUTED_VALUE"""),3.0)</f>
        <v>3</v>
      </c>
      <c r="I1346" s="11">
        <f>IFERROR(__xludf.DUMMYFUNCTION("""COMPUTED_VALUE"""),2597.0)</f>
        <v>2597</v>
      </c>
      <c r="J1346" s="9" t="str">
        <f>IFERROR(__xludf.DUMMYFUNCTION("""COMPUTED_VALUE"""),"UK")</f>
        <v>UK</v>
      </c>
      <c r="K1346" s="8"/>
      <c r="L1346" s="12"/>
      <c r="M1346" s="13"/>
      <c r="N1346" s="13" t="str">
        <f>IFERROR(__xludf.DUMMYFUNCTION("IF(ISBLANK(M1346),"""",M1346*GOOGLEFINANCE(""USDGBP""))"),"")</f>
        <v/>
      </c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</row>
    <row r="1347">
      <c r="A1347" s="8" t="str">
        <f>IFERROR(__xludf.DUMMYFUNCTION("""COMPUTED_VALUE"""),"107066020180600750")</f>
        <v>107066020180600750</v>
      </c>
      <c r="B1347" s="9" t="str">
        <f>IFERROR(__xludf.DUMMYFUNCTION("""COMPUTED_VALUE"""),"France")</f>
        <v>France</v>
      </c>
      <c r="C1347" s="9" t="str">
        <f>IFERROR(__xludf.DUMMYFUNCTION("""COMPUTED_VALUE"""),"burgundy")</f>
        <v>burgundy</v>
      </c>
      <c r="D1347" s="9" t="str">
        <f>IFERROR(__xludf.DUMMYFUNCTION("""COMPUTED_VALUE"""),"Domaine des Heritiers Louis Jadot, Corton-Charlemagne Grand Cru")</f>
        <v>Domaine des Heritiers Louis Jadot, Corton-Charlemagne Grand Cru</v>
      </c>
      <c r="E1347" s="9">
        <f>IFERROR(__xludf.DUMMYFUNCTION("""COMPUTED_VALUE"""),2018.0)</f>
        <v>2018</v>
      </c>
      <c r="F1347" s="9">
        <f>IFERROR(__xludf.DUMMYFUNCTION("""COMPUTED_VALUE"""),750.0)</f>
        <v>750</v>
      </c>
      <c r="G1347" s="9">
        <f>IFERROR(__xludf.DUMMYFUNCTION("""COMPUTED_VALUE"""),6.0)</f>
        <v>6</v>
      </c>
      <c r="H1347" s="10">
        <f>IFERROR(__xludf.DUMMYFUNCTION("""COMPUTED_VALUE"""),6.0)</f>
        <v>6</v>
      </c>
      <c r="I1347" s="11">
        <f>IFERROR(__xludf.DUMMYFUNCTION("""COMPUTED_VALUE"""),940.0)</f>
        <v>940</v>
      </c>
      <c r="J1347" s="9" t="str">
        <f>IFERROR(__xludf.DUMMYFUNCTION("""COMPUTED_VALUE"""),"UK")</f>
        <v>UK</v>
      </c>
      <c r="K1347" s="8"/>
      <c r="L1347" s="12"/>
      <c r="M1347" s="13"/>
      <c r="N1347" s="13" t="str">
        <f>IFERROR(__xludf.DUMMYFUNCTION("IF(ISBLANK(M1347),"""",M1347*GOOGLEFINANCE(""USDGBP""))"),"")</f>
        <v/>
      </c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</row>
    <row r="1348">
      <c r="A1348" s="8" t="str">
        <f>IFERROR(__xludf.DUMMYFUNCTION("""COMPUTED_VALUE"""),"107203920150600750")</f>
        <v>107203920150600750</v>
      </c>
      <c r="B1348" s="9" t="str">
        <f>IFERROR(__xludf.DUMMYFUNCTION("""COMPUTED_VALUE"""),"France")</f>
        <v>France</v>
      </c>
      <c r="C1348" s="9" t="str">
        <f>IFERROR(__xludf.DUMMYFUNCTION("""COMPUTED_VALUE"""),"burgundy")</f>
        <v>burgundy</v>
      </c>
      <c r="D1348" s="9" t="str">
        <f>IFERROR(__xludf.DUMMYFUNCTION("""COMPUTED_VALUE"""),"Domaine des Lambrays, Puligny-Montrachet Premier Cru, Les Folatieres")</f>
        <v>Domaine des Lambrays, Puligny-Montrachet Premier Cru, Les Folatieres</v>
      </c>
      <c r="E1348" s="9">
        <f>IFERROR(__xludf.DUMMYFUNCTION("""COMPUTED_VALUE"""),2015.0)</f>
        <v>2015</v>
      </c>
      <c r="F1348" s="9">
        <f>IFERROR(__xludf.DUMMYFUNCTION("""COMPUTED_VALUE"""),750.0)</f>
        <v>750</v>
      </c>
      <c r="G1348" s="9">
        <f>IFERROR(__xludf.DUMMYFUNCTION("""COMPUTED_VALUE"""),6.0)</f>
        <v>6</v>
      </c>
      <c r="H1348" s="10">
        <f>IFERROR(__xludf.DUMMYFUNCTION("""COMPUTED_VALUE"""),1.0)</f>
        <v>1</v>
      </c>
      <c r="I1348" s="11">
        <f>IFERROR(__xludf.DUMMYFUNCTION("""COMPUTED_VALUE"""),912.0)</f>
        <v>912</v>
      </c>
      <c r="J1348" s="9" t="str">
        <f>IFERROR(__xludf.DUMMYFUNCTION("""COMPUTED_VALUE"""),"UK")</f>
        <v>UK</v>
      </c>
      <c r="K1348" s="8"/>
      <c r="L1348" s="12"/>
      <c r="M1348" s="13"/>
      <c r="N1348" s="13" t="str">
        <f>IFERROR(__xludf.DUMMYFUNCTION("IF(ISBLANK(M1348),"""",M1348*GOOGLEFINANCE(""USDGBP""))"),"")</f>
        <v/>
      </c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</row>
    <row r="1349">
      <c r="A1349" s="8" t="str">
        <f>IFERROR(__xludf.DUMMYFUNCTION("""COMPUTED_VALUE"""),"172709820180601500")</f>
        <v>172709820180601500</v>
      </c>
      <c r="B1349" s="9" t="str">
        <f>IFERROR(__xludf.DUMMYFUNCTION("""COMPUTED_VALUE"""),"France")</f>
        <v>France</v>
      </c>
      <c r="C1349" s="9" t="str">
        <f>IFERROR(__xludf.DUMMYFUNCTION("""COMPUTED_VALUE"""),"burgundy")</f>
        <v>burgundy</v>
      </c>
      <c r="D1349" s="9" t="str">
        <f>IFERROR(__xludf.DUMMYFUNCTION("""COMPUTED_VALUE"""),"Domaines Leflaive, Macon, Le Monte")</f>
        <v>Domaines Leflaive, Macon, Le Monte</v>
      </c>
      <c r="E1349" s="9">
        <f>IFERROR(__xludf.DUMMYFUNCTION("""COMPUTED_VALUE"""),2018.0)</f>
        <v>2018</v>
      </c>
      <c r="F1349" s="9">
        <f>IFERROR(__xludf.DUMMYFUNCTION("""COMPUTED_VALUE"""),1500.0)</f>
        <v>1500</v>
      </c>
      <c r="G1349" s="9">
        <f>IFERROR(__xludf.DUMMYFUNCTION("""COMPUTED_VALUE"""),6.0)</f>
        <v>6</v>
      </c>
      <c r="H1349" s="10">
        <f>IFERROR(__xludf.DUMMYFUNCTION("""COMPUTED_VALUE"""),1.0)</f>
        <v>1</v>
      </c>
      <c r="I1349" s="11">
        <f>IFERROR(__xludf.DUMMYFUNCTION("""COMPUTED_VALUE"""),1075.0)</f>
        <v>1075</v>
      </c>
      <c r="J1349" s="9" t="str">
        <f>IFERROR(__xludf.DUMMYFUNCTION("""COMPUTED_VALUE"""),"UK")</f>
        <v>UK</v>
      </c>
      <c r="K1349" s="8"/>
      <c r="L1349" s="12"/>
      <c r="M1349" s="13"/>
      <c r="N1349" s="13" t="str">
        <f>IFERROR(__xludf.DUMMYFUNCTION("IF(ISBLANK(M1349),"""",M1349*GOOGLEFINANCE(""USDGBP""))"),"")</f>
        <v/>
      </c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</row>
    <row r="1350">
      <c r="A1350" s="8" t="str">
        <f>IFERROR(__xludf.DUMMYFUNCTION("""COMPUTED_VALUE"""),"113845420180601500")</f>
        <v>113845420180601500</v>
      </c>
      <c r="B1350" s="9" t="str">
        <f>IFERROR(__xludf.DUMMYFUNCTION("""COMPUTED_VALUE"""),"France")</f>
        <v>France</v>
      </c>
      <c r="C1350" s="9" t="str">
        <f>IFERROR(__xludf.DUMMYFUNCTION("""COMPUTED_VALUE"""),"burgundy")</f>
        <v>burgundy</v>
      </c>
      <c r="D1350" s="9" t="str">
        <f>IFERROR(__xludf.DUMMYFUNCTION("""COMPUTED_VALUE"""),"Domaines Leflaive, Macon, Verze")</f>
        <v>Domaines Leflaive, Macon, Verze</v>
      </c>
      <c r="E1350" s="9">
        <f>IFERROR(__xludf.DUMMYFUNCTION("""COMPUTED_VALUE"""),2018.0)</f>
        <v>2018</v>
      </c>
      <c r="F1350" s="9">
        <f>IFERROR(__xludf.DUMMYFUNCTION("""COMPUTED_VALUE"""),1500.0)</f>
        <v>1500</v>
      </c>
      <c r="G1350" s="9">
        <f>IFERROR(__xludf.DUMMYFUNCTION("""COMPUTED_VALUE"""),6.0)</f>
        <v>6</v>
      </c>
      <c r="H1350" s="10">
        <f>IFERROR(__xludf.DUMMYFUNCTION("""COMPUTED_VALUE"""),1.0)</f>
        <v>1</v>
      </c>
      <c r="I1350" s="11">
        <f>IFERROR(__xludf.DUMMYFUNCTION("""COMPUTED_VALUE"""),618.0)</f>
        <v>618</v>
      </c>
      <c r="J1350" s="9" t="str">
        <f>IFERROR(__xludf.DUMMYFUNCTION("""COMPUTED_VALUE"""),"UK")</f>
        <v>UK</v>
      </c>
      <c r="K1350" s="8"/>
      <c r="L1350" s="12"/>
      <c r="M1350" s="13"/>
      <c r="N1350" s="13" t="str">
        <f>IFERROR(__xludf.DUMMYFUNCTION("IF(ISBLANK(M1350),"""",M1350*GOOGLEFINANCE(""USDGBP""))"),"")</f>
        <v/>
      </c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</row>
    <row r="1351">
      <c r="A1351" s="8" t="str">
        <f>IFERROR(__xludf.DUMMYFUNCTION("""COMPUTED_VALUE"""),"108015720180100750")</f>
        <v>108015720180100750</v>
      </c>
      <c r="B1351" s="9" t="str">
        <f>IFERROR(__xludf.DUMMYFUNCTION("""COMPUTED_VALUE"""),"France")</f>
        <v>France</v>
      </c>
      <c r="C1351" s="9" t="str">
        <f>IFERROR(__xludf.DUMMYFUNCTION("""COMPUTED_VALUE"""),"burgundy")</f>
        <v>burgundy</v>
      </c>
      <c r="D1351" s="9" t="str">
        <f>IFERROR(__xludf.DUMMYFUNCTION("""COMPUTED_VALUE"""),"Etienne Sauzet, Batard-Montrachet Grand Cru")</f>
        <v>Etienne Sauzet, Batard-Montrachet Grand Cru</v>
      </c>
      <c r="E1351" s="9">
        <f>IFERROR(__xludf.DUMMYFUNCTION("""COMPUTED_VALUE"""),2018.0)</f>
        <v>2018</v>
      </c>
      <c r="F1351" s="9">
        <f>IFERROR(__xludf.DUMMYFUNCTION("""COMPUTED_VALUE"""),750.0)</f>
        <v>750</v>
      </c>
      <c r="G1351" s="9">
        <f>IFERROR(__xludf.DUMMYFUNCTION("""COMPUTED_VALUE"""),1.0)</f>
        <v>1</v>
      </c>
      <c r="H1351" s="10">
        <f>IFERROR(__xludf.DUMMYFUNCTION("""COMPUTED_VALUE"""),1.0)</f>
        <v>1</v>
      </c>
      <c r="I1351" s="11">
        <f>IFERROR(__xludf.DUMMYFUNCTION("""COMPUTED_VALUE"""),611.0)</f>
        <v>611</v>
      </c>
      <c r="J1351" s="9" t="str">
        <f>IFERROR(__xludf.DUMMYFUNCTION("""COMPUTED_VALUE"""),"UK")</f>
        <v>UK</v>
      </c>
      <c r="K1351" s="8"/>
      <c r="L1351" s="12"/>
      <c r="M1351" s="13"/>
      <c r="N1351" s="13" t="str">
        <f>IFERROR(__xludf.DUMMYFUNCTION("IF(ISBLANK(M1351),"""",M1351*GOOGLEFINANCE(""USDGBP""))"),"")</f>
        <v/>
      </c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</row>
    <row r="1352">
      <c r="A1352" s="8" t="str">
        <f>IFERROR(__xludf.DUMMYFUNCTION("""COMPUTED_VALUE"""),"112458120181200750")</f>
        <v>112458120181200750</v>
      </c>
      <c r="B1352" s="9" t="str">
        <f>IFERROR(__xludf.DUMMYFUNCTION("""COMPUTED_VALUE"""),"France")</f>
        <v>France</v>
      </c>
      <c r="C1352" s="9" t="str">
        <f>IFERROR(__xludf.DUMMYFUNCTION("""COMPUTED_VALUE"""),"burgundy")</f>
        <v>burgundy</v>
      </c>
      <c r="D1352" s="9" t="str">
        <f>IFERROR(__xludf.DUMMYFUNCTION("""COMPUTED_VALUE"""),"Etienne Sauzet, Chassagne-Montrachet, Les Encegnieres")</f>
        <v>Etienne Sauzet, Chassagne-Montrachet, Les Encegnieres</v>
      </c>
      <c r="E1352" s="9">
        <f>IFERROR(__xludf.DUMMYFUNCTION("""COMPUTED_VALUE"""),2018.0)</f>
        <v>2018</v>
      </c>
      <c r="F1352" s="9">
        <f>IFERROR(__xludf.DUMMYFUNCTION("""COMPUTED_VALUE"""),750.0)</f>
        <v>750</v>
      </c>
      <c r="G1352" s="9">
        <f>IFERROR(__xludf.DUMMYFUNCTION("""COMPUTED_VALUE"""),12.0)</f>
        <v>12</v>
      </c>
      <c r="H1352" s="10">
        <f>IFERROR(__xludf.DUMMYFUNCTION("""COMPUTED_VALUE"""),4.0)</f>
        <v>4</v>
      </c>
      <c r="I1352" s="11">
        <f>IFERROR(__xludf.DUMMYFUNCTION("""COMPUTED_VALUE"""),1444.0)</f>
        <v>1444</v>
      </c>
      <c r="J1352" s="9" t="str">
        <f>IFERROR(__xludf.DUMMYFUNCTION("""COMPUTED_VALUE"""),"UK")</f>
        <v>UK</v>
      </c>
      <c r="K1352" s="8"/>
      <c r="L1352" s="12"/>
      <c r="M1352" s="13"/>
      <c r="N1352" s="13" t="str">
        <f>IFERROR(__xludf.DUMMYFUNCTION("IF(ISBLANK(M1352),"""",M1352*GOOGLEFINANCE(""USDGBP""))"),"")</f>
        <v/>
      </c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</row>
    <row r="1353">
      <c r="A1353" s="8" t="str">
        <f>IFERROR(__xludf.DUMMYFUNCTION("""COMPUTED_VALUE"""),"108021620170100750")</f>
        <v>108021620170100750</v>
      </c>
      <c r="B1353" s="9" t="str">
        <f>IFERROR(__xludf.DUMMYFUNCTION("""COMPUTED_VALUE"""),"France")</f>
        <v>France</v>
      </c>
      <c r="C1353" s="9" t="str">
        <f>IFERROR(__xludf.DUMMYFUNCTION("""COMPUTED_VALUE"""),"burgundy")</f>
        <v>burgundy</v>
      </c>
      <c r="D1353" s="9" t="str">
        <f>IFERROR(__xludf.DUMMYFUNCTION("""COMPUTED_VALUE"""),"Etienne Sauzet, Chevalier-Montrachet Grand Cru")</f>
        <v>Etienne Sauzet, Chevalier-Montrachet Grand Cru</v>
      </c>
      <c r="E1353" s="9">
        <f>IFERROR(__xludf.DUMMYFUNCTION("""COMPUTED_VALUE"""),2017.0)</f>
        <v>2017</v>
      </c>
      <c r="F1353" s="9">
        <f>IFERROR(__xludf.DUMMYFUNCTION("""COMPUTED_VALUE"""),750.0)</f>
        <v>750</v>
      </c>
      <c r="G1353" s="9">
        <f>IFERROR(__xludf.DUMMYFUNCTION("""COMPUTED_VALUE"""),1.0)</f>
        <v>1</v>
      </c>
      <c r="H1353" s="10">
        <f>IFERROR(__xludf.DUMMYFUNCTION("""COMPUTED_VALUE"""),1.0)</f>
        <v>1</v>
      </c>
      <c r="I1353" s="11">
        <f>IFERROR(__xludf.DUMMYFUNCTION("""COMPUTED_VALUE"""),763.0)</f>
        <v>763</v>
      </c>
      <c r="J1353" s="9" t="str">
        <f>IFERROR(__xludf.DUMMYFUNCTION("""COMPUTED_VALUE"""),"UK")</f>
        <v>UK</v>
      </c>
      <c r="K1353" s="8"/>
      <c r="L1353" s="12"/>
      <c r="M1353" s="13"/>
      <c r="N1353" s="13" t="str">
        <f>IFERROR(__xludf.DUMMYFUNCTION("IF(ISBLANK(M1353),"""",M1353*GOOGLEFINANCE(""USDGBP""))"),"")</f>
        <v/>
      </c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</row>
    <row r="1354">
      <c r="A1354" s="8" t="str">
        <f>IFERROR(__xludf.DUMMYFUNCTION("""COMPUTED_VALUE"""),"108022920190300750")</f>
        <v>108022920190300750</v>
      </c>
      <c r="B1354" s="9" t="str">
        <f>IFERROR(__xludf.DUMMYFUNCTION("""COMPUTED_VALUE"""),"France")</f>
        <v>France</v>
      </c>
      <c r="C1354" s="9" t="str">
        <f>IFERROR(__xludf.DUMMYFUNCTION("""COMPUTED_VALUE"""),"burgundy")</f>
        <v>burgundy</v>
      </c>
      <c r="D1354" s="9" t="str">
        <f>IFERROR(__xludf.DUMMYFUNCTION("""COMPUTED_VALUE"""),"Etienne Sauzet, Montrachet Grand Cru")</f>
        <v>Etienne Sauzet, Montrachet Grand Cru</v>
      </c>
      <c r="E1354" s="9">
        <f>IFERROR(__xludf.DUMMYFUNCTION("""COMPUTED_VALUE"""),2019.0)</f>
        <v>2019</v>
      </c>
      <c r="F1354" s="9">
        <f>IFERROR(__xludf.DUMMYFUNCTION("""COMPUTED_VALUE"""),750.0)</f>
        <v>750</v>
      </c>
      <c r="G1354" s="9">
        <f>IFERROR(__xludf.DUMMYFUNCTION("""COMPUTED_VALUE"""),3.0)</f>
        <v>3</v>
      </c>
      <c r="H1354" s="10">
        <f>IFERROR(__xludf.DUMMYFUNCTION("""COMPUTED_VALUE"""),1.0)</f>
        <v>1</v>
      </c>
      <c r="I1354" s="11">
        <f>IFERROR(__xludf.DUMMYFUNCTION("""COMPUTED_VALUE"""),3694.0)</f>
        <v>3694</v>
      </c>
      <c r="J1354" s="9" t="str">
        <f>IFERROR(__xludf.DUMMYFUNCTION("""COMPUTED_VALUE"""),"UK")</f>
        <v>UK</v>
      </c>
      <c r="K1354" s="8"/>
      <c r="L1354" s="12"/>
      <c r="M1354" s="13"/>
      <c r="N1354" s="13" t="str">
        <f>IFERROR(__xludf.DUMMYFUNCTION("IF(ISBLANK(M1354),"""",M1354*GOOGLEFINANCE(""USDGBP""))"),"")</f>
        <v/>
      </c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</row>
    <row r="1355">
      <c r="A1355" s="8" t="str">
        <f>IFERROR(__xludf.DUMMYFUNCTION("""COMPUTED_VALUE"""),"108023220151200750")</f>
        <v>108023220151200750</v>
      </c>
      <c r="B1355" s="9" t="str">
        <f>IFERROR(__xludf.DUMMYFUNCTION("""COMPUTED_VALUE"""),"France")</f>
        <v>France</v>
      </c>
      <c r="C1355" s="9" t="str">
        <f>IFERROR(__xludf.DUMMYFUNCTION("""COMPUTED_VALUE"""),"burgundy")</f>
        <v>burgundy</v>
      </c>
      <c r="D1355" s="9" t="str">
        <f>IFERROR(__xludf.DUMMYFUNCTION("""COMPUTED_VALUE"""),"Etienne Sauzet, Puligny-Montrachet")</f>
        <v>Etienne Sauzet, Puligny-Montrachet</v>
      </c>
      <c r="E1355" s="9">
        <f>IFERROR(__xludf.DUMMYFUNCTION("""COMPUTED_VALUE"""),2015.0)</f>
        <v>2015</v>
      </c>
      <c r="F1355" s="9">
        <f>IFERROR(__xludf.DUMMYFUNCTION("""COMPUTED_VALUE"""),750.0)</f>
        <v>750</v>
      </c>
      <c r="G1355" s="9">
        <f>IFERROR(__xludf.DUMMYFUNCTION("""COMPUTED_VALUE"""),12.0)</f>
        <v>12</v>
      </c>
      <c r="H1355" s="10">
        <f>IFERROR(__xludf.DUMMYFUNCTION("""COMPUTED_VALUE"""),1.0)</f>
        <v>1</v>
      </c>
      <c r="I1355" s="11">
        <f>IFERROR(__xludf.DUMMYFUNCTION("""COMPUTED_VALUE"""),1182.0)</f>
        <v>1182</v>
      </c>
      <c r="J1355" s="9" t="str">
        <f>IFERROR(__xludf.DUMMYFUNCTION("""COMPUTED_VALUE"""),"UK")</f>
        <v>UK</v>
      </c>
      <c r="K1355" s="8"/>
      <c r="L1355" s="12"/>
      <c r="M1355" s="13"/>
      <c r="N1355" s="13" t="str">
        <f>IFERROR(__xludf.DUMMYFUNCTION("IF(ISBLANK(M1355),"""",M1355*GOOGLEFINANCE(""USDGBP""))"),"")</f>
        <v/>
      </c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</row>
    <row r="1356">
      <c r="A1356" s="8" t="str">
        <f>IFERROR(__xludf.DUMMYFUNCTION("""COMPUTED_VALUE"""),"108023220181200750")</f>
        <v>108023220181200750</v>
      </c>
      <c r="B1356" s="9" t="str">
        <f>IFERROR(__xludf.DUMMYFUNCTION("""COMPUTED_VALUE"""),"France")</f>
        <v>France</v>
      </c>
      <c r="C1356" s="9" t="str">
        <f>IFERROR(__xludf.DUMMYFUNCTION("""COMPUTED_VALUE"""),"burgundy")</f>
        <v>burgundy</v>
      </c>
      <c r="D1356" s="9" t="str">
        <f>IFERROR(__xludf.DUMMYFUNCTION("""COMPUTED_VALUE"""),"Etienne Sauzet, Puligny-Montrachet")</f>
        <v>Etienne Sauzet, Puligny-Montrachet</v>
      </c>
      <c r="E1356" s="9">
        <f>IFERROR(__xludf.DUMMYFUNCTION("""COMPUTED_VALUE"""),2018.0)</f>
        <v>2018</v>
      </c>
      <c r="F1356" s="9">
        <f>IFERROR(__xludf.DUMMYFUNCTION("""COMPUTED_VALUE"""),750.0)</f>
        <v>750</v>
      </c>
      <c r="G1356" s="9">
        <f>IFERROR(__xludf.DUMMYFUNCTION("""COMPUTED_VALUE"""),12.0)</f>
        <v>12</v>
      </c>
      <c r="H1356" s="10">
        <f>IFERROR(__xludf.DUMMYFUNCTION("""COMPUTED_VALUE"""),4.0)</f>
        <v>4</v>
      </c>
      <c r="I1356" s="11">
        <f>IFERROR(__xludf.DUMMYFUNCTION("""COMPUTED_VALUE"""),952.0)</f>
        <v>952</v>
      </c>
      <c r="J1356" s="9" t="str">
        <f>IFERROR(__xludf.DUMMYFUNCTION("""COMPUTED_VALUE"""),"UK")</f>
        <v>UK</v>
      </c>
      <c r="K1356" s="8"/>
      <c r="L1356" s="12"/>
      <c r="M1356" s="13"/>
      <c r="N1356" s="13" t="str">
        <f>IFERROR(__xludf.DUMMYFUNCTION("IF(ISBLANK(M1356),"""",M1356*GOOGLEFINANCE(""USDGBP""))"),"")</f>
        <v/>
      </c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</row>
    <row r="1357">
      <c r="A1357" s="8" t="str">
        <f>IFERROR(__xludf.DUMMYFUNCTION("""COMPUTED_VALUE"""),"108024520180600750")</f>
        <v>108024520180600750</v>
      </c>
      <c r="B1357" s="9" t="str">
        <f>IFERROR(__xludf.DUMMYFUNCTION("""COMPUTED_VALUE"""),"France")</f>
        <v>France</v>
      </c>
      <c r="C1357" s="9" t="str">
        <f>IFERROR(__xludf.DUMMYFUNCTION("""COMPUTED_VALUE"""),"burgundy")</f>
        <v>burgundy</v>
      </c>
      <c r="D1357" s="9" t="str">
        <f>IFERROR(__xludf.DUMMYFUNCTION("""COMPUTED_VALUE"""),"Etienne Sauzet, Puligny-Montrachet Premier Cru, Champ Canet")</f>
        <v>Etienne Sauzet, Puligny-Montrachet Premier Cru, Champ Canet</v>
      </c>
      <c r="E1357" s="9">
        <f>IFERROR(__xludf.DUMMYFUNCTION("""COMPUTED_VALUE"""),2018.0)</f>
        <v>2018</v>
      </c>
      <c r="F1357" s="9">
        <f>IFERROR(__xludf.DUMMYFUNCTION("""COMPUTED_VALUE"""),750.0)</f>
        <v>750</v>
      </c>
      <c r="G1357" s="9">
        <f>IFERROR(__xludf.DUMMYFUNCTION("""COMPUTED_VALUE"""),6.0)</f>
        <v>6</v>
      </c>
      <c r="H1357" s="10">
        <f>IFERROR(__xludf.DUMMYFUNCTION("""COMPUTED_VALUE"""),1.0)</f>
        <v>1</v>
      </c>
      <c r="I1357" s="11">
        <f>IFERROR(__xludf.DUMMYFUNCTION("""COMPUTED_VALUE"""),960.0)</f>
        <v>960</v>
      </c>
      <c r="J1357" s="9" t="str">
        <f>IFERROR(__xludf.DUMMYFUNCTION("""COMPUTED_VALUE"""),"UK")</f>
        <v>UK</v>
      </c>
      <c r="K1357" s="8"/>
      <c r="L1357" s="12"/>
      <c r="M1357" s="13"/>
      <c r="N1357" s="13" t="str">
        <f>IFERROR(__xludf.DUMMYFUNCTION("IF(ISBLANK(M1357),"""",M1357*GOOGLEFINANCE(""USDGBP""))"),"")</f>
        <v/>
      </c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</row>
    <row r="1358">
      <c r="A1358" s="8" t="str">
        <f>IFERROR(__xludf.DUMMYFUNCTION("""COMPUTED_VALUE"""),"108025820160600750")</f>
        <v>108025820160600750</v>
      </c>
      <c r="B1358" s="9" t="str">
        <f>IFERROR(__xludf.DUMMYFUNCTION("""COMPUTED_VALUE"""),"France")</f>
        <v>France</v>
      </c>
      <c r="C1358" s="9" t="str">
        <f>IFERROR(__xludf.DUMMYFUNCTION("""COMPUTED_VALUE"""),"burgundy")</f>
        <v>burgundy</v>
      </c>
      <c r="D1358" s="9" t="str">
        <f>IFERROR(__xludf.DUMMYFUNCTION("""COMPUTED_VALUE"""),"Etienne Sauzet, Puligny-Montrachet Premier Cru, Champ Gain")</f>
        <v>Etienne Sauzet, Puligny-Montrachet Premier Cru, Champ Gain</v>
      </c>
      <c r="E1358" s="9">
        <f>IFERROR(__xludf.DUMMYFUNCTION("""COMPUTED_VALUE"""),2016.0)</f>
        <v>2016</v>
      </c>
      <c r="F1358" s="9">
        <f>IFERROR(__xludf.DUMMYFUNCTION("""COMPUTED_VALUE"""),750.0)</f>
        <v>750</v>
      </c>
      <c r="G1358" s="9">
        <f>IFERROR(__xludf.DUMMYFUNCTION("""COMPUTED_VALUE"""),6.0)</f>
        <v>6</v>
      </c>
      <c r="H1358" s="10">
        <f>IFERROR(__xludf.DUMMYFUNCTION("""COMPUTED_VALUE"""),6.0)</f>
        <v>6</v>
      </c>
      <c r="I1358" s="11">
        <f>IFERROR(__xludf.DUMMYFUNCTION("""COMPUTED_VALUE"""),1410.0)</f>
        <v>1410</v>
      </c>
      <c r="J1358" s="9" t="str">
        <f>IFERROR(__xludf.DUMMYFUNCTION("""COMPUTED_VALUE"""),"UK")</f>
        <v>UK</v>
      </c>
      <c r="K1358" s="8"/>
      <c r="L1358" s="12"/>
      <c r="M1358" s="13"/>
      <c r="N1358" s="13" t="str">
        <f>IFERROR(__xludf.DUMMYFUNCTION("IF(ISBLANK(M1358),"""",M1358*GOOGLEFINANCE(""USDGBP""))"),"")</f>
        <v/>
      </c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</row>
    <row r="1359">
      <c r="A1359" s="8" t="str">
        <f>IFERROR(__xludf.DUMMYFUNCTION("""COMPUTED_VALUE"""),"108028720160600750")</f>
        <v>108028720160600750</v>
      </c>
      <c r="B1359" s="9" t="str">
        <f>IFERROR(__xludf.DUMMYFUNCTION("""COMPUTED_VALUE"""),"France")</f>
        <v>France</v>
      </c>
      <c r="C1359" s="9" t="str">
        <f>IFERROR(__xludf.DUMMYFUNCTION("""COMPUTED_VALUE"""),"burgundy")</f>
        <v>burgundy</v>
      </c>
      <c r="D1359" s="9" t="str">
        <f>IFERROR(__xludf.DUMMYFUNCTION("""COMPUTED_VALUE"""),"Etienne Sauzet, Puligny-Montrachet Premier Cru, La Garenne")</f>
        <v>Etienne Sauzet, Puligny-Montrachet Premier Cru, La Garenne</v>
      </c>
      <c r="E1359" s="9">
        <f>IFERROR(__xludf.DUMMYFUNCTION("""COMPUTED_VALUE"""),2016.0)</f>
        <v>2016</v>
      </c>
      <c r="F1359" s="9">
        <f>IFERROR(__xludf.DUMMYFUNCTION("""COMPUTED_VALUE"""),750.0)</f>
        <v>750</v>
      </c>
      <c r="G1359" s="9">
        <f>IFERROR(__xludf.DUMMYFUNCTION("""COMPUTED_VALUE"""),6.0)</f>
        <v>6</v>
      </c>
      <c r="H1359" s="10">
        <f>IFERROR(__xludf.DUMMYFUNCTION("""COMPUTED_VALUE"""),10.0)</f>
        <v>10</v>
      </c>
      <c r="I1359" s="11">
        <f>IFERROR(__xludf.DUMMYFUNCTION("""COMPUTED_VALUE"""),891.0)</f>
        <v>891</v>
      </c>
      <c r="J1359" s="9" t="str">
        <f>IFERROR(__xludf.DUMMYFUNCTION("""COMPUTED_VALUE"""),"UK")</f>
        <v>UK</v>
      </c>
      <c r="K1359" s="8"/>
      <c r="L1359" s="12"/>
      <c r="M1359" s="13"/>
      <c r="N1359" s="13" t="str">
        <f>IFERROR(__xludf.DUMMYFUNCTION("IF(ISBLANK(M1359),"""",M1359*GOOGLEFINANCE(""USDGBP""))"),"")</f>
        <v/>
      </c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</row>
    <row r="1360">
      <c r="A1360" s="8" t="str">
        <f>IFERROR(__xludf.DUMMYFUNCTION("""COMPUTED_VALUE"""),"108026120180600750")</f>
        <v>108026120180600750</v>
      </c>
      <c r="B1360" s="9" t="str">
        <f>IFERROR(__xludf.DUMMYFUNCTION("""COMPUTED_VALUE"""),"France")</f>
        <v>France</v>
      </c>
      <c r="C1360" s="9" t="str">
        <f>IFERROR(__xludf.DUMMYFUNCTION("""COMPUTED_VALUE"""),"burgundy")</f>
        <v>burgundy</v>
      </c>
      <c r="D1360" s="9" t="str">
        <f>IFERROR(__xludf.DUMMYFUNCTION("""COMPUTED_VALUE"""),"Etienne Sauzet, Puligny-Montrachet Premier Cru, Les Combettes")</f>
        <v>Etienne Sauzet, Puligny-Montrachet Premier Cru, Les Combettes</v>
      </c>
      <c r="E1360" s="9">
        <f>IFERROR(__xludf.DUMMYFUNCTION("""COMPUTED_VALUE"""),2018.0)</f>
        <v>2018</v>
      </c>
      <c r="F1360" s="9">
        <f>IFERROR(__xludf.DUMMYFUNCTION("""COMPUTED_VALUE"""),750.0)</f>
        <v>750</v>
      </c>
      <c r="G1360" s="9">
        <f>IFERROR(__xludf.DUMMYFUNCTION("""COMPUTED_VALUE"""),6.0)</f>
        <v>6</v>
      </c>
      <c r="H1360" s="10">
        <f>IFERROR(__xludf.DUMMYFUNCTION("""COMPUTED_VALUE"""),1.0)</f>
        <v>1</v>
      </c>
      <c r="I1360" s="11">
        <f>IFERROR(__xludf.DUMMYFUNCTION("""COMPUTED_VALUE"""),1178.0)</f>
        <v>1178</v>
      </c>
      <c r="J1360" s="9" t="str">
        <f>IFERROR(__xludf.DUMMYFUNCTION("""COMPUTED_VALUE"""),"UK")</f>
        <v>UK</v>
      </c>
      <c r="K1360" s="8"/>
      <c r="L1360" s="12"/>
      <c r="M1360" s="13"/>
      <c r="N1360" s="13" t="str">
        <f>IFERROR(__xludf.DUMMYFUNCTION("IF(ISBLANK(M1360),"""",M1360*GOOGLEFINANCE(""USDGBP""))"),"")</f>
        <v/>
      </c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</row>
    <row r="1361">
      <c r="A1361" s="8" t="str">
        <f>IFERROR(__xludf.DUMMYFUNCTION("""COMPUTED_VALUE"""),"108027420180600750")</f>
        <v>108027420180600750</v>
      </c>
      <c r="B1361" s="9" t="str">
        <f>IFERROR(__xludf.DUMMYFUNCTION("""COMPUTED_VALUE"""),"France")</f>
        <v>France</v>
      </c>
      <c r="C1361" s="9" t="str">
        <f>IFERROR(__xludf.DUMMYFUNCTION("""COMPUTED_VALUE"""),"burgundy")</f>
        <v>burgundy</v>
      </c>
      <c r="D1361" s="9" t="str">
        <f>IFERROR(__xludf.DUMMYFUNCTION("""COMPUTED_VALUE"""),"Etienne Sauzet, Puligny-Montrachet Premier Cru, Les Folatieres")</f>
        <v>Etienne Sauzet, Puligny-Montrachet Premier Cru, Les Folatieres</v>
      </c>
      <c r="E1361" s="9">
        <f>IFERROR(__xludf.DUMMYFUNCTION("""COMPUTED_VALUE"""),2018.0)</f>
        <v>2018</v>
      </c>
      <c r="F1361" s="9">
        <f>IFERROR(__xludf.DUMMYFUNCTION("""COMPUTED_VALUE"""),750.0)</f>
        <v>750</v>
      </c>
      <c r="G1361" s="9">
        <f>IFERROR(__xludf.DUMMYFUNCTION("""COMPUTED_VALUE"""),6.0)</f>
        <v>6</v>
      </c>
      <c r="H1361" s="10">
        <f>IFERROR(__xludf.DUMMYFUNCTION("""COMPUTED_VALUE"""),1.0)</f>
        <v>1</v>
      </c>
      <c r="I1361" s="11">
        <f>IFERROR(__xludf.DUMMYFUNCTION("""COMPUTED_VALUE"""),1187.0)</f>
        <v>1187</v>
      </c>
      <c r="J1361" s="9" t="str">
        <f>IFERROR(__xludf.DUMMYFUNCTION("""COMPUTED_VALUE"""),"UK")</f>
        <v>UK</v>
      </c>
      <c r="K1361" s="8"/>
      <c r="L1361" s="12"/>
      <c r="M1361" s="13"/>
      <c r="N1361" s="13" t="str">
        <f>IFERROR(__xludf.DUMMYFUNCTION("IF(ISBLANK(M1361),"""",M1361*GOOGLEFINANCE(""USDGBP""))"),"")</f>
        <v/>
      </c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</row>
    <row r="1362">
      <c r="A1362" s="8" t="str">
        <f>IFERROR(__xludf.DUMMYFUNCTION("""COMPUTED_VALUE"""),"108030420160600750")</f>
        <v>108030420160600750</v>
      </c>
      <c r="B1362" s="9" t="str">
        <f>IFERROR(__xludf.DUMMYFUNCTION("""COMPUTED_VALUE"""),"France")</f>
        <v>France</v>
      </c>
      <c r="C1362" s="9" t="str">
        <f>IFERROR(__xludf.DUMMYFUNCTION("""COMPUTED_VALUE"""),"burgundy")</f>
        <v>burgundy</v>
      </c>
      <c r="D1362" s="9" t="str">
        <f>IFERROR(__xludf.DUMMYFUNCTION("""COMPUTED_VALUE"""),"Etienne Sauzet, Puligny-Montrachet Premier Cru, Les Perrieres")</f>
        <v>Etienne Sauzet, Puligny-Montrachet Premier Cru, Les Perrieres</v>
      </c>
      <c r="E1362" s="9">
        <f>IFERROR(__xludf.DUMMYFUNCTION("""COMPUTED_VALUE"""),2016.0)</f>
        <v>2016</v>
      </c>
      <c r="F1362" s="9">
        <f>IFERROR(__xludf.DUMMYFUNCTION("""COMPUTED_VALUE"""),750.0)</f>
        <v>750</v>
      </c>
      <c r="G1362" s="9">
        <f>IFERROR(__xludf.DUMMYFUNCTION("""COMPUTED_VALUE"""),6.0)</f>
        <v>6</v>
      </c>
      <c r="H1362" s="10">
        <f>IFERROR(__xludf.DUMMYFUNCTION("""COMPUTED_VALUE"""),6.0)</f>
        <v>6</v>
      </c>
      <c r="I1362" s="11">
        <f>IFERROR(__xludf.DUMMYFUNCTION("""COMPUTED_VALUE"""),1125.0)</f>
        <v>1125</v>
      </c>
      <c r="J1362" s="9" t="str">
        <f>IFERROR(__xludf.DUMMYFUNCTION("""COMPUTED_VALUE"""),"UK")</f>
        <v>UK</v>
      </c>
      <c r="K1362" s="8"/>
      <c r="L1362" s="12"/>
      <c r="M1362" s="13"/>
      <c r="N1362" s="13" t="str">
        <f>IFERROR(__xludf.DUMMYFUNCTION("IF(ISBLANK(M1362),"""",M1362*GOOGLEFINANCE(""USDGBP""))"),"")</f>
        <v/>
      </c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</row>
    <row r="1363">
      <c r="A1363" s="8" t="str">
        <f>IFERROR(__xludf.DUMMYFUNCTION("""COMPUTED_VALUE"""),"156874120181200750")</f>
        <v>156874120181200750</v>
      </c>
      <c r="B1363" s="9" t="str">
        <f>IFERROR(__xludf.DUMMYFUNCTION("""COMPUTED_VALUE"""),"France")</f>
        <v>France</v>
      </c>
      <c r="C1363" s="9" t="str">
        <f>IFERROR(__xludf.DUMMYFUNCTION("""COMPUTED_VALUE"""),"burgundy")</f>
        <v>burgundy</v>
      </c>
      <c r="D1363" s="9" t="str">
        <f>IFERROR(__xludf.DUMMYFUNCTION("""COMPUTED_VALUE"""),"Francois Mikulski, Meursault, Les Meix Chavaux")</f>
        <v>Francois Mikulski, Meursault, Les Meix Chavaux</v>
      </c>
      <c r="E1363" s="9">
        <f>IFERROR(__xludf.DUMMYFUNCTION("""COMPUTED_VALUE"""),2018.0)</f>
        <v>2018</v>
      </c>
      <c r="F1363" s="9">
        <f>IFERROR(__xludf.DUMMYFUNCTION("""COMPUTED_VALUE"""),750.0)</f>
        <v>750</v>
      </c>
      <c r="G1363" s="9">
        <f>IFERROR(__xludf.DUMMYFUNCTION("""COMPUTED_VALUE"""),12.0)</f>
        <v>12</v>
      </c>
      <c r="H1363" s="10">
        <f>IFERROR(__xludf.DUMMYFUNCTION("""COMPUTED_VALUE"""),1.0)</f>
        <v>1</v>
      </c>
      <c r="I1363" s="11">
        <f>IFERROR(__xludf.DUMMYFUNCTION("""COMPUTED_VALUE"""),2250.0)</f>
        <v>2250</v>
      </c>
      <c r="J1363" s="9" t="str">
        <f>IFERROR(__xludf.DUMMYFUNCTION("""COMPUTED_VALUE"""),"UK")</f>
        <v>UK</v>
      </c>
      <c r="K1363" s="8"/>
      <c r="L1363" s="12"/>
      <c r="M1363" s="13"/>
      <c r="N1363" s="13" t="str">
        <f>IFERROR(__xludf.DUMMYFUNCTION("IF(ISBLANK(M1363),"""",M1363*GOOGLEFINANCE(""USDGBP""))"),"")</f>
        <v/>
      </c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</row>
    <row r="1364">
      <c r="A1364" s="8" t="str">
        <f>IFERROR(__xludf.DUMMYFUNCTION("""COMPUTED_VALUE"""),"128441220181200750")</f>
        <v>128441220181200750</v>
      </c>
      <c r="B1364" s="9" t="str">
        <f>IFERROR(__xludf.DUMMYFUNCTION("""COMPUTED_VALUE"""),"France")</f>
        <v>France</v>
      </c>
      <c r="C1364" s="9" t="str">
        <f>IFERROR(__xludf.DUMMYFUNCTION("""COMPUTED_VALUE"""),"burgundy")</f>
        <v>burgundy</v>
      </c>
      <c r="D1364" s="9" t="str">
        <f>IFERROR(__xludf.DUMMYFUNCTION("""COMPUTED_VALUE"""),"Hubert Lamy, Chassagne-Montrachet Premier Cru, Les Chaumees")</f>
        <v>Hubert Lamy, Chassagne-Montrachet Premier Cru, Les Chaumees</v>
      </c>
      <c r="E1364" s="9">
        <f>IFERROR(__xludf.DUMMYFUNCTION("""COMPUTED_VALUE"""),2018.0)</f>
        <v>2018</v>
      </c>
      <c r="F1364" s="9">
        <f>IFERROR(__xludf.DUMMYFUNCTION("""COMPUTED_VALUE"""),750.0)</f>
        <v>750</v>
      </c>
      <c r="G1364" s="9">
        <f>IFERROR(__xludf.DUMMYFUNCTION("""COMPUTED_VALUE"""),12.0)</f>
        <v>12</v>
      </c>
      <c r="H1364" s="10">
        <f>IFERROR(__xludf.DUMMYFUNCTION("""COMPUTED_VALUE"""),2.0)</f>
        <v>2</v>
      </c>
      <c r="I1364" s="11">
        <f>IFERROR(__xludf.DUMMYFUNCTION("""COMPUTED_VALUE"""),1982.0)</f>
        <v>1982</v>
      </c>
      <c r="J1364" s="9" t="str">
        <f>IFERROR(__xludf.DUMMYFUNCTION("""COMPUTED_VALUE"""),"UK")</f>
        <v>UK</v>
      </c>
      <c r="K1364" s="8"/>
      <c r="L1364" s="12"/>
      <c r="M1364" s="13"/>
      <c r="N1364" s="13" t="str">
        <f>IFERROR(__xludf.DUMMYFUNCTION("IF(ISBLANK(M1364),"""",M1364*GOOGLEFINANCE(""USDGBP""))"),"")</f>
        <v/>
      </c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</row>
    <row r="1365">
      <c r="A1365" s="8" t="str">
        <f>IFERROR(__xludf.DUMMYFUNCTION("""COMPUTED_VALUE"""),"117145520171200750")</f>
        <v>117145520171200750</v>
      </c>
      <c r="B1365" s="9" t="str">
        <f>IFERROR(__xludf.DUMMYFUNCTION("""COMPUTED_VALUE"""),"France")</f>
        <v>France</v>
      </c>
      <c r="C1365" s="9" t="str">
        <f>IFERROR(__xludf.DUMMYFUNCTION("""COMPUTED_VALUE"""),"burgundy")</f>
        <v>burgundy</v>
      </c>
      <c r="D1365" s="9" t="str">
        <f>IFERROR(__xludf.DUMMYFUNCTION("""COMPUTED_VALUE"""),"Hubert Lamy, Chassagne-Montrachet, Le Concis du Champs")</f>
        <v>Hubert Lamy, Chassagne-Montrachet, Le Concis du Champs</v>
      </c>
      <c r="E1365" s="9">
        <f>IFERROR(__xludf.DUMMYFUNCTION("""COMPUTED_VALUE"""),2017.0)</f>
        <v>2017</v>
      </c>
      <c r="F1365" s="9">
        <f>IFERROR(__xludf.DUMMYFUNCTION("""COMPUTED_VALUE"""),750.0)</f>
        <v>750</v>
      </c>
      <c r="G1365" s="9">
        <f>IFERROR(__xludf.DUMMYFUNCTION("""COMPUTED_VALUE"""),12.0)</f>
        <v>12</v>
      </c>
      <c r="H1365" s="10">
        <f>IFERROR(__xludf.DUMMYFUNCTION("""COMPUTED_VALUE"""),3.0)</f>
        <v>3</v>
      </c>
      <c r="I1365" s="11">
        <f>IFERROR(__xludf.DUMMYFUNCTION("""COMPUTED_VALUE"""),1097.0)</f>
        <v>1097</v>
      </c>
      <c r="J1365" s="9" t="str">
        <f>IFERROR(__xludf.DUMMYFUNCTION("""COMPUTED_VALUE"""),"UK")</f>
        <v>UK</v>
      </c>
      <c r="K1365" s="8"/>
      <c r="L1365" s="12"/>
      <c r="M1365" s="13"/>
      <c r="N1365" s="13" t="str">
        <f>IFERROR(__xludf.DUMMYFUNCTION("IF(ISBLANK(M1365),"""",M1365*GOOGLEFINANCE(""USDGBP""))"),"")</f>
        <v/>
      </c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</row>
    <row r="1366">
      <c r="A1366" s="8" t="str">
        <f>IFERROR(__xludf.DUMMYFUNCTION("""COMPUTED_VALUE"""),"117145520181200750")</f>
        <v>117145520181200750</v>
      </c>
      <c r="B1366" s="9" t="str">
        <f>IFERROR(__xludf.DUMMYFUNCTION("""COMPUTED_VALUE"""),"France")</f>
        <v>France</v>
      </c>
      <c r="C1366" s="9" t="str">
        <f>IFERROR(__xludf.DUMMYFUNCTION("""COMPUTED_VALUE"""),"burgundy")</f>
        <v>burgundy</v>
      </c>
      <c r="D1366" s="9" t="str">
        <f>IFERROR(__xludf.DUMMYFUNCTION("""COMPUTED_VALUE"""),"Hubert Lamy, Chassagne-Montrachet, Le Concis du Champs")</f>
        <v>Hubert Lamy, Chassagne-Montrachet, Le Concis du Champs</v>
      </c>
      <c r="E1366" s="9">
        <f>IFERROR(__xludf.DUMMYFUNCTION("""COMPUTED_VALUE"""),2018.0)</f>
        <v>2018</v>
      </c>
      <c r="F1366" s="9">
        <f>IFERROR(__xludf.DUMMYFUNCTION("""COMPUTED_VALUE"""),750.0)</f>
        <v>750</v>
      </c>
      <c r="G1366" s="9">
        <f>IFERROR(__xludf.DUMMYFUNCTION("""COMPUTED_VALUE"""),12.0)</f>
        <v>12</v>
      </c>
      <c r="H1366" s="10">
        <f>IFERROR(__xludf.DUMMYFUNCTION("""COMPUTED_VALUE"""),16.0)</f>
        <v>16</v>
      </c>
      <c r="I1366" s="11">
        <f>IFERROR(__xludf.DUMMYFUNCTION("""COMPUTED_VALUE"""),1431.0)</f>
        <v>1431</v>
      </c>
      <c r="J1366" s="9" t="str">
        <f>IFERROR(__xludf.DUMMYFUNCTION("""COMPUTED_VALUE"""),"UK")</f>
        <v>UK</v>
      </c>
      <c r="K1366" s="8"/>
      <c r="L1366" s="12"/>
      <c r="M1366" s="13"/>
      <c r="N1366" s="13" t="str">
        <f>IFERROR(__xludf.DUMMYFUNCTION("IF(ISBLANK(M1366),"""",M1366*GOOGLEFINANCE(""USDGBP""))"),"")</f>
        <v/>
      </c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</row>
    <row r="1367">
      <c r="A1367" s="8" t="str">
        <f>IFERROR(__xludf.DUMMYFUNCTION("""COMPUTED_VALUE"""),"107208420181200750")</f>
        <v>107208420181200750</v>
      </c>
      <c r="B1367" s="9" t="str">
        <f>IFERROR(__xludf.DUMMYFUNCTION("""COMPUTED_VALUE"""),"France")</f>
        <v>France</v>
      </c>
      <c r="C1367" s="9" t="str">
        <f>IFERROR(__xludf.DUMMYFUNCTION("""COMPUTED_VALUE"""),"burgundy")</f>
        <v>burgundy</v>
      </c>
      <c r="D1367" s="9" t="str">
        <f>IFERROR(__xludf.DUMMYFUNCTION("""COMPUTED_VALUE"""),"Hubert Lamy, Puligny-Montrachet, Les Tremblots")</f>
        <v>Hubert Lamy, Puligny-Montrachet, Les Tremblots</v>
      </c>
      <c r="E1367" s="9">
        <f>IFERROR(__xludf.DUMMYFUNCTION("""COMPUTED_VALUE"""),2018.0)</f>
        <v>2018</v>
      </c>
      <c r="F1367" s="9">
        <f>IFERROR(__xludf.DUMMYFUNCTION("""COMPUTED_VALUE"""),750.0)</f>
        <v>750</v>
      </c>
      <c r="G1367" s="9">
        <f>IFERROR(__xludf.DUMMYFUNCTION("""COMPUTED_VALUE"""),12.0)</f>
        <v>12</v>
      </c>
      <c r="H1367" s="10">
        <f>IFERROR(__xludf.DUMMYFUNCTION("""COMPUTED_VALUE"""),6.0)</f>
        <v>6</v>
      </c>
      <c r="I1367" s="11">
        <f>IFERROR(__xludf.DUMMYFUNCTION("""COMPUTED_VALUE"""),1623.0)</f>
        <v>1623</v>
      </c>
      <c r="J1367" s="9" t="str">
        <f>IFERROR(__xludf.DUMMYFUNCTION("""COMPUTED_VALUE"""),"UK")</f>
        <v>UK</v>
      </c>
      <c r="K1367" s="8"/>
      <c r="L1367" s="12"/>
      <c r="M1367" s="13"/>
      <c r="N1367" s="13" t="str">
        <f>IFERROR(__xludf.DUMMYFUNCTION("IF(ISBLANK(M1367),"""",M1367*GOOGLEFINANCE(""USDGBP""))"),"")</f>
        <v/>
      </c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</row>
    <row r="1368">
      <c r="A1368" s="8" t="str">
        <f>IFERROR(__xludf.DUMMYFUNCTION("""COMPUTED_VALUE"""),"125998820181200750")</f>
        <v>125998820181200750</v>
      </c>
      <c r="B1368" s="9" t="str">
        <f>IFERROR(__xludf.DUMMYFUNCTION("""COMPUTED_VALUE"""),"France")</f>
        <v>France</v>
      </c>
      <c r="C1368" s="9" t="str">
        <f>IFERROR(__xludf.DUMMYFUNCTION("""COMPUTED_VALUE"""),"burgundy")</f>
        <v>burgundy</v>
      </c>
      <c r="D1368" s="9" t="str">
        <f>IFERROR(__xludf.DUMMYFUNCTION("""COMPUTED_VALUE"""),"Hubert Lamy, Saint-Aubin Premier Cru, Clos du Meix Blanc")</f>
        <v>Hubert Lamy, Saint-Aubin Premier Cru, Clos du Meix Blanc</v>
      </c>
      <c r="E1368" s="9">
        <f>IFERROR(__xludf.DUMMYFUNCTION("""COMPUTED_VALUE"""),2018.0)</f>
        <v>2018</v>
      </c>
      <c r="F1368" s="9">
        <f>IFERROR(__xludf.DUMMYFUNCTION("""COMPUTED_VALUE"""),750.0)</f>
        <v>750</v>
      </c>
      <c r="G1368" s="9">
        <f>IFERROR(__xludf.DUMMYFUNCTION("""COMPUTED_VALUE"""),12.0)</f>
        <v>12</v>
      </c>
      <c r="H1368" s="10">
        <f>IFERROR(__xludf.DUMMYFUNCTION("""COMPUTED_VALUE"""),6.0)</f>
        <v>6</v>
      </c>
      <c r="I1368" s="11">
        <f>IFERROR(__xludf.DUMMYFUNCTION("""COMPUTED_VALUE"""),1632.0)</f>
        <v>1632</v>
      </c>
      <c r="J1368" s="9" t="str">
        <f>IFERROR(__xludf.DUMMYFUNCTION("""COMPUTED_VALUE"""),"UK")</f>
        <v>UK</v>
      </c>
      <c r="K1368" s="8"/>
      <c r="L1368" s="12"/>
      <c r="M1368" s="13"/>
      <c r="N1368" s="13" t="str">
        <f>IFERROR(__xludf.DUMMYFUNCTION("IF(ISBLANK(M1368),"""",M1368*GOOGLEFINANCE(""USDGBP""))"),"")</f>
        <v/>
      </c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</row>
    <row r="1369">
      <c r="A1369" s="8" t="str">
        <f>IFERROR(__xludf.DUMMYFUNCTION("""COMPUTED_VALUE"""),"106153220180600750")</f>
        <v>106153220180600750</v>
      </c>
      <c r="B1369" s="9" t="str">
        <f>IFERROR(__xludf.DUMMYFUNCTION("""COMPUTED_VALUE"""),"France")</f>
        <v>France</v>
      </c>
      <c r="C1369" s="9" t="str">
        <f>IFERROR(__xludf.DUMMYFUNCTION("""COMPUTED_VALUE"""),"burgundy")</f>
        <v>burgundy</v>
      </c>
      <c r="D1369" s="9" t="str">
        <f>IFERROR(__xludf.DUMMYFUNCTION("""COMPUTED_VALUE"""),"J. M. Boillot, Puligny-Montrachet Premier Cru, Champ Canet")</f>
        <v>J. M. Boillot, Puligny-Montrachet Premier Cru, Champ Canet</v>
      </c>
      <c r="E1369" s="9">
        <f>IFERROR(__xludf.DUMMYFUNCTION("""COMPUTED_VALUE"""),2018.0)</f>
        <v>2018</v>
      </c>
      <c r="F1369" s="9">
        <f>IFERROR(__xludf.DUMMYFUNCTION("""COMPUTED_VALUE"""),750.0)</f>
        <v>750</v>
      </c>
      <c r="G1369" s="9">
        <f>IFERROR(__xludf.DUMMYFUNCTION("""COMPUTED_VALUE"""),6.0)</f>
        <v>6</v>
      </c>
      <c r="H1369" s="10">
        <f>IFERROR(__xludf.DUMMYFUNCTION("""COMPUTED_VALUE"""),3.0)</f>
        <v>3</v>
      </c>
      <c r="I1369" s="11">
        <f>IFERROR(__xludf.DUMMYFUNCTION("""COMPUTED_VALUE"""),574.0)</f>
        <v>574</v>
      </c>
      <c r="J1369" s="9" t="str">
        <f>IFERROR(__xludf.DUMMYFUNCTION("""COMPUTED_VALUE"""),"UK")</f>
        <v>UK</v>
      </c>
      <c r="K1369" s="8"/>
      <c r="L1369" s="12"/>
      <c r="M1369" s="13"/>
      <c r="N1369" s="13" t="str">
        <f>IFERROR(__xludf.DUMMYFUNCTION("IF(ISBLANK(M1369),"""",M1369*GOOGLEFINANCE(""USDGBP""))"),"")</f>
        <v/>
      </c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</row>
    <row r="1370">
      <c r="A1370" s="8" t="str">
        <f>IFERROR(__xludf.DUMMYFUNCTION("""COMPUTED_VALUE"""),"106153220181200750")</f>
        <v>106153220181200750</v>
      </c>
      <c r="B1370" s="9" t="str">
        <f>IFERROR(__xludf.DUMMYFUNCTION("""COMPUTED_VALUE"""),"France")</f>
        <v>France</v>
      </c>
      <c r="C1370" s="9" t="str">
        <f>IFERROR(__xludf.DUMMYFUNCTION("""COMPUTED_VALUE"""),"burgundy")</f>
        <v>burgundy</v>
      </c>
      <c r="D1370" s="9" t="str">
        <f>IFERROR(__xludf.DUMMYFUNCTION("""COMPUTED_VALUE"""),"J. M. Boillot, Puligny-Montrachet Premier Cru, Champ Canet")</f>
        <v>J. M. Boillot, Puligny-Montrachet Premier Cru, Champ Canet</v>
      </c>
      <c r="E1370" s="9">
        <f>IFERROR(__xludf.DUMMYFUNCTION("""COMPUTED_VALUE"""),2018.0)</f>
        <v>2018</v>
      </c>
      <c r="F1370" s="9">
        <f>IFERROR(__xludf.DUMMYFUNCTION("""COMPUTED_VALUE"""),750.0)</f>
        <v>750</v>
      </c>
      <c r="G1370" s="9">
        <f>IFERROR(__xludf.DUMMYFUNCTION("""COMPUTED_VALUE"""),12.0)</f>
        <v>12</v>
      </c>
      <c r="H1370" s="10">
        <f>IFERROR(__xludf.DUMMYFUNCTION("""COMPUTED_VALUE"""),1.0)</f>
        <v>1</v>
      </c>
      <c r="I1370" s="11">
        <f>IFERROR(__xludf.DUMMYFUNCTION("""COMPUTED_VALUE"""),1148.0)</f>
        <v>1148</v>
      </c>
      <c r="J1370" s="9" t="str">
        <f>IFERROR(__xludf.DUMMYFUNCTION("""COMPUTED_VALUE"""),"UK")</f>
        <v>UK</v>
      </c>
      <c r="K1370" s="8"/>
      <c r="L1370" s="12"/>
      <c r="M1370" s="13"/>
      <c r="N1370" s="13" t="str">
        <f>IFERROR(__xludf.DUMMYFUNCTION("IF(ISBLANK(M1370),"""",M1370*GOOGLEFINANCE(""USDGBP""))"),"")</f>
        <v/>
      </c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</row>
    <row r="1371">
      <c r="A1371" s="8" t="str">
        <f>IFERROR(__xludf.DUMMYFUNCTION("""COMPUTED_VALUE"""),"106159020180600750")</f>
        <v>106159020180600750</v>
      </c>
      <c r="B1371" s="9" t="str">
        <f>IFERROR(__xludf.DUMMYFUNCTION("""COMPUTED_VALUE"""),"France")</f>
        <v>France</v>
      </c>
      <c r="C1371" s="9" t="str">
        <f>IFERROR(__xludf.DUMMYFUNCTION("""COMPUTED_VALUE"""),"burgundy")</f>
        <v>burgundy</v>
      </c>
      <c r="D1371" s="9" t="str">
        <f>IFERROR(__xludf.DUMMYFUNCTION("""COMPUTED_VALUE"""),"J. M. Boillot, Puligny-Montrachet Premier Cru, Les Referts")</f>
        <v>J. M. Boillot, Puligny-Montrachet Premier Cru, Les Referts</v>
      </c>
      <c r="E1371" s="9">
        <f>IFERROR(__xludf.DUMMYFUNCTION("""COMPUTED_VALUE"""),2018.0)</f>
        <v>2018</v>
      </c>
      <c r="F1371" s="9">
        <f>IFERROR(__xludf.DUMMYFUNCTION("""COMPUTED_VALUE"""),750.0)</f>
        <v>750</v>
      </c>
      <c r="G1371" s="9">
        <f>IFERROR(__xludf.DUMMYFUNCTION("""COMPUTED_VALUE"""),6.0)</f>
        <v>6</v>
      </c>
      <c r="H1371" s="10">
        <f>IFERROR(__xludf.DUMMYFUNCTION("""COMPUTED_VALUE"""),1.0)</f>
        <v>1</v>
      </c>
      <c r="I1371" s="11">
        <f>IFERROR(__xludf.DUMMYFUNCTION("""COMPUTED_VALUE"""),632.0)</f>
        <v>632</v>
      </c>
      <c r="J1371" s="9" t="str">
        <f>IFERROR(__xludf.DUMMYFUNCTION("""COMPUTED_VALUE"""),"UK")</f>
        <v>UK</v>
      </c>
      <c r="K1371" s="8"/>
      <c r="L1371" s="12"/>
      <c r="M1371" s="13"/>
      <c r="N1371" s="13" t="str">
        <f>IFERROR(__xludf.DUMMYFUNCTION("IF(ISBLANK(M1371),"""",M1371*GOOGLEFINANCE(""USDGBP""))"),"")</f>
        <v/>
      </c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</row>
    <row r="1372">
      <c r="A1372" s="8" t="str">
        <f>IFERROR(__xludf.DUMMYFUNCTION("""COMPUTED_VALUE"""),"123225320191200750")</f>
        <v>123225320191200750</v>
      </c>
      <c r="B1372" s="9" t="str">
        <f>IFERROR(__xludf.DUMMYFUNCTION("""COMPUTED_VALUE"""),"France")</f>
        <v>France</v>
      </c>
      <c r="C1372" s="9" t="str">
        <f>IFERROR(__xludf.DUMMYFUNCTION("""COMPUTED_VALUE"""),"burgundy")</f>
        <v>burgundy</v>
      </c>
      <c r="D1372" s="9" t="str">
        <f>IFERROR(__xludf.DUMMYFUNCTION("""COMPUTED_VALUE"""),"Jean Chartron, Chevalier-Montrachet Grand Cru, Clos des Chevaliers")</f>
        <v>Jean Chartron, Chevalier-Montrachet Grand Cru, Clos des Chevaliers</v>
      </c>
      <c r="E1372" s="9">
        <f>IFERROR(__xludf.DUMMYFUNCTION("""COMPUTED_VALUE"""),2019.0)</f>
        <v>2019</v>
      </c>
      <c r="F1372" s="9">
        <f>IFERROR(__xludf.DUMMYFUNCTION("""COMPUTED_VALUE"""),750.0)</f>
        <v>750</v>
      </c>
      <c r="G1372" s="9">
        <f>IFERROR(__xludf.DUMMYFUNCTION("""COMPUTED_VALUE"""),12.0)</f>
        <v>12</v>
      </c>
      <c r="H1372" s="10">
        <f>IFERROR(__xludf.DUMMYFUNCTION("""COMPUTED_VALUE"""),1.0)</f>
        <v>1</v>
      </c>
      <c r="I1372" s="11">
        <f>IFERROR(__xludf.DUMMYFUNCTION("""COMPUTED_VALUE"""),6460.0)</f>
        <v>6460</v>
      </c>
      <c r="J1372" s="9" t="str">
        <f>IFERROR(__xludf.DUMMYFUNCTION("""COMPUTED_VALUE"""),"UK")</f>
        <v>UK</v>
      </c>
      <c r="K1372" s="8"/>
      <c r="L1372" s="12"/>
      <c r="M1372" s="13"/>
      <c r="N1372" s="13" t="str">
        <f>IFERROR(__xludf.DUMMYFUNCTION("IF(ISBLANK(M1372),"""",M1372*GOOGLEFINANCE(""USDGBP""))"),"")</f>
        <v/>
      </c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</row>
    <row r="1373">
      <c r="A1373" s="8" t="str">
        <f>IFERROR(__xludf.DUMMYFUNCTION("""COMPUTED_VALUE"""),"106393020181200750")</f>
        <v>106393020181200750</v>
      </c>
      <c r="B1373" s="9" t="str">
        <f>IFERROR(__xludf.DUMMYFUNCTION("""COMPUTED_VALUE"""),"France")</f>
        <v>France</v>
      </c>
      <c r="C1373" s="9" t="str">
        <f>IFERROR(__xludf.DUMMYFUNCTION("""COMPUTED_VALUE"""),"burgundy")</f>
        <v>burgundy</v>
      </c>
      <c r="D1373" s="9" t="str">
        <f>IFERROR(__xludf.DUMMYFUNCTION("""COMPUTED_VALUE"""),"Jean Chartron, Saint-Aubin Premier Cru, Les Murgers des Dents de Chien")</f>
        <v>Jean Chartron, Saint-Aubin Premier Cru, Les Murgers des Dents de Chien</v>
      </c>
      <c r="E1373" s="9">
        <f>IFERROR(__xludf.DUMMYFUNCTION("""COMPUTED_VALUE"""),2018.0)</f>
        <v>2018</v>
      </c>
      <c r="F1373" s="9">
        <f>IFERROR(__xludf.DUMMYFUNCTION("""COMPUTED_VALUE"""),750.0)</f>
        <v>750</v>
      </c>
      <c r="G1373" s="9">
        <f>IFERROR(__xludf.DUMMYFUNCTION("""COMPUTED_VALUE"""),12.0)</f>
        <v>12</v>
      </c>
      <c r="H1373" s="10">
        <f>IFERROR(__xludf.DUMMYFUNCTION("""COMPUTED_VALUE"""),2.0)</f>
        <v>2</v>
      </c>
      <c r="I1373" s="11">
        <f>IFERROR(__xludf.DUMMYFUNCTION("""COMPUTED_VALUE"""),679.0)</f>
        <v>679</v>
      </c>
      <c r="J1373" s="9" t="str">
        <f>IFERROR(__xludf.DUMMYFUNCTION("""COMPUTED_VALUE"""),"UK")</f>
        <v>UK</v>
      </c>
      <c r="K1373" s="8"/>
      <c r="L1373" s="12"/>
      <c r="M1373" s="13"/>
      <c r="N1373" s="13" t="str">
        <f>IFERROR(__xludf.DUMMYFUNCTION("IF(ISBLANK(M1373),"""",M1373*GOOGLEFINANCE(""USDGBP""))"),"")</f>
        <v/>
      </c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</row>
    <row r="1374">
      <c r="A1374" s="8" t="str">
        <f>IFERROR(__xludf.DUMMYFUNCTION("""COMPUTED_VALUE"""),"106870420180600750")</f>
        <v>106870420180600750</v>
      </c>
      <c r="B1374" s="9" t="str">
        <f>IFERROR(__xludf.DUMMYFUNCTION("""COMPUTED_VALUE"""),"France")</f>
        <v>France</v>
      </c>
      <c r="C1374" s="9" t="str">
        <f>IFERROR(__xludf.DUMMYFUNCTION("""COMPUTED_VALUE"""),"burgundy")</f>
        <v>burgundy</v>
      </c>
      <c r="D1374" s="9" t="str">
        <f>IFERROR(__xludf.DUMMYFUNCTION("""COMPUTED_VALUE"""),"Jean Noel Gagnard, Batard-Montrachet Grand Cru")</f>
        <v>Jean Noel Gagnard, Batard-Montrachet Grand Cru</v>
      </c>
      <c r="E1374" s="9">
        <f>IFERROR(__xludf.DUMMYFUNCTION("""COMPUTED_VALUE"""),2018.0)</f>
        <v>2018</v>
      </c>
      <c r="F1374" s="9">
        <f>IFERROR(__xludf.DUMMYFUNCTION("""COMPUTED_VALUE"""),750.0)</f>
        <v>750</v>
      </c>
      <c r="G1374" s="9">
        <f>IFERROR(__xludf.DUMMYFUNCTION("""COMPUTED_VALUE"""),6.0)</f>
        <v>6</v>
      </c>
      <c r="H1374" s="10">
        <f>IFERROR(__xludf.DUMMYFUNCTION("""COMPUTED_VALUE"""),2.0)</f>
        <v>2</v>
      </c>
      <c r="I1374" s="11">
        <f>IFERROR(__xludf.DUMMYFUNCTION("""COMPUTED_VALUE"""),3320.0)</f>
        <v>3320</v>
      </c>
      <c r="J1374" s="9" t="str">
        <f>IFERROR(__xludf.DUMMYFUNCTION("""COMPUTED_VALUE"""),"UK")</f>
        <v>UK</v>
      </c>
      <c r="K1374" s="8"/>
      <c r="L1374" s="12"/>
      <c r="M1374" s="13"/>
      <c r="N1374" s="13" t="str">
        <f>IFERROR(__xludf.DUMMYFUNCTION("IF(ISBLANK(M1374),"""",M1374*GOOGLEFINANCE(""USDGBP""))"),"")</f>
        <v/>
      </c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</row>
    <row r="1375">
      <c r="A1375" s="8" t="str">
        <f>IFERROR(__xludf.DUMMYFUNCTION("""COMPUTED_VALUE"""),"106870420190300750")</f>
        <v>106870420190300750</v>
      </c>
      <c r="B1375" s="9" t="str">
        <f>IFERROR(__xludf.DUMMYFUNCTION("""COMPUTED_VALUE"""),"France")</f>
        <v>France</v>
      </c>
      <c r="C1375" s="9" t="str">
        <f>IFERROR(__xludf.DUMMYFUNCTION("""COMPUTED_VALUE"""),"burgundy")</f>
        <v>burgundy</v>
      </c>
      <c r="D1375" s="9" t="str">
        <f>IFERROR(__xludf.DUMMYFUNCTION("""COMPUTED_VALUE"""),"Jean Noel Gagnard, Batard-Montrachet Grand Cru")</f>
        <v>Jean Noel Gagnard, Batard-Montrachet Grand Cru</v>
      </c>
      <c r="E1375" s="9">
        <f>IFERROR(__xludf.DUMMYFUNCTION("""COMPUTED_VALUE"""),2019.0)</f>
        <v>2019</v>
      </c>
      <c r="F1375" s="9">
        <f>IFERROR(__xludf.DUMMYFUNCTION("""COMPUTED_VALUE"""),750.0)</f>
        <v>750</v>
      </c>
      <c r="G1375" s="9">
        <f>IFERROR(__xludf.DUMMYFUNCTION("""COMPUTED_VALUE"""),3.0)</f>
        <v>3</v>
      </c>
      <c r="H1375" s="10">
        <f>IFERROR(__xludf.DUMMYFUNCTION("""COMPUTED_VALUE"""),3.0)</f>
        <v>3</v>
      </c>
      <c r="I1375" s="11">
        <f>IFERROR(__xludf.DUMMYFUNCTION("""COMPUTED_VALUE"""),2850.0)</f>
        <v>2850</v>
      </c>
      <c r="J1375" s="9" t="str">
        <f>IFERROR(__xludf.DUMMYFUNCTION("""COMPUTED_VALUE"""),"UK")</f>
        <v>UK</v>
      </c>
      <c r="K1375" s="8"/>
      <c r="L1375" s="12"/>
      <c r="M1375" s="13"/>
      <c r="N1375" s="13" t="str">
        <f>IFERROR(__xludf.DUMMYFUNCTION("IF(ISBLANK(M1375),"""",M1375*GOOGLEFINANCE(""USDGBP""))"),"")</f>
        <v/>
      </c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</row>
    <row r="1376">
      <c r="A1376" s="8" t="str">
        <f>IFERROR(__xludf.DUMMYFUNCTION("""COMPUTED_VALUE"""),"107894320171200750")</f>
        <v>107894320171200750</v>
      </c>
      <c r="B1376" s="9" t="str">
        <f>IFERROR(__xludf.DUMMYFUNCTION("""COMPUTED_VALUE"""),"France")</f>
        <v>France</v>
      </c>
      <c r="C1376" s="9" t="str">
        <f>IFERROR(__xludf.DUMMYFUNCTION("""COMPUTED_VALUE"""),"burgundy")</f>
        <v>burgundy</v>
      </c>
      <c r="D1376" s="9" t="str">
        <f>IFERROR(__xludf.DUMMYFUNCTION("""COMPUTED_VALUE"""),"Jean-Claude Ramonet, Bourgogne Aligote")</f>
        <v>Jean-Claude Ramonet, Bourgogne Aligote</v>
      </c>
      <c r="E1376" s="9">
        <f>IFERROR(__xludf.DUMMYFUNCTION("""COMPUTED_VALUE"""),2017.0)</f>
        <v>2017</v>
      </c>
      <c r="F1376" s="9">
        <f>IFERROR(__xludf.DUMMYFUNCTION("""COMPUTED_VALUE"""),750.0)</f>
        <v>750</v>
      </c>
      <c r="G1376" s="9">
        <f>IFERROR(__xludf.DUMMYFUNCTION("""COMPUTED_VALUE"""),12.0)</f>
        <v>12</v>
      </c>
      <c r="H1376" s="10">
        <f>IFERROR(__xludf.DUMMYFUNCTION("""COMPUTED_VALUE"""),1.0)</f>
        <v>1</v>
      </c>
      <c r="I1376" s="11">
        <f>IFERROR(__xludf.DUMMYFUNCTION("""COMPUTED_VALUE"""),519.0)</f>
        <v>519</v>
      </c>
      <c r="J1376" s="9" t="str">
        <f>IFERROR(__xludf.DUMMYFUNCTION("""COMPUTED_VALUE"""),"UK")</f>
        <v>UK</v>
      </c>
      <c r="K1376" s="8"/>
      <c r="L1376" s="12"/>
      <c r="M1376" s="13"/>
      <c r="N1376" s="13" t="str">
        <f>IFERROR(__xludf.DUMMYFUNCTION("IF(ISBLANK(M1376),"""",M1376*GOOGLEFINANCE(""USDGBP""))"),"")</f>
        <v/>
      </c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</row>
    <row r="1377">
      <c r="A1377" s="8" t="str">
        <f>IFERROR(__xludf.DUMMYFUNCTION("""COMPUTED_VALUE"""),"106086720161200750")</f>
        <v>106086720161200750</v>
      </c>
      <c r="B1377" s="9" t="str">
        <f>IFERROR(__xludf.DUMMYFUNCTION("""COMPUTED_VALUE"""),"France")</f>
        <v>France</v>
      </c>
      <c r="C1377" s="9" t="str">
        <f>IFERROR(__xludf.DUMMYFUNCTION("""COMPUTED_VALUE"""),"burgundy")</f>
        <v>burgundy</v>
      </c>
      <c r="D1377" s="9" t="str">
        <f>IFERROR(__xludf.DUMMYFUNCTION("""COMPUTED_VALUE"""),"Jean-Marc Blain-Gagnard, Chassagne-Montrachet Premier Cru, Clos Saint-Jean Blanc")</f>
        <v>Jean-Marc Blain-Gagnard, Chassagne-Montrachet Premier Cru, Clos Saint-Jean Blanc</v>
      </c>
      <c r="E1377" s="9">
        <f>IFERROR(__xludf.DUMMYFUNCTION("""COMPUTED_VALUE"""),2016.0)</f>
        <v>2016</v>
      </c>
      <c r="F1377" s="9">
        <f>IFERROR(__xludf.DUMMYFUNCTION("""COMPUTED_VALUE"""),750.0)</f>
        <v>750</v>
      </c>
      <c r="G1377" s="9">
        <f>IFERROR(__xludf.DUMMYFUNCTION("""COMPUTED_VALUE"""),12.0)</f>
        <v>12</v>
      </c>
      <c r="H1377" s="10">
        <f>IFERROR(__xludf.DUMMYFUNCTION("""COMPUTED_VALUE"""),1.0)</f>
        <v>1</v>
      </c>
      <c r="I1377" s="11">
        <f>IFERROR(__xludf.DUMMYFUNCTION("""COMPUTED_VALUE"""),847.0)</f>
        <v>847</v>
      </c>
      <c r="J1377" s="9" t="str">
        <f>IFERROR(__xludf.DUMMYFUNCTION("""COMPUTED_VALUE"""),"UK")</f>
        <v>UK</v>
      </c>
      <c r="K1377" s="8"/>
      <c r="L1377" s="12"/>
      <c r="M1377" s="13"/>
      <c r="N1377" s="13" t="str">
        <f>IFERROR(__xludf.DUMMYFUNCTION("IF(ISBLANK(M1377),"""",M1377*GOOGLEFINANCE(""USDGBP""))"),"")</f>
        <v/>
      </c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</row>
    <row r="1378">
      <c r="A1378" s="8" t="str">
        <f>IFERROR(__xludf.DUMMYFUNCTION("""COMPUTED_VALUE"""),"106708420181200750")</f>
        <v>106708420181200750</v>
      </c>
      <c r="B1378" s="9" t="str">
        <f>IFERROR(__xludf.DUMMYFUNCTION("""COMPUTED_VALUE"""),"France")</f>
        <v>France</v>
      </c>
      <c r="C1378" s="9" t="str">
        <f>IFERROR(__xludf.DUMMYFUNCTION("""COMPUTED_VALUE"""),"burgundy")</f>
        <v>burgundy</v>
      </c>
      <c r="D1378" s="9" t="str">
        <f>IFERROR(__xludf.DUMMYFUNCTION("""COMPUTED_VALUE"""),"Jean-Paul &amp; Benoit Droin, Chablis Premier Cru, Montee de Tonnerre")</f>
        <v>Jean-Paul &amp; Benoit Droin, Chablis Premier Cru, Montee de Tonnerre</v>
      </c>
      <c r="E1378" s="9">
        <f>IFERROR(__xludf.DUMMYFUNCTION("""COMPUTED_VALUE"""),2018.0)</f>
        <v>2018</v>
      </c>
      <c r="F1378" s="9">
        <f>IFERROR(__xludf.DUMMYFUNCTION("""COMPUTED_VALUE"""),750.0)</f>
        <v>750</v>
      </c>
      <c r="G1378" s="9">
        <f>IFERROR(__xludf.DUMMYFUNCTION("""COMPUTED_VALUE"""),12.0)</f>
        <v>12</v>
      </c>
      <c r="H1378" s="10">
        <f>IFERROR(__xludf.DUMMYFUNCTION("""COMPUTED_VALUE"""),2.0)</f>
        <v>2</v>
      </c>
      <c r="I1378" s="11">
        <f>IFERROR(__xludf.DUMMYFUNCTION("""COMPUTED_VALUE"""),491.0)</f>
        <v>491</v>
      </c>
      <c r="J1378" s="9" t="str">
        <f>IFERROR(__xludf.DUMMYFUNCTION("""COMPUTED_VALUE"""),"UK")</f>
        <v>UK</v>
      </c>
      <c r="K1378" s="8"/>
      <c r="L1378" s="12"/>
      <c r="M1378" s="13"/>
      <c r="N1378" s="13" t="str">
        <f>IFERROR(__xludf.DUMMYFUNCTION("IF(ISBLANK(M1378),"""",M1378*GOOGLEFINANCE(""USDGBP""))"),"")</f>
        <v/>
      </c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</row>
    <row r="1379">
      <c r="A1379" s="8" t="str">
        <f>IFERROR(__xludf.DUMMYFUNCTION("""COMPUTED_VALUE"""),"106709720181200750")</f>
        <v>106709720181200750</v>
      </c>
      <c r="B1379" s="9" t="str">
        <f>IFERROR(__xludf.DUMMYFUNCTION("""COMPUTED_VALUE"""),"France")</f>
        <v>France</v>
      </c>
      <c r="C1379" s="9" t="str">
        <f>IFERROR(__xludf.DUMMYFUNCTION("""COMPUTED_VALUE"""),"burgundy")</f>
        <v>burgundy</v>
      </c>
      <c r="D1379" s="9" t="str">
        <f>IFERROR(__xludf.DUMMYFUNCTION("""COMPUTED_VALUE"""),"Jean-Paul &amp; Benoit Droin, Chablis Premier Cru, Montmains")</f>
        <v>Jean-Paul &amp; Benoit Droin, Chablis Premier Cru, Montmains</v>
      </c>
      <c r="E1379" s="9">
        <f>IFERROR(__xludf.DUMMYFUNCTION("""COMPUTED_VALUE"""),2018.0)</f>
        <v>2018</v>
      </c>
      <c r="F1379" s="9">
        <f>IFERROR(__xludf.DUMMYFUNCTION("""COMPUTED_VALUE"""),750.0)</f>
        <v>750</v>
      </c>
      <c r="G1379" s="9">
        <f>IFERROR(__xludf.DUMMYFUNCTION("""COMPUTED_VALUE"""),12.0)</f>
        <v>12</v>
      </c>
      <c r="H1379" s="10">
        <f>IFERROR(__xludf.DUMMYFUNCTION("""COMPUTED_VALUE"""),1.0)</f>
        <v>1</v>
      </c>
      <c r="I1379" s="11">
        <f>IFERROR(__xludf.DUMMYFUNCTION("""COMPUTED_VALUE"""),403.0)</f>
        <v>403</v>
      </c>
      <c r="J1379" s="9" t="str">
        <f>IFERROR(__xludf.DUMMYFUNCTION("""COMPUTED_VALUE"""),"UK")</f>
        <v>UK</v>
      </c>
      <c r="K1379" s="8"/>
      <c r="L1379" s="12"/>
      <c r="M1379" s="13"/>
      <c r="N1379" s="13" t="str">
        <f>IFERROR(__xludf.DUMMYFUNCTION("IF(ISBLANK(M1379),"""",M1379*GOOGLEFINANCE(""USDGBP""))"),"")</f>
        <v/>
      </c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</row>
    <row r="1380">
      <c r="A1380" s="8" t="str">
        <f>IFERROR(__xludf.DUMMYFUNCTION("""COMPUTED_VALUE"""),"106837120171200750")</f>
        <v>106837120171200750</v>
      </c>
      <c r="B1380" s="9" t="str">
        <f>IFERROR(__xludf.DUMMYFUNCTION("""COMPUTED_VALUE"""),"France")</f>
        <v>France</v>
      </c>
      <c r="C1380" s="9" t="str">
        <f>IFERROR(__xludf.DUMMYFUNCTION("""COMPUTED_VALUE"""),"burgundy")</f>
        <v>burgundy</v>
      </c>
      <c r="D1380" s="9" t="str">
        <f>IFERROR(__xludf.DUMMYFUNCTION("""COMPUTED_VALUE"""),"Jean-Philippe Fichet, Meursault, Blanc")</f>
        <v>Jean-Philippe Fichet, Meursault, Blanc</v>
      </c>
      <c r="E1380" s="9">
        <f>IFERROR(__xludf.DUMMYFUNCTION("""COMPUTED_VALUE"""),2017.0)</f>
        <v>2017</v>
      </c>
      <c r="F1380" s="9">
        <f>IFERROR(__xludf.DUMMYFUNCTION("""COMPUTED_VALUE"""),750.0)</f>
        <v>750</v>
      </c>
      <c r="G1380" s="9">
        <f>IFERROR(__xludf.DUMMYFUNCTION("""COMPUTED_VALUE"""),12.0)</f>
        <v>12</v>
      </c>
      <c r="H1380" s="10">
        <f>IFERROR(__xludf.DUMMYFUNCTION("""COMPUTED_VALUE"""),1.0)</f>
        <v>1</v>
      </c>
      <c r="I1380" s="11">
        <f>IFERROR(__xludf.DUMMYFUNCTION("""COMPUTED_VALUE"""),788.0)</f>
        <v>788</v>
      </c>
      <c r="J1380" s="9" t="str">
        <f>IFERROR(__xludf.DUMMYFUNCTION("""COMPUTED_VALUE"""),"UK")</f>
        <v>UK</v>
      </c>
      <c r="K1380" s="8"/>
      <c r="L1380" s="12"/>
      <c r="M1380" s="13"/>
      <c r="N1380" s="13" t="str">
        <f>IFERROR(__xludf.DUMMYFUNCTION("IF(ISBLANK(M1380),"""",M1380*GOOGLEFINANCE(""USDGBP""))"),"")</f>
        <v/>
      </c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</row>
    <row r="1381">
      <c r="A1381" s="8" t="str">
        <f>IFERROR(__xludf.DUMMYFUNCTION("""COMPUTED_VALUE"""),"106718520180600750")</f>
        <v>106718520180600750</v>
      </c>
      <c r="B1381" s="9" t="str">
        <f>IFERROR(__xludf.DUMMYFUNCTION("""COMPUTED_VALUE"""),"France")</f>
        <v>France</v>
      </c>
      <c r="C1381" s="9" t="str">
        <f>IFERROR(__xludf.DUMMYFUNCTION("""COMPUTED_VALUE"""),"burgundy")</f>
        <v>burgundy</v>
      </c>
      <c r="D1381" s="9" t="str">
        <f>IFERROR(__xludf.DUMMYFUNCTION("""COMPUTED_VALUE"""),"Joseph Drouhin, Beaune Premier Cru, Le Clos des Mouches Blanc")</f>
        <v>Joseph Drouhin, Beaune Premier Cru, Le Clos des Mouches Blanc</v>
      </c>
      <c r="E1381" s="9">
        <f>IFERROR(__xludf.DUMMYFUNCTION("""COMPUTED_VALUE"""),2018.0)</f>
        <v>2018</v>
      </c>
      <c r="F1381" s="9">
        <f>IFERROR(__xludf.DUMMYFUNCTION("""COMPUTED_VALUE"""),750.0)</f>
        <v>750</v>
      </c>
      <c r="G1381" s="9">
        <f>IFERROR(__xludf.DUMMYFUNCTION("""COMPUTED_VALUE"""),6.0)</f>
        <v>6</v>
      </c>
      <c r="H1381" s="10">
        <f>IFERROR(__xludf.DUMMYFUNCTION("""COMPUTED_VALUE"""),7.0)</f>
        <v>7</v>
      </c>
      <c r="I1381" s="11">
        <f>IFERROR(__xludf.DUMMYFUNCTION("""COMPUTED_VALUE"""),699.0)</f>
        <v>699</v>
      </c>
      <c r="J1381" s="9" t="str">
        <f>IFERROR(__xludf.DUMMYFUNCTION("""COMPUTED_VALUE"""),"UK")</f>
        <v>UK</v>
      </c>
      <c r="K1381" s="8"/>
      <c r="L1381" s="12"/>
      <c r="M1381" s="13"/>
      <c r="N1381" s="13" t="str">
        <f>IFERROR(__xludf.DUMMYFUNCTION("IF(ISBLANK(M1381),"""",M1381*GOOGLEFINANCE(""USDGBP""))"),"")</f>
        <v/>
      </c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</row>
    <row r="1382">
      <c r="A1382" s="8" t="str">
        <f>IFERROR(__xludf.DUMMYFUNCTION("""COMPUTED_VALUE"""),"106718520190600750")</f>
        <v>106718520190600750</v>
      </c>
      <c r="B1382" s="9" t="str">
        <f>IFERROR(__xludf.DUMMYFUNCTION("""COMPUTED_VALUE"""),"France")</f>
        <v>France</v>
      </c>
      <c r="C1382" s="9" t="str">
        <f>IFERROR(__xludf.DUMMYFUNCTION("""COMPUTED_VALUE"""),"burgundy")</f>
        <v>burgundy</v>
      </c>
      <c r="D1382" s="9" t="str">
        <f>IFERROR(__xludf.DUMMYFUNCTION("""COMPUTED_VALUE"""),"Joseph Drouhin, Beaune Premier Cru, Le Clos des Mouches Blanc")</f>
        <v>Joseph Drouhin, Beaune Premier Cru, Le Clos des Mouches Blanc</v>
      </c>
      <c r="E1382" s="9">
        <f>IFERROR(__xludf.DUMMYFUNCTION("""COMPUTED_VALUE"""),2019.0)</f>
        <v>2019</v>
      </c>
      <c r="F1382" s="9">
        <f>IFERROR(__xludf.DUMMYFUNCTION("""COMPUTED_VALUE"""),750.0)</f>
        <v>750</v>
      </c>
      <c r="G1382" s="9">
        <f>IFERROR(__xludf.DUMMYFUNCTION("""COMPUTED_VALUE"""),6.0)</f>
        <v>6</v>
      </c>
      <c r="H1382" s="10">
        <f>IFERROR(__xludf.DUMMYFUNCTION("""COMPUTED_VALUE"""),1.0)</f>
        <v>1</v>
      </c>
      <c r="I1382" s="11">
        <f>IFERROR(__xludf.DUMMYFUNCTION("""COMPUTED_VALUE"""),737.0)</f>
        <v>737</v>
      </c>
      <c r="J1382" s="9" t="str">
        <f>IFERROR(__xludf.DUMMYFUNCTION("""COMPUTED_VALUE"""),"UK")</f>
        <v>UK</v>
      </c>
      <c r="K1382" s="8"/>
      <c r="L1382" s="12"/>
      <c r="M1382" s="13"/>
      <c r="N1382" s="13" t="str">
        <f>IFERROR(__xludf.DUMMYFUNCTION("IF(ISBLANK(M1382),"""",M1382*GOOGLEFINANCE(""USDGBP""))"),"")</f>
        <v/>
      </c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</row>
    <row r="1383">
      <c r="A1383" s="8" t="str">
        <f>IFERROR(__xludf.DUMMYFUNCTION("""COMPUTED_VALUE"""),"122398120170600750")</f>
        <v>122398120170600750</v>
      </c>
      <c r="B1383" s="9" t="str">
        <f>IFERROR(__xludf.DUMMYFUNCTION("""COMPUTED_VALUE"""),"France")</f>
        <v>France</v>
      </c>
      <c r="C1383" s="9" t="str">
        <f>IFERROR(__xludf.DUMMYFUNCTION("""COMPUTED_VALUE"""),"burgundy")</f>
        <v>burgundy</v>
      </c>
      <c r="D1383" s="9" t="str">
        <f>IFERROR(__xludf.DUMMYFUNCTION("""COMPUTED_VALUE"""),"Joseph Drouhin, Chassagne-Montrachet, Marquis de Laguiche")</f>
        <v>Joseph Drouhin, Chassagne-Montrachet, Marquis de Laguiche</v>
      </c>
      <c r="E1383" s="9">
        <f>IFERROR(__xludf.DUMMYFUNCTION("""COMPUTED_VALUE"""),2017.0)</f>
        <v>2017</v>
      </c>
      <c r="F1383" s="9">
        <f>IFERROR(__xludf.DUMMYFUNCTION("""COMPUTED_VALUE"""),750.0)</f>
        <v>750</v>
      </c>
      <c r="G1383" s="9">
        <f>IFERROR(__xludf.DUMMYFUNCTION("""COMPUTED_VALUE"""),6.0)</f>
        <v>6</v>
      </c>
      <c r="H1383" s="10">
        <f>IFERROR(__xludf.DUMMYFUNCTION("""COMPUTED_VALUE"""),1.0)</f>
        <v>1</v>
      </c>
      <c r="I1383" s="11">
        <f>IFERROR(__xludf.DUMMYFUNCTION("""COMPUTED_VALUE"""),614.0)</f>
        <v>614</v>
      </c>
      <c r="J1383" s="9" t="str">
        <f>IFERROR(__xludf.DUMMYFUNCTION("""COMPUTED_VALUE"""),"UK")</f>
        <v>UK</v>
      </c>
      <c r="K1383" s="8"/>
      <c r="L1383" s="12"/>
      <c r="M1383" s="13"/>
      <c r="N1383" s="13" t="str">
        <f>IFERROR(__xludf.DUMMYFUNCTION("IF(ISBLANK(M1383),"""",M1383*GOOGLEFINANCE(""USDGBP""))"),"")</f>
        <v/>
      </c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</row>
    <row r="1384">
      <c r="A1384" s="8" t="str">
        <f>IFERROR(__xludf.DUMMYFUNCTION("""COMPUTED_VALUE"""),"122398120180600750")</f>
        <v>122398120180600750</v>
      </c>
      <c r="B1384" s="9" t="str">
        <f>IFERROR(__xludf.DUMMYFUNCTION("""COMPUTED_VALUE"""),"France")</f>
        <v>France</v>
      </c>
      <c r="C1384" s="9" t="str">
        <f>IFERROR(__xludf.DUMMYFUNCTION("""COMPUTED_VALUE"""),"burgundy")</f>
        <v>burgundy</v>
      </c>
      <c r="D1384" s="9" t="str">
        <f>IFERROR(__xludf.DUMMYFUNCTION("""COMPUTED_VALUE"""),"Joseph Drouhin, Chassagne-Montrachet, Marquis de Laguiche")</f>
        <v>Joseph Drouhin, Chassagne-Montrachet, Marquis de Laguiche</v>
      </c>
      <c r="E1384" s="9">
        <f>IFERROR(__xludf.DUMMYFUNCTION("""COMPUTED_VALUE"""),2018.0)</f>
        <v>2018</v>
      </c>
      <c r="F1384" s="9">
        <f>IFERROR(__xludf.DUMMYFUNCTION("""COMPUTED_VALUE"""),750.0)</f>
        <v>750</v>
      </c>
      <c r="G1384" s="9">
        <f>IFERROR(__xludf.DUMMYFUNCTION("""COMPUTED_VALUE"""),6.0)</f>
        <v>6</v>
      </c>
      <c r="H1384" s="10">
        <f>IFERROR(__xludf.DUMMYFUNCTION("""COMPUTED_VALUE"""),1.0)</f>
        <v>1</v>
      </c>
      <c r="I1384" s="11">
        <f>IFERROR(__xludf.DUMMYFUNCTION("""COMPUTED_VALUE"""),514.0)</f>
        <v>514</v>
      </c>
      <c r="J1384" s="9" t="str">
        <f>IFERROR(__xludf.DUMMYFUNCTION("""COMPUTED_VALUE"""),"UK")</f>
        <v>UK</v>
      </c>
      <c r="K1384" s="8"/>
      <c r="L1384" s="12"/>
      <c r="M1384" s="13"/>
      <c r="N1384" s="13" t="str">
        <f>IFERROR(__xludf.DUMMYFUNCTION("IF(ISBLANK(M1384),"""",M1384*GOOGLEFINANCE(""USDGBP""))"),"")</f>
        <v/>
      </c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</row>
    <row r="1385">
      <c r="A1385" s="8" t="str">
        <f>IFERROR(__xludf.DUMMYFUNCTION("""COMPUTED_VALUE"""),"106733220170301500")</f>
        <v>106733220170301500</v>
      </c>
      <c r="B1385" s="9" t="str">
        <f>IFERROR(__xludf.DUMMYFUNCTION("""COMPUTED_VALUE"""),"France")</f>
        <v>France</v>
      </c>
      <c r="C1385" s="9" t="str">
        <f>IFERROR(__xludf.DUMMYFUNCTION("""COMPUTED_VALUE"""),"burgundy")</f>
        <v>burgundy</v>
      </c>
      <c r="D1385" s="9" t="str">
        <f>IFERROR(__xludf.DUMMYFUNCTION("""COMPUTED_VALUE"""),"Joseph Drouhin, Corton-Charlemagne Grand Cru")</f>
        <v>Joseph Drouhin, Corton-Charlemagne Grand Cru</v>
      </c>
      <c r="E1385" s="9">
        <f>IFERROR(__xludf.DUMMYFUNCTION("""COMPUTED_VALUE"""),2017.0)</f>
        <v>2017</v>
      </c>
      <c r="F1385" s="9">
        <f>IFERROR(__xludf.DUMMYFUNCTION("""COMPUTED_VALUE"""),1500.0)</f>
        <v>1500</v>
      </c>
      <c r="G1385" s="9">
        <f>IFERROR(__xludf.DUMMYFUNCTION("""COMPUTED_VALUE"""),3.0)</f>
        <v>3</v>
      </c>
      <c r="H1385" s="10">
        <f>IFERROR(__xludf.DUMMYFUNCTION("""COMPUTED_VALUE"""),1.0)</f>
        <v>1</v>
      </c>
      <c r="I1385" s="11">
        <f>IFERROR(__xludf.DUMMYFUNCTION("""COMPUTED_VALUE"""),1030.0)</f>
        <v>1030</v>
      </c>
      <c r="J1385" s="9" t="str">
        <f>IFERROR(__xludf.DUMMYFUNCTION("""COMPUTED_VALUE"""),"UK")</f>
        <v>UK</v>
      </c>
      <c r="K1385" s="8"/>
      <c r="L1385" s="12"/>
      <c r="M1385" s="13"/>
      <c r="N1385" s="13" t="str">
        <f>IFERROR(__xludf.DUMMYFUNCTION("IF(ISBLANK(M1385),"""",M1385*GOOGLEFINANCE(""USDGBP""))"),"")</f>
        <v/>
      </c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</row>
    <row r="1386">
      <c r="A1386" s="8" t="str">
        <f>IFERROR(__xludf.DUMMYFUNCTION("""COMPUTED_VALUE"""),"106733220180600750")</f>
        <v>106733220180600750</v>
      </c>
      <c r="B1386" s="9" t="str">
        <f>IFERROR(__xludf.DUMMYFUNCTION("""COMPUTED_VALUE"""),"France")</f>
        <v>France</v>
      </c>
      <c r="C1386" s="9" t="str">
        <f>IFERROR(__xludf.DUMMYFUNCTION("""COMPUTED_VALUE"""),"burgundy")</f>
        <v>burgundy</v>
      </c>
      <c r="D1386" s="9" t="str">
        <f>IFERROR(__xludf.DUMMYFUNCTION("""COMPUTED_VALUE"""),"Joseph Drouhin, Corton-Charlemagne Grand Cru")</f>
        <v>Joseph Drouhin, Corton-Charlemagne Grand Cru</v>
      </c>
      <c r="E1386" s="9">
        <f>IFERROR(__xludf.DUMMYFUNCTION("""COMPUTED_VALUE"""),2018.0)</f>
        <v>2018</v>
      </c>
      <c r="F1386" s="9">
        <f>IFERROR(__xludf.DUMMYFUNCTION("""COMPUTED_VALUE"""),750.0)</f>
        <v>750</v>
      </c>
      <c r="G1386" s="9">
        <f>IFERROR(__xludf.DUMMYFUNCTION("""COMPUTED_VALUE"""),6.0)</f>
        <v>6</v>
      </c>
      <c r="H1386" s="10">
        <f>IFERROR(__xludf.DUMMYFUNCTION("""COMPUTED_VALUE"""),1.0)</f>
        <v>1</v>
      </c>
      <c r="I1386" s="11">
        <f>IFERROR(__xludf.DUMMYFUNCTION("""COMPUTED_VALUE"""),873.0)</f>
        <v>873</v>
      </c>
      <c r="J1386" s="9" t="str">
        <f>IFERROR(__xludf.DUMMYFUNCTION("""COMPUTED_VALUE"""),"UK")</f>
        <v>UK</v>
      </c>
      <c r="K1386" s="8"/>
      <c r="L1386" s="12"/>
      <c r="M1386" s="13"/>
      <c r="N1386" s="13" t="str">
        <f>IFERROR(__xludf.DUMMYFUNCTION("IF(ISBLANK(M1386),"""",M1386*GOOGLEFINANCE(""USDGBP""))"),"")</f>
        <v/>
      </c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</row>
    <row r="1387">
      <c r="A1387" s="8" t="str">
        <f>IFERROR(__xludf.DUMMYFUNCTION("""COMPUTED_VALUE"""),"106733220190600750")</f>
        <v>106733220190600750</v>
      </c>
      <c r="B1387" s="9" t="str">
        <f>IFERROR(__xludf.DUMMYFUNCTION("""COMPUTED_VALUE"""),"France")</f>
        <v>France</v>
      </c>
      <c r="C1387" s="9" t="str">
        <f>IFERROR(__xludf.DUMMYFUNCTION("""COMPUTED_VALUE"""),"burgundy")</f>
        <v>burgundy</v>
      </c>
      <c r="D1387" s="9" t="str">
        <f>IFERROR(__xludf.DUMMYFUNCTION("""COMPUTED_VALUE"""),"Joseph Drouhin, Corton-Charlemagne Grand Cru")</f>
        <v>Joseph Drouhin, Corton-Charlemagne Grand Cru</v>
      </c>
      <c r="E1387" s="9">
        <f>IFERROR(__xludf.DUMMYFUNCTION("""COMPUTED_VALUE"""),2019.0)</f>
        <v>2019</v>
      </c>
      <c r="F1387" s="9">
        <f>IFERROR(__xludf.DUMMYFUNCTION("""COMPUTED_VALUE"""),750.0)</f>
        <v>750</v>
      </c>
      <c r="G1387" s="9">
        <f>IFERROR(__xludf.DUMMYFUNCTION("""COMPUTED_VALUE"""),6.0)</f>
        <v>6</v>
      </c>
      <c r="H1387" s="10">
        <f>IFERROR(__xludf.DUMMYFUNCTION("""COMPUTED_VALUE"""),2.0)</f>
        <v>2</v>
      </c>
      <c r="I1387" s="11">
        <f>IFERROR(__xludf.DUMMYFUNCTION("""COMPUTED_VALUE"""),1175.0)</f>
        <v>1175</v>
      </c>
      <c r="J1387" s="9" t="str">
        <f>IFERROR(__xludf.DUMMYFUNCTION("""COMPUTED_VALUE"""),"UK")</f>
        <v>UK</v>
      </c>
      <c r="K1387" s="8"/>
      <c r="L1387" s="12"/>
      <c r="M1387" s="13"/>
      <c r="N1387" s="13" t="str">
        <f>IFERROR(__xludf.DUMMYFUNCTION("IF(ISBLANK(M1387),"""",M1387*GOOGLEFINANCE(""USDGBP""))"),"")</f>
        <v/>
      </c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</row>
    <row r="1388">
      <c r="A1388" s="8" t="str">
        <f>IFERROR(__xludf.DUMMYFUNCTION("""COMPUTED_VALUE"""),"106733220190301500")</f>
        <v>106733220190301500</v>
      </c>
      <c r="B1388" s="9" t="str">
        <f>IFERROR(__xludf.DUMMYFUNCTION("""COMPUTED_VALUE"""),"France")</f>
        <v>France</v>
      </c>
      <c r="C1388" s="9" t="str">
        <f>IFERROR(__xludf.DUMMYFUNCTION("""COMPUTED_VALUE"""),"burgundy")</f>
        <v>burgundy</v>
      </c>
      <c r="D1388" s="9" t="str">
        <f>IFERROR(__xludf.DUMMYFUNCTION("""COMPUTED_VALUE"""),"Joseph Drouhin, Corton-Charlemagne Grand Cru")</f>
        <v>Joseph Drouhin, Corton-Charlemagne Grand Cru</v>
      </c>
      <c r="E1388" s="9">
        <f>IFERROR(__xludf.DUMMYFUNCTION("""COMPUTED_VALUE"""),2019.0)</f>
        <v>2019</v>
      </c>
      <c r="F1388" s="9">
        <f>IFERROR(__xludf.DUMMYFUNCTION("""COMPUTED_VALUE"""),1500.0)</f>
        <v>1500</v>
      </c>
      <c r="G1388" s="9">
        <f>IFERROR(__xludf.DUMMYFUNCTION("""COMPUTED_VALUE"""),3.0)</f>
        <v>3</v>
      </c>
      <c r="H1388" s="10">
        <f>IFERROR(__xludf.DUMMYFUNCTION("""COMPUTED_VALUE"""),1.0)</f>
        <v>1</v>
      </c>
      <c r="I1388" s="11">
        <f>IFERROR(__xludf.DUMMYFUNCTION("""COMPUTED_VALUE"""),1175.0)</f>
        <v>1175</v>
      </c>
      <c r="J1388" s="9" t="str">
        <f>IFERROR(__xludf.DUMMYFUNCTION("""COMPUTED_VALUE"""),"UK")</f>
        <v>UK</v>
      </c>
      <c r="K1388" s="8"/>
      <c r="L1388" s="12"/>
      <c r="M1388" s="13"/>
      <c r="N1388" s="13" t="str">
        <f>IFERROR(__xludf.DUMMYFUNCTION("IF(ISBLANK(M1388),"""",M1388*GOOGLEFINANCE(""USDGBP""))"),"")</f>
        <v/>
      </c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</row>
    <row r="1389">
      <c r="A1389" s="8" t="str">
        <f>IFERROR(__xludf.DUMMYFUNCTION("""COMPUTED_VALUE"""),"106735820180601500")</f>
        <v>106735820180601500</v>
      </c>
      <c r="B1389" s="9" t="str">
        <f>IFERROR(__xludf.DUMMYFUNCTION("""COMPUTED_VALUE"""),"France")</f>
        <v>France</v>
      </c>
      <c r="C1389" s="9" t="str">
        <f>IFERROR(__xludf.DUMMYFUNCTION("""COMPUTED_VALUE"""),"burgundy")</f>
        <v>burgundy</v>
      </c>
      <c r="D1389" s="9" t="str">
        <f>IFERROR(__xludf.DUMMYFUNCTION("""COMPUTED_VALUE"""),"Joseph Drouhin, Meursault")</f>
        <v>Joseph Drouhin, Meursault</v>
      </c>
      <c r="E1389" s="9">
        <f>IFERROR(__xludf.DUMMYFUNCTION("""COMPUTED_VALUE"""),2018.0)</f>
        <v>2018</v>
      </c>
      <c r="F1389" s="9">
        <f>IFERROR(__xludf.DUMMYFUNCTION("""COMPUTED_VALUE"""),1500.0)</f>
        <v>1500</v>
      </c>
      <c r="G1389" s="9">
        <f>IFERROR(__xludf.DUMMYFUNCTION("""COMPUTED_VALUE"""),6.0)</f>
        <v>6</v>
      </c>
      <c r="H1389" s="10">
        <f>IFERROR(__xludf.DUMMYFUNCTION("""COMPUTED_VALUE"""),1.0)</f>
        <v>1</v>
      </c>
      <c r="I1389" s="11">
        <f>IFERROR(__xludf.DUMMYFUNCTION("""COMPUTED_VALUE"""),638.0)</f>
        <v>638</v>
      </c>
      <c r="J1389" s="9" t="str">
        <f>IFERROR(__xludf.DUMMYFUNCTION("""COMPUTED_VALUE"""),"UK")</f>
        <v>UK</v>
      </c>
      <c r="K1389" s="8"/>
      <c r="L1389" s="12"/>
      <c r="M1389" s="13"/>
      <c r="N1389" s="13" t="str">
        <f>IFERROR(__xludf.DUMMYFUNCTION("IF(ISBLANK(M1389),"""",M1389*GOOGLEFINANCE(""USDGBP""))"),"")</f>
        <v/>
      </c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</row>
    <row r="1390">
      <c r="A1390" s="8" t="str">
        <f>IFERROR(__xludf.DUMMYFUNCTION("""COMPUTED_VALUE"""),"106736120200600750")</f>
        <v>106736120200600750</v>
      </c>
      <c r="B1390" s="9" t="str">
        <f>IFERROR(__xludf.DUMMYFUNCTION("""COMPUTED_VALUE"""),"France")</f>
        <v>France</v>
      </c>
      <c r="C1390" s="9" t="str">
        <f>IFERROR(__xludf.DUMMYFUNCTION("""COMPUTED_VALUE"""),"burgundy")</f>
        <v>burgundy</v>
      </c>
      <c r="D1390" s="9" t="str">
        <f>IFERROR(__xludf.DUMMYFUNCTION("""COMPUTED_VALUE"""),"Joseph Drouhin, Meursault Premier Cru, Charmes")</f>
        <v>Joseph Drouhin, Meursault Premier Cru, Charmes</v>
      </c>
      <c r="E1390" s="9">
        <f>IFERROR(__xludf.DUMMYFUNCTION("""COMPUTED_VALUE"""),2020.0)</f>
        <v>2020</v>
      </c>
      <c r="F1390" s="9">
        <f>IFERROR(__xludf.DUMMYFUNCTION("""COMPUTED_VALUE"""),750.0)</f>
        <v>750</v>
      </c>
      <c r="G1390" s="9">
        <f>IFERROR(__xludf.DUMMYFUNCTION("""COMPUTED_VALUE"""),6.0)</f>
        <v>6</v>
      </c>
      <c r="H1390" s="10">
        <f>IFERROR(__xludf.DUMMYFUNCTION("""COMPUTED_VALUE"""),1.0)</f>
        <v>1</v>
      </c>
      <c r="I1390" s="11">
        <f>IFERROR(__xludf.DUMMYFUNCTION("""COMPUTED_VALUE"""),487.0)</f>
        <v>487</v>
      </c>
      <c r="J1390" s="9" t="str">
        <f>IFERROR(__xludf.DUMMYFUNCTION("""COMPUTED_VALUE"""),"UK")</f>
        <v>UK</v>
      </c>
      <c r="K1390" s="8"/>
      <c r="L1390" s="12"/>
      <c r="M1390" s="13"/>
      <c r="N1390" s="13" t="str">
        <f>IFERROR(__xludf.DUMMYFUNCTION("IF(ISBLANK(M1390),"""",M1390*GOOGLEFINANCE(""USDGBP""))"),"")</f>
        <v/>
      </c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</row>
    <row r="1391">
      <c r="A1391" s="8" t="str">
        <f>IFERROR(__xludf.DUMMYFUNCTION("""COMPUTED_VALUE"""),"143246420180600750")</f>
        <v>143246420180600750</v>
      </c>
      <c r="B1391" s="9" t="str">
        <f>IFERROR(__xludf.DUMMYFUNCTION("""COMPUTED_VALUE"""),"France")</f>
        <v>France</v>
      </c>
      <c r="C1391" s="9" t="str">
        <f>IFERROR(__xludf.DUMMYFUNCTION("""COMPUTED_VALUE"""),"burgundy")</f>
        <v>burgundy</v>
      </c>
      <c r="D1391" s="9" t="str">
        <f>IFERROR(__xludf.DUMMYFUNCTION("""COMPUTED_VALUE"""),"Joseph Drouhin, Meursault Premier Cru, Genevrieres")</f>
        <v>Joseph Drouhin, Meursault Premier Cru, Genevrieres</v>
      </c>
      <c r="E1391" s="9">
        <f>IFERROR(__xludf.DUMMYFUNCTION("""COMPUTED_VALUE"""),2018.0)</f>
        <v>2018</v>
      </c>
      <c r="F1391" s="9">
        <f>IFERROR(__xludf.DUMMYFUNCTION("""COMPUTED_VALUE"""),750.0)</f>
        <v>750</v>
      </c>
      <c r="G1391" s="9">
        <f>IFERROR(__xludf.DUMMYFUNCTION("""COMPUTED_VALUE"""),6.0)</f>
        <v>6</v>
      </c>
      <c r="H1391" s="10">
        <f>IFERROR(__xludf.DUMMYFUNCTION("""COMPUTED_VALUE"""),2.0)</f>
        <v>2</v>
      </c>
      <c r="I1391" s="11">
        <f>IFERROR(__xludf.DUMMYFUNCTION("""COMPUTED_VALUE"""),578.0)</f>
        <v>578</v>
      </c>
      <c r="J1391" s="9" t="str">
        <f>IFERROR(__xludf.DUMMYFUNCTION("""COMPUTED_VALUE"""),"UK")</f>
        <v>UK</v>
      </c>
      <c r="K1391" s="8"/>
      <c r="L1391" s="12"/>
      <c r="M1391" s="13"/>
      <c r="N1391" s="13" t="str">
        <f>IFERROR(__xludf.DUMMYFUNCTION("IF(ISBLANK(M1391),"""",M1391*GOOGLEFINANCE(""USDGBP""))"),"")</f>
        <v/>
      </c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</row>
    <row r="1392">
      <c r="A1392" s="8" t="str">
        <f>IFERROR(__xludf.DUMMYFUNCTION("""COMPUTED_VALUE"""),"106740420131200750")</f>
        <v>106740420131200750</v>
      </c>
      <c r="B1392" s="9" t="str">
        <f>IFERROR(__xludf.DUMMYFUNCTION("""COMPUTED_VALUE"""),"France")</f>
        <v>France</v>
      </c>
      <c r="C1392" s="9" t="str">
        <f>IFERROR(__xludf.DUMMYFUNCTION("""COMPUTED_VALUE"""),"burgundy")</f>
        <v>burgundy</v>
      </c>
      <c r="D1392" s="9" t="str">
        <f>IFERROR(__xludf.DUMMYFUNCTION("""COMPUTED_VALUE"""),"Joseph Drouhin, Meursault Premier Cru, Perrieres")</f>
        <v>Joseph Drouhin, Meursault Premier Cru, Perrieres</v>
      </c>
      <c r="E1392" s="9">
        <f>IFERROR(__xludf.DUMMYFUNCTION("""COMPUTED_VALUE"""),2013.0)</f>
        <v>2013</v>
      </c>
      <c r="F1392" s="9">
        <f>IFERROR(__xludf.DUMMYFUNCTION("""COMPUTED_VALUE"""),750.0)</f>
        <v>750</v>
      </c>
      <c r="G1392" s="9">
        <f>IFERROR(__xludf.DUMMYFUNCTION("""COMPUTED_VALUE"""),12.0)</f>
        <v>12</v>
      </c>
      <c r="H1392" s="10">
        <f>IFERROR(__xludf.DUMMYFUNCTION("""COMPUTED_VALUE"""),2.0)</f>
        <v>2</v>
      </c>
      <c r="I1392" s="11">
        <f>IFERROR(__xludf.DUMMYFUNCTION("""COMPUTED_VALUE"""),2760.0)</f>
        <v>2760</v>
      </c>
      <c r="J1392" s="9" t="str">
        <f>IFERROR(__xludf.DUMMYFUNCTION("""COMPUTED_VALUE"""),"UK")</f>
        <v>UK</v>
      </c>
      <c r="K1392" s="8"/>
      <c r="L1392" s="12"/>
      <c r="M1392" s="13"/>
      <c r="N1392" s="13" t="str">
        <f>IFERROR(__xludf.DUMMYFUNCTION("IF(ISBLANK(M1392),"""",M1392*GOOGLEFINANCE(""USDGBP""))"),"")</f>
        <v/>
      </c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</row>
    <row r="1393">
      <c r="A1393" s="8" t="str">
        <f>IFERROR(__xludf.DUMMYFUNCTION("""COMPUTED_VALUE"""),"106740420180600750")</f>
        <v>106740420180600750</v>
      </c>
      <c r="B1393" s="9" t="str">
        <f>IFERROR(__xludf.DUMMYFUNCTION("""COMPUTED_VALUE"""),"France")</f>
        <v>France</v>
      </c>
      <c r="C1393" s="9" t="str">
        <f>IFERROR(__xludf.DUMMYFUNCTION("""COMPUTED_VALUE"""),"burgundy")</f>
        <v>burgundy</v>
      </c>
      <c r="D1393" s="9" t="str">
        <f>IFERROR(__xludf.DUMMYFUNCTION("""COMPUTED_VALUE"""),"Joseph Drouhin, Meursault Premier Cru, Perrieres")</f>
        <v>Joseph Drouhin, Meursault Premier Cru, Perrieres</v>
      </c>
      <c r="E1393" s="9">
        <f>IFERROR(__xludf.DUMMYFUNCTION("""COMPUTED_VALUE"""),2018.0)</f>
        <v>2018</v>
      </c>
      <c r="F1393" s="9">
        <f>IFERROR(__xludf.DUMMYFUNCTION("""COMPUTED_VALUE"""),750.0)</f>
        <v>750</v>
      </c>
      <c r="G1393" s="9">
        <f>IFERROR(__xludf.DUMMYFUNCTION("""COMPUTED_VALUE"""),6.0)</f>
        <v>6</v>
      </c>
      <c r="H1393" s="10">
        <f>IFERROR(__xludf.DUMMYFUNCTION("""COMPUTED_VALUE"""),2.0)</f>
        <v>2</v>
      </c>
      <c r="I1393" s="11">
        <f>IFERROR(__xludf.DUMMYFUNCTION("""COMPUTED_VALUE"""),550.0)</f>
        <v>550</v>
      </c>
      <c r="J1393" s="9" t="str">
        <f>IFERROR(__xludf.DUMMYFUNCTION("""COMPUTED_VALUE"""),"UK")</f>
        <v>UK</v>
      </c>
      <c r="K1393" s="8"/>
      <c r="L1393" s="12"/>
      <c r="M1393" s="13"/>
      <c r="N1393" s="13" t="str">
        <f>IFERROR(__xludf.DUMMYFUNCTION("IF(ISBLANK(M1393),"""",M1393*GOOGLEFINANCE(""USDGBP""))"),"")</f>
        <v/>
      </c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</row>
    <row r="1394">
      <c r="A1394" s="8" t="str">
        <f>IFERROR(__xludf.DUMMYFUNCTION("""COMPUTED_VALUE"""),"106749120131200750")</f>
        <v>106749120131200750</v>
      </c>
      <c r="B1394" s="9" t="str">
        <f>IFERROR(__xludf.DUMMYFUNCTION("""COMPUTED_VALUE"""),"France")</f>
        <v>France</v>
      </c>
      <c r="C1394" s="9" t="str">
        <f>IFERROR(__xludf.DUMMYFUNCTION("""COMPUTED_VALUE"""),"burgundy")</f>
        <v>burgundy</v>
      </c>
      <c r="D1394" s="9" t="str">
        <f>IFERROR(__xludf.DUMMYFUNCTION("""COMPUTED_VALUE"""),"Joseph Drouhin, Puligny-Montrachet Premier Cru, La Garenne")</f>
        <v>Joseph Drouhin, Puligny-Montrachet Premier Cru, La Garenne</v>
      </c>
      <c r="E1394" s="9">
        <f>IFERROR(__xludf.DUMMYFUNCTION("""COMPUTED_VALUE"""),2013.0)</f>
        <v>2013</v>
      </c>
      <c r="F1394" s="9">
        <f>IFERROR(__xludf.DUMMYFUNCTION("""COMPUTED_VALUE"""),750.0)</f>
        <v>750</v>
      </c>
      <c r="G1394" s="9">
        <f>IFERROR(__xludf.DUMMYFUNCTION("""COMPUTED_VALUE"""),12.0)</f>
        <v>12</v>
      </c>
      <c r="H1394" s="10">
        <f>IFERROR(__xludf.DUMMYFUNCTION("""COMPUTED_VALUE"""),2.0)</f>
        <v>2</v>
      </c>
      <c r="I1394" s="11">
        <f>IFERROR(__xludf.DUMMYFUNCTION("""COMPUTED_VALUE"""),1228.0)</f>
        <v>1228</v>
      </c>
      <c r="J1394" s="9" t="str">
        <f>IFERROR(__xludf.DUMMYFUNCTION("""COMPUTED_VALUE"""),"UK")</f>
        <v>UK</v>
      </c>
      <c r="K1394" s="8"/>
      <c r="L1394" s="12"/>
      <c r="M1394" s="13"/>
      <c r="N1394" s="13" t="str">
        <f>IFERROR(__xludf.DUMMYFUNCTION("IF(ISBLANK(M1394),"""",M1394*GOOGLEFINANCE(""USDGBP""))"),"")</f>
        <v/>
      </c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</row>
    <row r="1395">
      <c r="A1395" s="8" t="str">
        <f>IFERROR(__xludf.DUMMYFUNCTION("""COMPUTED_VALUE"""),"106748820170600750")</f>
        <v>106748820170600750</v>
      </c>
      <c r="B1395" s="9" t="str">
        <f>IFERROR(__xludf.DUMMYFUNCTION("""COMPUTED_VALUE"""),"France")</f>
        <v>France</v>
      </c>
      <c r="C1395" s="9" t="str">
        <f>IFERROR(__xludf.DUMMYFUNCTION("""COMPUTED_VALUE"""),"burgundy")</f>
        <v>burgundy</v>
      </c>
      <c r="D1395" s="9" t="str">
        <f>IFERROR(__xludf.DUMMYFUNCTION("""COMPUTED_VALUE"""),"Joseph Drouhin, Puligny-Montrachet Premier Cru, Les Folatieres")</f>
        <v>Joseph Drouhin, Puligny-Montrachet Premier Cru, Les Folatieres</v>
      </c>
      <c r="E1395" s="9">
        <f>IFERROR(__xludf.DUMMYFUNCTION("""COMPUTED_VALUE"""),2017.0)</f>
        <v>2017</v>
      </c>
      <c r="F1395" s="9">
        <f>IFERROR(__xludf.DUMMYFUNCTION("""COMPUTED_VALUE"""),750.0)</f>
        <v>750</v>
      </c>
      <c r="G1395" s="9">
        <f>IFERROR(__xludf.DUMMYFUNCTION("""COMPUTED_VALUE"""),6.0)</f>
        <v>6</v>
      </c>
      <c r="H1395" s="10">
        <f>IFERROR(__xludf.DUMMYFUNCTION("""COMPUTED_VALUE"""),3.0)</f>
        <v>3</v>
      </c>
      <c r="I1395" s="11">
        <f>IFERROR(__xludf.DUMMYFUNCTION("""COMPUTED_VALUE"""),718.0)</f>
        <v>718</v>
      </c>
      <c r="J1395" s="9" t="str">
        <f>IFERROR(__xludf.DUMMYFUNCTION("""COMPUTED_VALUE"""),"UK")</f>
        <v>UK</v>
      </c>
      <c r="K1395" s="8"/>
      <c r="L1395" s="12"/>
      <c r="M1395" s="13"/>
      <c r="N1395" s="13" t="str">
        <f>IFERROR(__xludf.DUMMYFUNCTION("IF(ISBLANK(M1395),"""",M1395*GOOGLEFINANCE(""USDGBP""))"),"")</f>
        <v/>
      </c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</row>
    <row r="1396">
      <c r="A1396" s="8" t="str">
        <f>IFERROR(__xludf.DUMMYFUNCTION("""COMPUTED_VALUE"""),"106750520180600750")</f>
        <v>106750520180600750</v>
      </c>
      <c r="B1396" s="9" t="str">
        <f>IFERROR(__xludf.DUMMYFUNCTION("""COMPUTED_VALUE"""),"France")</f>
        <v>France</v>
      </c>
      <c r="C1396" s="9" t="str">
        <f>IFERROR(__xludf.DUMMYFUNCTION("""COMPUTED_VALUE"""),"burgundy")</f>
        <v>burgundy</v>
      </c>
      <c r="D1396" s="9" t="str">
        <f>IFERROR(__xludf.DUMMYFUNCTION("""COMPUTED_VALUE"""),"Joseph Drouhin, Puligny-Montrachet Premier Cru, Les Pucelles")</f>
        <v>Joseph Drouhin, Puligny-Montrachet Premier Cru, Les Pucelles</v>
      </c>
      <c r="E1396" s="9">
        <f>IFERROR(__xludf.DUMMYFUNCTION("""COMPUTED_VALUE"""),2018.0)</f>
        <v>2018</v>
      </c>
      <c r="F1396" s="9">
        <f>IFERROR(__xludf.DUMMYFUNCTION("""COMPUTED_VALUE"""),750.0)</f>
        <v>750</v>
      </c>
      <c r="G1396" s="9">
        <f>IFERROR(__xludf.DUMMYFUNCTION("""COMPUTED_VALUE"""),6.0)</f>
        <v>6</v>
      </c>
      <c r="H1396" s="10">
        <f>IFERROR(__xludf.DUMMYFUNCTION("""COMPUTED_VALUE"""),1.0)</f>
        <v>1</v>
      </c>
      <c r="I1396" s="11">
        <f>IFERROR(__xludf.DUMMYFUNCTION("""COMPUTED_VALUE"""),722.0)</f>
        <v>722</v>
      </c>
      <c r="J1396" s="9" t="str">
        <f>IFERROR(__xludf.DUMMYFUNCTION("""COMPUTED_VALUE"""),"UK")</f>
        <v>UK</v>
      </c>
      <c r="K1396" s="8"/>
      <c r="L1396" s="12"/>
      <c r="M1396" s="13"/>
      <c r="N1396" s="13" t="str">
        <f>IFERROR(__xludf.DUMMYFUNCTION("IF(ISBLANK(M1396),"""",M1396*GOOGLEFINANCE(""USDGBP""))"),"")</f>
        <v/>
      </c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</row>
    <row r="1397">
      <c r="A1397" s="8" t="str">
        <f>IFERROR(__xludf.DUMMYFUNCTION("""COMPUTED_VALUE"""),"106750520190600750")</f>
        <v>106750520190600750</v>
      </c>
      <c r="B1397" s="9" t="str">
        <f>IFERROR(__xludf.DUMMYFUNCTION("""COMPUTED_VALUE"""),"France")</f>
        <v>France</v>
      </c>
      <c r="C1397" s="9" t="str">
        <f>IFERROR(__xludf.DUMMYFUNCTION("""COMPUTED_VALUE"""),"burgundy")</f>
        <v>burgundy</v>
      </c>
      <c r="D1397" s="9" t="str">
        <f>IFERROR(__xludf.DUMMYFUNCTION("""COMPUTED_VALUE"""),"Joseph Drouhin, Puligny-Montrachet Premier Cru, Les Pucelles")</f>
        <v>Joseph Drouhin, Puligny-Montrachet Premier Cru, Les Pucelles</v>
      </c>
      <c r="E1397" s="9">
        <f>IFERROR(__xludf.DUMMYFUNCTION("""COMPUTED_VALUE"""),2019.0)</f>
        <v>2019</v>
      </c>
      <c r="F1397" s="9">
        <f>IFERROR(__xludf.DUMMYFUNCTION("""COMPUTED_VALUE"""),750.0)</f>
        <v>750</v>
      </c>
      <c r="G1397" s="9">
        <f>IFERROR(__xludf.DUMMYFUNCTION("""COMPUTED_VALUE"""),6.0)</f>
        <v>6</v>
      </c>
      <c r="H1397" s="10">
        <f>IFERROR(__xludf.DUMMYFUNCTION("""COMPUTED_VALUE"""),1.0)</f>
        <v>1</v>
      </c>
      <c r="I1397" s="11">
        <f>IFERROR(__xludf.DUMMYFUNCTION("""COMPUTED_VALUE"""),767.0)</f>
        <v>767</v>
      </c>
      <c r="J1397" s="9" t="str">
        <f>IFERROR(__xludf.DUMMYFUNCTION("""COMPUTED_VALUE"""),"UK")</f>
        <v>UK</v>
      </c>
      <c r="K1397" s="8"/>
      <c r="L1397" s="12"/>
      <c r="M1397" s="13"/>
      <c r="N1397" s="13" t="str">
        <f>IFERROR(__xludf.DUMMYFUNCTION("IF(ISBLANK(M1397),"""",M1397*GOOGLEFINANCE(""USDGBP""))"),"")</f>
        <v/>
      </c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</row>
    <row r="1398">
      <c r="A1398" s="8" t="str">
        <f>IFERROR(__xludf.DUMMYFUNCTION("""COMPUTED_VALUE"""),"131966220131200750")</f>
        <v>131966220131200750</v>
      </c>
      <c r="B1398" s="9" t="str">
        <f>IFERROR(__xludf.DUMMYFUNCTION("""COMPUTED_VALUE"""),"France")</f>
        <v>France</v>
      </c>
      <c r="C1398" s="9" t="str">
        <f>IFERROR(__xludf.DUMMYFUNCTION("""COMPUTED_VALUE"""),"burgundy")</f>
        <v>burgundy</v>
      </c>
      <c r="D1398" s="9" t="str">
        <f>IFERROR(__xludf.DUMMYFUNCTION("""COMPUTED_VALUE"""),"La Pousse d'Or, Puligny-Montrachet Premier Cru, Le Cailleret")</f>
        <v>La Pousse d'Or, Puligny-Montrachet Premier Cru, Le Cailleret</v>
      </c>
      <c r="E1398" s="9">
        <f>IFERROR(__xludf.DUMMYFUNCTION("""COMPUTED_VALUE"""),2013.0)</f>
        <v>2013</v>
      </c>
      <c r="F1398" s="9">
        <f>IFERROR(__xludf.DUMMYFUNCTION("""COMPUTED_VALUE"""),750.0)</f>
        <v>750</v>
      </c>
      <c r="G1398" s="9">
        <f>IFERROR(__xludf.DUMMYFUNCTION("""COMPUTED_VALUE"""),12.0)</f>
        <v>12</v>
      </c>
      <c r="H1398" s="10">
        <f>IFERROR(__xludf.DUMMYFUNCTION("""COMPUTED_VALUE"""),2.0)</f>
        <v>2</v>
      </c>
      <c r="I1398" s="11">
        <f>IFERROR(__xludf.DUMMYFUNCTION("""COMPUTED_VALUE"""),2016.0)</f>
        <v>2016</v>
      </c>
      <c r="J1398" s="9" t="str">
        <f>IFERROR(__xludf.DUMMYFUNCTION("""COMPUTED_VALUE"""),"UK")</f>
        <v>UK</v>
      </c>
      <c r="K1398" s="8"/>
      <c r="L1398" s="12"/>
      <c r="M1398" s="13"/>
      <c r="N1398" s="13" t="str">
        <f>IFERROR(__xludf.DUMMYFUNCTION("IF(ISBLANK(M1398),"""",M1398*GOOGLEFINANCE(""USDGBP""))"),"")</f>
        <v/>
      </c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</row>
    <row r="1399">
      <c r="A1399" s="8" t="str">
        <f>IFERROR(__xludf.DUMMYFUNCTION("""COMPUTED_VALUE"""),"107064420200300750")</f>
        <v>107064420200300750</v>
      </c>
      <c r="B1399" s="9" t="str">
        <f>IFERROR(__xludf.DUMMYFUNCTION("""COMPUTED_VALUE"""),"France")</f>
        <v>France</v>
      </c>
      <c r="C1399" s="9" t="str">
        <f>IFERROR(__xludf.DUMMYFUNCTION("""COMPUTED_VALUE"""),"burgundy")</f>
        <v>burgundy</v>
      </c>
      <c r="D1399" s="9" t="str">
        <f>IFERROR(__xludf.DUMMYFUNCTION("""COMPUTED_VALUE"""),"Maison Louis Jadot, Chevalier-Montrachet Grand Cru, Les Demoiselles")</f>
        <v>Maison Louis Jadot, Chevalier-Montrachet Grand Cru, Les Demoiselles</v>
      </c>
      <c r="E1399" s="9">
        <f>IFERROR(__xludf.DUMMYFUNCTION("""COMPUTED_VALUE"""),2020.0)</f>
        <v>2020</v>
      </c>
      <c r="F1399" s="9">
        <f>IFERROR(__xludf.DUMMYFUNCTION("""COMPUTED_VALUE"""),750.0)</f>
        <v>750</v>
      </c>
      <c r="G1399" s="9">
        <f>IFERROR(__xludf.DUMMYFUNCTION("""COMPUTED_VALUE"""),3.0)</f>
        <v>3</v>
      </c>
      <c r="H1399" s="10">
        <f>IFERROR(__xludf.DUMMYFUNCTION("""COMPUTED_VALUE"""),1.0)</f>
        <v>1</v>
      </c>
      <c r="I1399" s="11">
        <f>IFERROR(__xludf.DUMMYFUNCTION("""COMPUTED_VALUE"""),1412.0)</f>
        <v>1412</v>
      </c>
      <c r="J1399" s="9" t="str">
        <f>IFERROR(__xludf.DUMMYFUNCTION("""COMPUTED_VALUE"""),"UK")</f>
        <v>UK</v>
      </c>
      <c r="K1399" s="8"/>
      <c r="L1399" s="12"/>
      <c r="M1399" s="13"/>
      <c r="N1399" s="13" t="str">
        <f>IFERROR(__xludf.DUMMYFUNCTION("IF(ISBLANK(M1399),"""",M1399*GOOGLEFINANCE(""USDGBP""))"),"")</f>
        <v/>
      </c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</row>
    <row r="1400">
      <c r="A1400" s="8" t="str">
        <f>IFERROR(__xludf.DUMMYFUNCTION("""COMPUTED_VALUE"""),"117387920200300750")</f>
        <v>117387920200300750</v>
      </c>
      <c r="B1400" s="9" t="str">
        <f>IFERROR(__xludf.DUMMYFUNCTION("""COMPUTED_VALUE"""),"France")</f>
        <v>France</v>
      </c>
      <c r="C1400" s="9" t="str">
        <f>IFERROR(__xludf.DUMMYFUNCTION("""COMPUTED_VALUE"""),"burgundy")</f>
        <v>burgundy</v>
      </c>
      <c r="D1400" s="9" t="str">
        <f>IFERROR(__xludf.DUMMYFUNCTION("""COMPUTED_VALUE"""),"Maison Roche de Bellene, Batard-Montrachet Grand Cru")</f>
        <v>Maison Roche de Bellene, Batard-Montrachet Grand Cru</v>
      </c>
      <c r="E1400" s="9">
        <f>IFERROR(__xludf.DUMMYFUNCTION("""COMPUTED_VALUE"""),2020.0)</f>
        <v>2020</v>
      </c>
      <c r="F1400" s="9">
        <f>IFERROR(__xludf.DUMMYFUNCTION("""COMPUTED_VALUE"""),750.0)</f>
        <v>750</v>
      </c>
      <c r="G1400" s="9">
        <f>IFERROR(__xludf.DUMMYFUNCTION("""COMPUTED_VALUE"""),3.0)</f>
        <v>3</v>
      </c>
      <c r="H1400" s="10">
        <f>IFERROR(__xludf.DUMMYFUNCTION("""COMPUTED_VALUE"""),1.0)</f>
        <v>1</v>
      </c>
      <c r="I1400" s="11">
        <f>IFERROR(__xludf.DUMMYFUNCTION("""COMPUTED_VALUE"""),976.0)</f>
        <v>976</v>
      </c>
      <c r="J1400" s="9" t="str">
        <f>IFERROR(__xludf.DUMMYFUNCTION("""COMPUTED_VALUE"""),"UK")</f>
        <v>UK</v>
      </c>
      <c r="K1400" s="8"/>
      <c r="L1400" s="12"/>
      <c r="M1400" s="13"/>
      <c r="N1400" s="13" t="str">
        <f>IFERROR(__xludf.DUMMYFUNCTION("IF(ISBLANK(M1400),"""",M1400*GOOGLEFINANCE(""USDGBP""))"),"")</f>
        <v/>
      </c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</row>
    <row r="1401">
      <c r="A1401" s="8" t="str">
        <f>IFERROR(__xludf.DUMMYFUNCTION("""COMPUTED_VALUE"""),"113269620200300750")</f>
        <v>113269620200300750</v>
      </c>
      <c r="B1401" s="9" t="str">
        <f>IFERROR(__xludf.DUMMYFUNCTION("""COMPUTED_VALUE"""),"France")</f>
        <v>France</v>
      </c>
      <c r="C1401" s="9" t="str">
        <f>IFERROR(__xludf.DUMMYFUNCTION("""COMPUTED_VALUE"""),"burgundy")</f>
        <v>burgundy</v>
      </c>
      <c r="D1401" s="9" t="str">
        <f>IFERROR(__xludf.DUMMYFUNCTION("""COMPUTED_VALUE"""),"Maison Roche de Bellene, Bienvenues-Batard-Montrachet Grand Cru")</f>
        <v>Maison Roche de Bellene, Bienvenues-Batard-Montrachet Grand Cru</v>
      </c>
      <c r="E1401" s="9">
        <f>IFERROR(__xludf.DUMMYFUNCTION("""COMPUTED_VALUE"""),2020.0)</f>
        <v>2020</v>
      </c>
      <c r="F1401" s="9">
        <f>IFERROR(__xludf.DUMMYFUNCTION("""COMPUTED_VALUE"""),750.0)</f>
        <v>750</v>
      </c>
      <c r="G1401" s="9">
        <f>IFERROR(__xludf.DUMMYFUNCTION("""COMPUTED_VALUE"""),3.0)</f>
        <v>3</v>
      </c>
      <c r="H1401" s="10">
        <f>IFERROR(__xludf.DUMMYFUNCTION("""COMPUTED_VALUE"""),1.0)</f>
        <v>1</v>
      </c>
      <c r="I1401" s="11">
        <f>IFERROR(__xludf.DUMMYFUNCTION("""COMPUTED_VALUE"""),1021.0)</f>
        <v>1021</v>
      </c>
      <c r="J1401" s="9" t="str">
        <f>IFERROR(__xludf.DUMMYFUNCTION("""COMPUTED_VALUE"""),"UK")</f>
        <v>UK</v>
      </c>
      <c r="K1401" s="8"/>
      <c r="L1401" s="12"/>
      <c r="M1401" s="13"/>
      <c r="N1401" s="13" t="str">
        <f>IFERROR(__xludf.DUMMYFUNCTION("IF(ISBLANK(M1401),"""",M1401*GOOGLEFINANCE(""USDGBP""))"),"")</f>
        <v/>
      </c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</row>
    <row r="1402">
      <c r="A1402" s="8" t="str">
        <f>IFERROR(__xludf.DUMMYFUNCTION("""COMPUTED_VALUE"""),"107603720161200750")</f>
        <v>107603720161200750</v>
      </c>
      <c r="B1402" s="9" t="str">
        <f>IFERROR(__xludf.DUMMYFUNCTION("""COMPUTED_VALUE"""),"France")</f>
        <v>France</v>
      </c>
      <c r="C1402" s="9" t="str">
        <f>IFERROR(__xludf.DUMMYFUNCTION("""COMPUTED_VALUE"""),"burgundy")</f>
        <v>burgundy</v>
      </c>
      <c r="D1402" s="9" t="str">
        <f>IFERROR(__xludf.DUMMYFUNCTION("""COMPUTED_VALUE"""),"Maison de Montille, Puligny-Montrachet Premier Cru, Champ Gain")</f>
        <v>Maison de Montille, Puligny-Montrachet Premier Cru, Champ Gain</v>
      </c>
      <c r="E1402" s="9">
        <f>IFERROR(__xludf.DUMMYFUNCTION("""COMPUTED_VALUE"""),2016.0)</f>
        <v>2016</v>
      </c>
      <c r="F1402" s="9">
        <f>IFERROR(__xludf.DUMMYFUNCTION("""COMPUTED_VALUE"""),750.0)</f>
        <v>750</v>
      </c>
      <c r="G1402" s="9">
        <f>IFERROR(__xludf.DUMMYFUNCTION("""COMPUTED_VALUE"""),12.0)</f>
        <v>12</v>
      </c>
      <c r="H1402" s="10">
        <f>IFERROR(__xludf.DUMMYFUNCTION("""COMPUTED_VALUE"""),1.0)</f>
        <v>1</v>
      </c>
      <c r="I1402" s="11">
        <f>IFERROR(__xludf.DUMMYFUNCTION("""COMPUTED_VALUE"""),812.0)</f>
        <v>812</v>
      </c>
      <c r="J1402" s="9" t="str">
        <f>IFERROR(__xludf.DUMMYFUNCTION("""COMPUTED_VALUE"""),"UK")</f>
        <v>UK</v>
      </c>
      <c r="K1402" s="8"/>
      <c r="L1402" s="12"/>
      <c r="M1402" s="13"/>
      <c r="N1402" s="13" t="str">
        <f>IFERROR(__xludf.DUMMYFUNCTION("IF(ISBLANK(M1402),"""",M1402*GOOGLEFINANCE(""USDGBP""))"),"")</f>
        <v/>
      </c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</row>
    <row r="1403">
      <c r="A1403" s="8" t="str">
        <f>IFERROR(__xludf.DUMMYFUNCTION("""COMPUTED_VALUE"""),"142411520181200750")</f>
        <v>142411520181200750</v>
      </c>
      <c r="B1403" s="9" t="str">
        <f>IFERROR(__xludf.DUMMYFUNCTION("""COMPUTED_VALUE"""),"France")</f>
        <v>France</v>
      </c>
      <c r="C1403" s="9" t="str">
        <f>IFERROR(__xludf.DUMMYFUNCTION("""COMPUTED_VALUE"""),"burgundy")</f>
        <v>burgundy</v>
      </c>
      <c r="D1403" s="9" t="str">
        <f>IFERROR(__xludf.DUMMYFUNCTION("""COMPUTED_VALUE"""),"Morey Coffinet, Meursault Premier Cru, Perrieres")</f>
        <v>Morey Coffinet, Meursault Premier Cru, Perrieres</v>
      </c>
      <c r="E1403" s="9">
        <f>IFERROR(__xludf.DUMMYFUNCTION("""COMPUTED_VALUE"""),2018.0)</f>
        <v>2018</v>
      </c>
      <c r="F1403" s="9">
        <f>IFERROR(__xludf.DUMMYFUNCTION("""COMPUTED_VALUE"""),750.0)</f>
        <v>750</v>
      </c>
      <c r="G1403" s="9">
        <f>IFERROR(__xludf.DUMMYFUNCTION("""COMPUTED_VALUE"""),12.0)</f>
        <v>12</v>
      </c>
      <c r="H1403" s="10">
        <f>IFERROR(__xludf.DUMMYFUNCTION("""COMPUTED_VALUE"""),1.0)</f>
        <v>1</v>
      </c>
      <c r="I1403" s="11">
        <f>IFERROR(__xludf.DUMMYFUNCTION("""COMPUTED_VALUE"""),1679.0)</f>
        <v>1679</v>
      </c>
      <c r="J1403" s="9" t="str">
        <f>IFERROR(__xludf.DUMMYFUNCTION("""COMPUTED_VALUE"""),"UK")</f>
        <v>UK</v>
      </c>
      <c r="K1403" s="8"/>
      <c r="L1403" s="12"/>
      <c r="M1403" s="13"/>
      <c r="N1403" s="13" t="str">
        <f>IFERROR(__xludf.DUMMYFUNCTION("IF(ISBLANK(M1403),"""",M1403*GOOGLEFINANCE(""USDGBP""))"),"")</f>
        <v/>
      </c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</row>
    <row r="1404">
      <c r="A1404" s="8" t="str">
        <f>IFERROR(__xludf.DUMMYFUNCTION("""COMPUTED_VALUE"""),"107373320180600750")</f>
        <v>107373320180600750</v>
      </c>
      <c r="B1404" s="9" t="str">
        <f>IFERROR(__xludf.DUMMYFUNCTION("""COMPUTED_VALUE"""),"France")</f>
        <v>France</v>
      </c>
      <c r="C1404" s="9" t="str">
        <f>IFERROR(__xludf.DUMMYFUNCTION("""COMPUTED_VALUE"""),"burgundy")</f>
        <v>burgundy</v>
      </c>
      <c r="D1404" s="9" t="str">
        <f>IFERROR(__xludf.DUMMYFUNCTION("""COMPUTED_VALUE"""),"Olivier Leflaive, Chassagne-Montrachet Premier Cru, Abbaye de Morgeot")</f>
        <v>Olivier Leflaive, Chassagne-Montrachet Premier Cru, Abbaye de Morgeot</v>
      </c>
      <c r="E1404" s="9">
        <f>IFERROR(__xludf.DUMMYFUNCTION("""COMPUTED_VALUE"""),2018.0)</f>
        <v>2018</v>
      </c>
      <c r="F1404" s="9">
        <f>IFERROR(__xludf.DUMMYFUNCTION("""COMPUTED_VALUE"""),750.0)</f>
        <v>750</v>
      </c>
      <c r="G1404" s="9">
        <f>IFERROR(__xludf.DUMMYFUNCTION("""COMPUTED_VALUE"""),6.0)</f>
        <v>6</v>
      </c>
      <c r="H1404" s="10">
        <f>IFERROR(__xludf.DUMMYFUNCTION("""COMPUTED_VALUE"""),8.0)</f>
        <v>8</v>
      </c>
      <c r="I1404" s="11">
        <f>IFERROR(__xludf.DUMMYFUNCTION("""COMPUTED_VALUE"""),733.0)</f>
        <v>733</v>
      </c>
      <c r="J1404" s="9" t="str">
        <f>IFERROR(__xludf.DUMMYFUNCTION("""COMPUTED_VALUE"""),"UK")</f>
        <v>UK</v>
      </c>
      <c r="K1404" s="8"/>
      <c r="L1404" s="12"/>
      <c r="M1404" s="13"/>
      <c r="N1404" s="13" t="str">
        <f>IFERROR(__xludf.DUMMYFUNCTION("IF(ISBLANK(M1404),"""",M1404*GOOGLEFINANCE(""USDGBP""))"),"")</f>
        <v/>
      </c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</row>
    <row r="1405">
      <c r="A1405" s="8" t="str">
        <f>IFERROR(__xludf.DUMMYFUNCTION("""COMPUTED_VALUE"""),"115112320201200750")</f>
        <v>115112320201200750</v>
      </c>
      <c r="B1405" s="9" t="str">
        <f>IFERROR(__xludf.DUMMYFUNCTION("""COMPUTED_VALUE"""),"France")</f>
        <v>France</v>
      </c>
      <c r="C1405" s="9" t="str">
        <f>IFERROR(__xludf.DUMMYFUNCTION("""COMPUTED_VALUE"""),"burgundy")</f>
        <v>burgundy</v>
      </c>
      <c r="D1405" s="9" t="str">
        <f>IFERROR(__xludf.DUMMYFUNCTION("""COMPUTED_VALUE"""),"Patrick Piuze, Chablis Grand Cru, Blanchot")</f>
        <v>Patrick Piuze, Chablis Grand Cru, Blanchot</v>
      </c>
      <c r="E1405" s="9">
        <f>IFERROR(__xludf.DUMMYFUNCTION("""COMPUTED_VALUE"""),2020.0)</f>
        <v>2020</v>
      </c>
      <c r="F1405" s="9">
        <f>IFERROR(__xludf.DUMMYFUNCTION("""COMPUTED_VALUE"""),750.0)</f>
        <v>750</v>
      </c>
      <c r="G1405" s="9">
        <f>IFERROR(__xludf.DUMMYFUNCTION("""COMPUTED_VALUE"""),12.0)</f>
        <v>12</v>
      </c>
      <c r="H1405" s="10">
        <f>IFERROR(__xludf.DUMMYFUNCTION("""COMPUTED_VALUE"""),1.0)</f>
        <v>1</v>
      </c>
      <c r="I1405" s="11">
        <f>IFERROR(__xludf.DUMMYFUNCTION("""COMPUTED_VALUE"""),856.0)</f>
        <v>856</v>
      </c>
      <c r="J1405" s="9" t="str">
        <f>IFERROR(__xludf.DUMMYFUNCTION("""COMPUTED_VALUE"""),"UK")</f>
        <v>UK</v>
      </c>
      <c r="K1405" s="8"/>
      <c r="L1405" s="12"/>
      <c r="M1405" s="13"/>
      <c r="N1405" s="13" t="str">
        <f>IFERROR(__xludf.DUMMYFUNCTION("IF(ISBLANK(M1405),"""",M1405*GOOGLEFINANCE(""USDGBP""))"),"")</f>
        <v/>
      </c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</row>
    <row r="1406">
      <c r="A1406" s="8" t="str">
        <f>IFERROR(__xludf.DUMMYFUNCTION("""COMPUTED_VALUE"""),"107767220190600750")</f>
        <v>107767220190600750</v>
      </c>
      <c r="B1406" s="9" t="str">
        <f>IFERROR(__xludf.DUMMYFUNCTION("""COMPUTED_VALUE"""),"France")</f>
        <v>France</v>
      </c>
      <c r="C1406" s="9" t="str">
        <f>IFERROR(__xludf.DUMMYFUNCTION("""COMPUTED_VALUE"""),"burgundy")</f>
        <v>burgundy</v>
      </c>
      <c r="D1406" s="9" t="str">
        <f>IFERROR(__xludf.DUMMYFUNCTION("""COMPUTED_VALUE"""),"Paul Pernot, Batard-Montrachet Grand Cru")</f>
        <v>Paul Pernot, Batard-Montrachet Grand Cru</v>
      </c>
      <c r="E1406" s="9">
        <f>IFERROR(__xludf.DUMMYFUNCTION("""COMPUTED_VALUE"""),2019.0)</f>
        <v>2019</v>
      </c>
      <c r="F1406" s="9">
        <f>IFERROR(__xludf.DUMMYFUNCTION("""COMPUTED_VALUE"""),750.0)</f>
        <v>750</v>
      </c>
      <c r="G1406" s="9">
        <f>IFERROR(__xludf.DUMMYFUNCTION("""COMPUTED_VALUE"""),6.0)</f>
        <v>6</v>
      </c>
      <c r="H1406" s="10">
        <f>IFERROR(__xludf.DUMMYFUNCTION("""COMPUTED_VALUE"""),4.0)</f>
        <v>4</v>
      </c>
      <c r="I1406" s="11">
        <f>IFERROR(__xludf.DUMMYFUNCTION("""COMPUTED_VALUE"""),2935.0)</f>
        <v>2935</v>
      </c>
      <c r="J1406" s="9" t="str">
        <f>IFERROR(__xludf.DUMMYFUNCTION("""COMPUTED_VALUE"""),"UK")</f>
        <v>UK</v>
      </c>
      <c r="K1406" s="8"/>
      <c r="L1406" s="12"/>
      <c r="M1406" s="13"/>
      <c r="N1406" s="13" t="str">
        <f>IFERROR(__xludf.DUMMYFUNCTION("IF(ISBLANK(M1406),"""",M1406*GOOGLEFINANCE(""USDGBP""))"),"")</f>
        <v/>
      </c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</row>
    <row r="1407">
      <c r="A1407" s="8" t="str">
        <f>IFERROR(__xludf.DUMMYFUNCTION("""COMPUTED_VALUE"""),"107768520190600750")</f>
        <v>107768520190600750</v>
      </c>
      <c r="B1407" s="9" t="str">
        <f>IFERROR(__xludf.DUMMYFUNCTION("""COMPUTED_VALUE"""),"France")</f>
        <v>France</v>
      </c>
      <c r="C1407" s="9" t="str">
        <f>IFERROR(__xludf.DUMMYFUNCTION("""COMPUTED_VALUE"""),"burgundy")</f>
        <v>burgundy</v>
      </c>
      <c r="D1407" s="9" t="str">
        <f>IFERROR(__xludf.DUMMYFUNCTION("""COMPUTED_VALUE"""),"Paul Pernot, Bienvenues-Batard-Montrachet Grand Cru")</f>
        <v>Paul Pernot, Bienvenues-Batard-Montrachet Grand Cru</v>
      </c>
      <c r="E1407" s="9">
        <f>IFERROR(__xludf.DUMMYFUNCTION("""COMPUTED_VALUE"""),2019.0)</f>
        <v>2019</v>
      </c>
      <c r="F1407" s="9">
        <f>IFERROR(__xludf.DUMMYFUNCTION("""COMPUTED_VALUE"""),750.0)</f>
        <v>750</v>
      </c>
      <c r="G1407" s="9">
        <f>IFERROR(__xludf.DUMMYFUNCTION("""COMPUTED_VALUE"""),6.0)</f>
        <v>6</v>
      </c>
      <c r="H1407" s="10">
        <f>IFERROR(__xludf.DUMMYFUNCTION("""COMPUTED_VALUE"""),2.0)</f>
        <v>2</v>
      </c>
      <c r="I1407" s="11">
        <f>IFERROR(__xludf.DUMMYFUNCTION("""COMPUTED_VALUE"""),1483.0)</f>
        <v>1483</v>
      </c>
      <c r="J1407" s="9" t="str">
        <f>IFERROR(__xludf.DUMMYFUNCTION("""COMPUTED_VALUE"""),"UK")</f>
        <v>UK</v>
      </c>
      <c r="K1407" s="8"/>
      <c r="L1407" s="12"/>
      <c r="M1407" s="13"/>
      <c r="N1407" s="13" t="str">
        <f>IFERROR(__xludf.DUMMYFUNCTION("IF(ISBLANK(M1407),"""",M1407*GOOGLEFINANCE(""USDGBP""))"),"")</f>
        <v/>
      </c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</row>
    <row r="1408">
      <c r="A1408" s="8" t="str">
        <f>IFERROR(__xludf.DUMMYFUNCTION("""COMPUTED_VALUE"""),"107771520181200750")</f>
        <v>107771520181200750</v>
      </c>
      <c r="B1408" s="9" t="str">
        <f>IFERROR(__xludf.DUMMYFUNCTION("""COMPUTED_VALUE"""),"France")</f>
        <v>France</v>
      </c>
      <c r="C1408" s="9" t="str">
        <f>IFERROR(__xludf.DUMMYFUNCTION("""COMPUTED_VALUE"""),"burgundy")</f>
        <v>burgundy</v>
      </c>
      <c r="D1408" s="9" t="str">
        <f>IFERROR(__xludf.DUMMYFUNCTION("""COMPUTED_VALUE"""),"Paul Pernot, Puligny-Montrachet")</f>
        <v>Paul Pernot, Puligny-Montrachet</v>
      </c>
      <c r="E1408" s="9">
        <f>IFERROR(__xludf.DUMMYFUNCTION("""COMPUTED_VALUE"""),2018.0)</f>
        <v>2018</v>
      </c>
      <c r="F1408" s="9">
        <f>IFERROR(__xludf.DUMMYFUNCTION("""COMPUTED_VALUE"""),750.0)</f>
        <v>750</v>
      </c>
      <c r="G1408" s="9">
        <f>IFERROR(__xludf.DUMMYFUNCTION("""COMPUTED_VALUE"""),12.0)</f>
        <v>12</v>
      </c>
      <c r="H1408" s="10">
        <f>IFERROR(__xludf.DUMMYFUNCTION("""COMPUTED_VALUE"""),2.0)</f>
        <v>2</v>
      </c>
      <c r="I1408" s="11">
        <f>IFERROR(__xludf.DUMMYFUNCTION("""COMPUTED_VALUE"""),799.0)</f>
        <v>799</v>
      </c>
      <c r="J1408" s="9" t="str">
        <f>IFERROR(__xludf.DUMMYFUNCTION("""COMPUTED_VALUE"""),"UK")</f>
        <v>UK</v>
      </c>
      <c r="K1408" s="8"/>
      <c r="L1408" s="12"/>
      <c r="M1408" s="13"/>
      <c r="N1408" s="13" t="str">
        <f>IFERROR(__xludf.DUMMYFUNCTION("IF(ISBLANK(M1408),"""",M1408*GOOGLEFINANCE(""USDGBP""))"),"")</f>
        <v/>
      </c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</row>
    <row r="1409">
      <c r="A1409" s="8" t="str">
        <f>IFERROR(__xludf.DUMMYFUNCTION("""COMPUTED_VALUE"""),"107772820181200750")</f>
        <v>107772820181200750</v>
      </c>
      <c r="B1409" s="9" t="str">
        <f>IFERROR(__xludf.DUMMYFUNCTION("""COMPUTED_VALUE"""),"France")</f>
        <v>France</v>
      </c>
      <c r="C1409" s="9" t="str">
        <f>IFERROR(__xludf.DUMMYFUNCTION("""COMPUTED_VALUE"""),"burgundy")</f>
        <v>burgundy</v>
      </c>
      <c r="D1409" s="9" t="str">
        <f>IFERROR(__xludf.DUMMYFUNCTION("""COMPUTED_VALUE"""),"Paul Pernot, Puligny-Montrachet Premier Cru, Les Folatieres")</f>
        <v>Paul Pernot, Puligny-Montrachet Premier Cru, Les Folatieres</v>
      </c>
      <c r="E1409" s="9">
        <f>IFERROR(__xludf.DUMMYFUNCTION("""COMPUTED_VALUE"""),2018.0)</f>
        <v>2018</v>
      </c>
      <c r="F1409" s="9">
        <f>IFERROR(__xludf.DUMMYFUNCTION("""COMPUTED_VALUE"""),750.0)</f>
        <v>750</v>
      </c>
      <c r="G1409" s="9">
        <f>IFERROR(__xludf.DUMMYFUNCTION("""COMPUTED_VALUE"""),12.0)</f>
        <v>12</v>
      </c>
      <c r="H1409" s="10">
        <f>IFERROR(__xludf.DUMMYFUNCTION("""COMPUTED_VALUE"""),4.0)</f>
        <v>4</v>
      </c>
      <c r="I1409" s="11">
        <f>IFERROR(__xludf.DUMMYFUNCTION("""COMPUTED_VALUE"""),1578.0)</f>
        <v>1578</v>
      </c>
      <c r="J1409" s="9" t="str">
        <f>IFERROR(__xludf.DUMMYFUNCTION("""COMPUTED_VALUE"""),"UK")</f>
        <v>UK</v>
      </c>
      <c r="K1409" s="8"/>
      <c r="L1409" s="12"/>
      <c r="M1409" s="13"/>
      <c r="N1409" s="13" t="str">
        <f>IFERROR(__xludf.DUMMYFUNCTION("IF(ISBLANK(M1409),"""",M1409*GOOGLEFINANCE(""USDGBP""))"),"")</f>
        <v/>
      </c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</row>
    <row r="1410">
      <c r="A1410" s="8" t="str">
        <f>IFERROR(__xludf.DUMMYFUNCTION("""COMPUTED_VALUE"""),"123232520191200750")</f>
        <v>123232520191200750</v>
      </c>
      <c r="B1410" s="9" t="str">
        <f>IFERROR(__xludf.DUMMYFUNCTION("""COMPUTED_VALUE"""),"France")</f>
        <v>France</v>
      </c>
      <c r="C1410" s="9" t="str">
        <f>IFERROR(__xludf.DUMMYFUNCTION("""COMPUTED_VALUE"""),"burgundy")</f>
        <v>burgundy</v>
      </c>
      <c r="D1410" s="9" t="str">
        <f>IFERROR(__xludf.DUMMYFUNCTION("""COMPUTED_VALUE"""),"Philippe Colin, Chassagne-Montrachet Premier Cru, Les Chenevottes")</f>
        <v>Philippe Colin, Chassagne-Montrachet Premier Cru, Les Chenevottes</v>
      </c>
      <c r="E1410" s="9">
        <f>IFERROR(__xludf.DUMMYFUNCTION("""COMPUTED_VALUE"""),2019.0)</f>
        <v>2019</v>
      </c>
      <c r="F1410" s="9">
        <f>IFERROR(__xludf.DUMMYFUNCTION("""COMPUTED_VALUE"""),750.0)</f>
        <v>750</v>
      </c>
      <c r="G1410" s="9">
        <f>IFERROR(__xludf.DUMMYFUNCTION("""COMPUTED_VALUE"""),12.0)</f>
        <v>12</v>
      </c>
      <c r="H1410" s="10">
        <f>IFERROR(__xludf.DUMMYFUNCTION("""COMPUTED_VALUE"""),1.0)</f>
        <v>1</v>
      </c>
      <c r="I1410" s="11">
        <f>IFERROR(__xludf.DUMMYFUNCTION("""COMPUTED_VALUE"""),635.0)</f>
        <v>635</v>
      </c>
      <c r="J1410" s="9" t="str">
        <f>IFERROR(__xludf.DUMMYFUNCTION("""COMPUTED_VALUE"""),"UK")</f>
        <v>UK</v>
      </c>
      <c r="K1410" s="8"/>
      <c r="L1410" s="12"/>
      <c r="M1410" s="13"/>
      <c r="N1410" s="13" t="str">
        <f>IFERROR(__xludf.DUMMYFUNCTION("IF(ISBLANK(M1410),"""",M1410*GOOGLEFINANCE(""USDGBP""))"),"")</f>
        <v/>
      </c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</row>
    <row r="1411">
      <c r="A1411" s="8" t="str">
        <f>IFERROR(__xludf.DUMMYFUNCTION("""COMPUTED_VALUE"""),"117757420171200750")</f>
        <v>117757420171200750</v>
      </c>
      <c r="B1411" s="9" t="str">
        <f>IFERROR(__xludf.DUMMYFUNCTION("""COMPUTED_VALUE"""),"France")</f>
        <v>France</v>
      </c>
      <c r="C1411" s="9" t="str">
        <f>IFERROR(__xludf.DUMMYFUNCTION("""COMPUTED_VALUE"""),"burgundy")</f>
        <v>burgundy</v>
      </c>
      <c r="D1411" s="9" t="str">
        <f>IFERROR(__xludf.DUMMYFUNCTION("""COMPUTED_VALUE"""),"Pierre Boisson, Bourgogne, Blanc")</f>
        <v>Pierre Boisson, Bourgogne, Blanc</v>
      </c>
      <c r="E1411" s="9">
        <f>IFERROR(__xludf.DUMMYFUNCTION("""COMPUTED_VALUE"""),2017.0)</f>
        <v>2017</v>
      </c>
      <c r="F1411" s="9">
        <f>IFERROR(__xludf.DUMMYFUNCTION("""COMPUTED_VALUE"""),750.0)</f>
        <v>750</v>
      </c>
      <c r="G1411" s="9">
        <f>IFERROR(__xludf.DUMMYFUNCTION("""COMPUTED_VALUE"""),12.0)</f>
        <v>12</v>
      </c>
      <c r="H1411" s="10">
        <f>IFERROR(__xludf.DUMMYFUNCTION("""COMPUTED_VALUE"""),1.0)</f>
        <v>1</v>
      </c>
      <c r="I1411" s="11">
        <f>IFERROR(__xludf.DUMMYFUNCTION("""COMPUTED_VALUE"""),660.0)</f>
        <v>660</v>
      </c>
      <c r="J1411" s="9" t="str">
        <f>IFERROR(__xludf.DUMMYFUNCTION("""COMPUTED_VALUE"""),"UK")</f>
        <v>UK</v>
      </c>
      <c r="K1411" s="8"/>
      <c r="L1411" s="12"/>
      <c r="M1411" s="13"/>
      <c r="N1411" s="13" t="str">
        <f>IFERROR(__xludf.DUMMYFUNCTION("IF(ISBLANK(M1411),"""",M1411*GOOGLEFINANCE(""USDGBP""))"),"")</f>
        <v/>
      </c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</row>
    <row r="1412">
      <c r="A1412" s="8" t="str">
        <f>IFERROR(__xludf.DUMMYFUNCTION("""COMPUTED_VALUE"""),"186136320180600750")</f>
        <v>186136320180600750</v>
      </c>
      <c r="B1412" s="9" t="str">
        <f>IFERROR(__xludf.DUMMYFUNCTION("""COMPUTED_VALUE"""),"France")</f>
        <v>France</v>
      </c>
      <c r="C1412" s="9" t="str">
        <f>IFERROR(__xludf.DUMMYFUNCTION("""COMPUTED_VALUE"""),"burgundy")</f>
        <v>burgundy</v>
      </c>
      <c r="D1412" s="9" t="str">
        <f>IFERROR(__xludf.DUMMYFUNCTION("""COMPUTED_VALUE"""),"Pierre Girardin, Corton-Charlemagne Grand Cru")</f>
        <v>Pierre Girardin, Corton-Charlemagne Grand Cru</v>
      </c>
      <c r="E1412" s="9">
        <f>IFERROR(__xludf.DUMMYFUNCTION("""COMPUTED_VALUE"""),2018.0)</f>
        <v>2018</v>
      </c>
      <c r="F1412" s="9">
        <f>IFERROR(__xludf.DUMMYFUNCTION("""COMPUTED_VALUE"""),750.0)</f>
        <v>750</v>
      </c>
      <c r="G1412" s="9">
        <f>IFERROR(__xludf.DUMMYFUNCTION("""COMPUTED_VALUE"""),6.0)</f>
        <v>6</v>
      </c>
      <c r="H1412" s="10">
        <f>IFERROR(__xludf.DUMMYFUNCTION("""COMPUTED_VALUE"""),1.0)</f>
        <v>1</v>
      </c>
      <c r="I1412" s="11">
        <f>IFERROR(__xludf.DUMMYFUNCTION("""COMPUTED_VALUE"""),1987.0)</f>
        <v>1987</v>
      </c>
      <c r="J1412" s="9" t="str">
        <f>IFERROR(__xludf.DUMMYFUNCTION("""COMPUTED_VALUE"""),"UK")</f>
        <v>UK</v>
      </c>
      <c r="K1412" s="8"/>
      <c r="L1412" s="12"/>
      <c r="M1412" s="13"/>
      <c r="N1412" s="13" t="str">
        <f>IFERROR(__xludf.DUMMYFUNCTION("IF(ISBLANK(M1412),"""",M1412*GOOGLEFINANCE(""USDGBP""))"),"")</f>
        <v/>
      </c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</row>
    <row r="1413">
      <c r="A1413" s="8" t="str">
        <f>IFERROR(__xludf.DUMMYFUNCTION("""COMPUTED_VALUE"""),"112846220180600750")</f>
        <v>112846220180600750</v>
      </c>
      <c r="B1413" s="9" t="str">
        <f>IFERROR(__xludf.DUMMYFUNCTION("""COMPUTED_VALUE"""),"France")</f>
        <v>France</v>
      </c>
      <c r="C1413" s="9" t="str">
        <f>IFERROR(__xludf.DUMMYFUNCTION("""COMPUTED_VALUE"""),"burgundy")</f>
        <v>burgundy</v>
      </c>
      <c r="D1413" s="9" t="str">
        <f>IFERROR(__xludf.DUMMYFUNCTION("""COMPUTED_VALUE"""),"Pierre-Yves Colin-Morey, Chassagne-Montrachet Premier Cru, Morgeot Blanc")</f>
        <v>Pierre-Yves Colin-Morey, Chassagne-Montrachet Premier Cru, Morgeot Blanc</v>
      </c>
      <c r="E1413" s="9">
        <f>IFERROR(__xludf.DUMMYFUNCTION("""COMPUTED_VALUE"""),2018.0)</f>
        <v>2018</v>
      </c>
      <c r="F1413" s="9">
        <f>IFERROR(__xludf.DUMMYFUNCTION("""COMPUTED_VALUE"""),750.0)</f>
        <v>750</v>
      </c>
      <c r="G1413" s="9">
        <f>IFERROR(__xludf.DUMMYFUNCTION("""COMPUTED_VALUE"""),6.0)</f>
        <v>6</v>
      </c>
      <c r="H1413" s="10">
        <f>IFERROR(__xludf.DUMMYFUNCTION("""COMPUTED_VALUE"""),1.0)</f>
        <v>1</v>
      </c>
      <c r="I1413" s="11">
        <f>IFERROR(__xludf.DUMMYFUNCTION("""COMPUTED_VALUE"""),1637.0)</f>
        <v>1637</v>
      </c>
      <c r="J1413" s="9" t="str">
        <f>IFERROR(__xludf.DUMMYFUNCTION("""COMPUTED_VALUE"""),"UK")</f>
        <v>UK</v>
      </c>
      <c r="K1413" s="8"/>
      <c r="L1413" s="12"/>
      <c r="M1413" s="13"/>
      <c r="N1413" s="13" t="str">
        <f>IFERROR(__xludf.DUMMYFUNCTION("IF(ISBLANK(M1413),"""",M1413*GOOGLEFINANCE(""USDGBP""))"),"")</f>
        <v/>
      </c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</row>
    <row r="1414">
      <c r="A1414" s="8" t="str">
        <f>IFERROR(__xludf.DUMMYFUNCTION("""COMPUTED_VALUE"""),"106553020180600750")</f>
        <v>106553020180600750</v>
      </c>
      <c r="B1414" s="9" t="str">
        <f>IFERROR(__xludf.DUMMYFUNCTION("""COMPUTED_VALUE"""),"France")</f>
        <v>France</v>
      </c>
      <c r="C1414" s="9" t="str">
        <f>IFERROR(__xludf.DUMMYFUNCTION("""COMPUTED_VALUE"""),"burgundy")</f>
        <v>burgundy</v>
      </c>
      <c r="D1414" s="9" t="str">
        <f>IFERROR(__xludf.DUMMYFUNCTION("""COMPUTED_VALUE"""),"Pierre-Yves Colin-Morey, Chassagne-Montrachet, Les Ancegnieres")</f>
        <v>Pierre-Yves Colin-Morey, Chassagne-Montrachet, Les Ancegnieres</v>
      </c>
      <c r="E1414" s="9">
        <f>IFERROR(__xludf.DUMMYFUNCTION("""COMPUTED_VALUE"""),2018.0)</f>
        <v>2018</v>
      </c>
      <c r="F1414" s="9">
        <f>IFERROR(__xludf.DUMMYFUNCTION("""COMPUTED_VALUE"""),750.0)</f>
        <v>750</v>
      </c>
      <c r="G1414" s="9">
        <f>IFERROR(__xludf.DUMMYFUNCTION("""COMPUTED_VALUE"""),6.0)</f>
        <v>6</v>
      </c>
      <c r="H1414" s="10">
        <f>IFERROR(__xludf.DUMMYFUNCTION("""COMPUTED_VALUE"""),1.0)</f>
        <v>1</v>
      </c>
      <c r="I1414" s="11">
        <f>IFERROR(__xludf.DUMMYFUNCTION("""COMPUTED_VALUE"""),1060.0)</f>
        <v>1060</v>
      </c>
      <c r="J1414" s="9" t="str">
        <f>IFERROR(__xludf.DUMMYFUNCTION("""COMPUTED_VALUE"""),"UK")</f>
        <v>UK</v>
      </c>
      <c r="K1414" s="8"/>
      <c r="L1414" s="12"/>
      <c r="M1414" s="13"/>
      <c r="N1414" s="13" t="str">
        <f>IFERROR(__xludf.DUMMYFUNCTION("IF(ISBLANK(M1414),"""",M1414*GOOGLEFINANCE(""USDGBP""))"),"")</f>
        <v/>
      </c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</row>
    <row r="1415">
      <c r="A1415" s="8" t="str">
        <f>IFERROR(__xludf.DUMMYFUNCTION("""COMPUTED_VALUE"""),"178555720180600750")</f>
        <v>178555720180600750</v>
      </c>
      <c r="B1415" s="9" t="str">
        <f>IFERROR(__xludf.DUMMYFUNCTION("""COMPUTED_VALUE"""),"France")</f>
        <v>France</v>
      </c>
      <c r="C1415" s="9" t="str">
        <f>IFERROR(__xludf.DUMMYFUNCTION("""COMPUTED_VALUE"""),"burgundy")</f>
        <v>burgundy</v>
      </c>
      <c r="D1415" s="9" t="str">
        <f>IFERROR(__xludf.DUMMYFUNCTION("""COMPUTED_VALUE"""),"Pierre-Yves Colin-Morey, Chassagne-Montrachet, Vieilles Vignes")</f>
        <v>Pierre-Yves Colin-Morey, Chassagne-Montrachet, Vieilles Vignes</v>
      </c>
      <c r="E1415" s="9">
        <f>IFERROR(__xludf.DUMMYFUNCTION("""COMPUTED_VALUE"""),2018.0)</f>
        <v>2018</v>
      </c>
      <c r="F1415" s="9">
        <f>IFERROR(__xludf.DUMMYFUNCTION("""COMPUTED_VALUE"""),750.0)</f>
        <v>750</v>
      </c>
      <c r="G1415" s="9">
        <f>IFERROR(__xludf.DUMMYFUNCTION("""COMPUTED_VALUE"""),6.0)</f>
        <v>6</v>
      </c>
      <c r="H1415" s="10">
        <f>IFERROR(__xludf.DUMMYFUNCTION("""COMPUTED_VALUE"""),5.0)</f>
        <v>5</v>
      </c>
      <c r="I1415" s="11">
        <f>IFERROR(__xludf.DUMMYFUNCTION("""COMPUTED_VALUE"""),785.0)</f>
        <v>785</v>
      </c>
      <c r="J1415" s="9" t="str">
        <f>IFERROR(__xludf.DUMMYFUNCTION("""COMPUTED_VALUE"""),"UK")</f>
        <v>UK</v>
      </c>
      <c r="K1415" s="8"/>
      <c r="L1415" s="12"/>
      <c r="M1415" s="13"/>
      <c r="N1415" s="13" t="str">
        <f>IFERROR(__xludf.DUMMYFUNCTION("IF(ISBLANK(M1415),"""",M1415*GOOGLEFINANCE(""USDGBP""))"),"")</f>
        <v/>
      </c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</row>
    <row r="1416">
      <c r="A1416" s="8" t="str">
        <f>IFERROR(__xludf.DUMMYFUNCTION("""COMPUTED_VALUE"""),"114281920180600750")</f>
        <v>114281920180600750</v>
      </c>
      <c r="B1416" s="9" t="str">
        <f>IFERROR(__xludf.DUMMYFUNCTION("""COMPUTED_VALUE"""),"France")</f>
        <v>France</v>
      </c>
      <c r="C1416" s="9" t="str">
        <f>IFERROR(__xludf.DUMMYFUNCTION("""COMPUTED_VALUE"""),"burgundy")</f>
        <v>burgundy</v>
      </c>
      <c r="D1416" s="9" t="str">
        <f>IFERROR(__xludf.DUMMYFUNCTION("""COMPUTED_VALUE"""),"Pierre-Yves Colin-Morey, Corton-Charlemagne Grand Cru")</f>
        <v>Pierre-Yves Colin-Morey, Corton-Charlemagne Grand Cru</v>
      </c>
      <c r="E1416" s="9">
        <f>IFERROR(__xludf.DUMMYFUNCTION("""COMPUTED_VALUE"""),2018.0)</f>
        <v>2018</v>
      </c>
      <c r="F1416" s="9">
        <f>IFERROR(__xludf.DUMMYFUNCTION("""COMPUTED_VALUE"""),750.0)</f>
        <v>750</v>
      </c>
      <c r="G1416" s="9">
        <f>IFERROR(__xludf.DUMMYFUNCTION("""COMPUTED_VALUE"""),6.0)</f>
        <v>6</v>
      </c>
      <c r="H1416" s="10">
        <f>IFERROR(__xludf.DUMMYFUNCTION("""COMPUTED_VALUE"""),1.0)</f>
        <v>1</v>
      </c>
      <c r="I1416" s="11">
        <f>IFERROR(__xludf.DUMMYFUNCTION("""COMPUTED_VALUE"""),3213.0)</f>
        <v>3213</v>
      </c>
      <c r="J1416" s="9" t="str">
        <f>IFERROR(__xludf.DUMMYFUNCTION("""COMPUTED_VALUE"""),"UK")</f>
        <v>UK</v>
      </c>
      <c r="K1416" s="8"/>
      <c r="L1416" s="12"/>
      <c r="M1416" s="13"/>
      <c r="N1416" s="13" t="str">
        <f>IFERROR(__xludf.DUMMYFUNCTION("IF(ISBLANK(M1416),"""",M1416*GOOGLEFINANCE(""USDGBP""))"),"")</f>
        <v/>
      </c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</row>
    <row r="1417">
      <c r="A1417" s="8" t="str">
        <f>IFERROR(__xludf.DUMMYFUNCTION("""COMPUTED_VALUE"""),"106560220180600750")</f>
        <v>106560220180600750</v>
      </c>
      <c r="B1417" s="9" t="str">
        <f>IFERROR(__xludf.DUMMYFUNCTION("""COMPUTED_VALUE"""),"France")</f>
        <v>France</v>
      </c>
      <c r="C1417" s="9" t="str">
        <f>IFERROR(__xludf.DUMMYFUNCTION("""COMPUTED_VALUE"""),"burgundy")</f>
        <v>burgundy</v>
      </c>
      <c r="D1417" s="9" t="str">
        <f>IFERROR(__xludf.DUMMYFUNCTION("""COMPUTED_VALUE"""),"Pierre-Yves Colin-Morey, Meursault Premier Cru, Charmes")</f>
        <v>Pierre-Yves Colin-Morey, Meursault Premier Cru, Charmes</v>
      </c>
      <c r="E1417" s="9">
        <f>IFERROR(__xludf.DUMMYFUNCTION("""COMPUTED_VALUE"""),2018.0)</f>
        <v>2018</v>
      </c>
      <c r="F1417" s="9">
        <f>IFERROR(__xludf.DUMMYFUNCTION("""COMPUTED_VALUE"""),750.0)</f>
        <v>750</v>
      </c>
      <c r="G1417" s="9">
        <f>IFERROR(__xludf.DUMMYFUNCTION("""COMPUTED_VALUE"""),6.0)</f>
        <v>6</v>
      </c>
      <c r="H1417" s="10">
        <f>IFERROR(__xludf.DUMMYFUNCTION("""COMPUTED_VALUE"""),1.0)</f>
        <v>1</v>
      </c>
      <c r="I1417" s="11">
        <f>IFERROR(__xludf.DUMMYFUNCTION("""COMPUTED_VALUE"""),1975.0)</f>
        <v>1975</v>
      </c>
      <c r="J1417" s="9" t="str">
        <f>IFERROR(__xludf.DUMMYFUNCTION("""COMPUTED_VALUE"""),"UK")</f>
        <v>UK</v>
      </c>
      <c r="K1417" s="8"/>
      <c r="L1417" s="12"/>
      <c r="M1417" s="13"/>
      <c r="N1417" s="13" t="str">
        <f>IFERROR(__xludf.DUMMYFUNCTION("IF(ISBLANK(M1417),"""",M1417*GOOGLEFINANCE(""USDGBP""))"),"")</f>
        <v/>
      </c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</row>
    <row r="1418">
      <c r="A1418" s="8" t="str">
        <f>IFERROR(__xludf.DUMMYFUNCTION("""COMPUTED_VALUE"""),"106560220180300750")</f>
        <v>106560220180300750</v>
      </c>
      <c r="B1418" s="9" t="str">
        <f>IFERROR(__xludf.DUMMYFUNCTION("""COMPUTED_VALUE"""),"France")</f>
        <v>France</v>
      </c>
      <c r="C1418" s="9" t="str">
        <f>IFERROR(__xludf.DUMMYFUNCTION("""COMPUTED_VALUE"""),"burgundy")</f>
        <v>burgundy</v>
      </c>
      <c r="D1418" s="9" t="str">
        <f>IFERROR(__xludf.DUMMYFUNCTION("""COMPUTED_VALUE"""),"Pierre-Yves Colin-Morey, Meursault Premier Cru, Charmes")</f>
        <v>Pierre-Yves Colin-Morey, Meursault Premier Cru, Charmes</v>
      </c>
      <c r="E1418" s="9">
        <f>IFERROR(__xludf.DUMMYFUNCTION("""COMPUTED_VALUE"""),2018.0)</f>
        <v>2018</v>
      </c>
      <c r="F1418" s="9">
        <f>IFERROR(__xludf.DUMMYFUNCTION("""COMPUTED_VALUE"""),750.0)</f>
        <v>750</v>
      </c>
      <c r="G1418" s="9">
        <f>IFERROR(__xludf.DUMMYFUNCTION("""COMPUTED_VALUE"""),3.0)</f>
        <v>3</v>
      </c>
      <c r="H1418" s="10">
        <f>IFERROR(__xludf.DUMMYFUNCTION("""COMPUTED_VALUE"""),1.0)</f>
        <v>1</v>
      </c>
      <c r="I1418" s="11">
        <f>IFERROR(__xludf.DUMMYFUNCTION("""COMPUTED_VALUE"""),993.0)</f>
        <v>993</v>
      </c>
      <c r="J1418" s="9" t="str">
        <f>IFERROR(__xludf.DUMMYFUNCTION("""COMPUTED_VALUE"""),"UK")</f>
        <v>UK</v>
      </c>
      <c r="K1418" s="8"/>
      <c r="L1418" s="12"/>
      <c r="M1418" s="13"/>
      <c r="N1418" s="13" t="str">
        <f>IFERROR(__xludf.DUMMYFUNCTION("IF(ISBLANK(M1418),"""",M1418*GOOGLEFINANCE(""USDGBP""))"),"")</f>
        <v/>
      </c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</row>
    <row r="1419">
      <c r="A1419" s="8" t="str">
        <f>IFERROR(__xludf.DUMMYFUNCTION("""COMPUTED_VALUE"""),"106560220200300750")</f>
        <v>106560220200300750</v>
      </c>
      <c r="B1419" s="9" t="str">
        <f>IFERROR(__xludf.DUMMYFUNCTION("""COMPUTED_VALUE"""),"France")</f>
        <v>France</v>
      </c>
      <c r="C1419" s="9" t="str">
        <f>IFERROR(__xludf.DUMMYFUNCTION("""COMPUTED_VALUE"""),"burgundy")</f>
        <v>burgundy</v>
      </c>
      <c r="D1419" s="9" t="str">
        <f>IFERROR(__xludf.DUMMYFUNCTION("""COMPUTED_VALUE"""),"Pierre-Yves Colin-Morey, Meursault Premier Cru, Charmes")</f>
        <v>Pierre-Yves Colin-Morey, Meursault Premier Cru, Charmes</v>
      </c>
      <c r="E1419" s="9">
        <f>IFERROR(__xludf.DUMMYFUNCTION("""COMPUTED_VALUE"""),2020.0)</f>
        <v>2020</v>
      </c>
      <c r="F1419" s="9">
        <f>IFERROR(__xludf.DUMMYFUNCTION("""COMPUTED_VALUE"""),750.0)</f>
        <v>750</v>
      </c>
      <c r="G1419" s="9">
        <f>IFERROR(__xludf.DUMMYFUNCTION("""COMPUTED_VALUE"""),3.0)</f>
        <v>3</v>
      </c>
      <c r="H1419" s="10">
        <f>IFERROR(__xludf.DUMMYFUNCTION("""COMPUTED_VALUE"""),1.0)</f>
        <v>1</v>
      </c>
      <c r="I1419" s="11">
        <f>IFERROR(__xludf.DUMMYFUNCTION("""COMPUTED_VALUE"""),982.0)</f>
        <v>982</v>
      </c>
      <c r="J1419" s="9" t="str">
        <f>IFERROR(__xludf.DUMMYFUNCTION("""COMPUTED_VALUE"""),"UK")</f>
        <v>UK</v>
      </c>
      <c r="K1419" s="8"/>
      <c r="L1419" s="12"/>
      <c r="M1419" s="13"/>
      <c r="N1419" s="13" t="str">
        <f>IFERROR(__xludf.DUMMYFUNCTION("IF(ISBLANK(M1419),"""",M1419*GOOGLEFINANCE(""USDGBP""))"),"")</f>
        <v/>
      </c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</row>
    <row r="1420">
      <c r="A1420" s="8" t="str">
        <f>IFERROR(__xludf.DUMMYFUNCTION("""COMPUTED_VALUE"""),"106569920180600750")</f>
        <v>106569920180600750</v>
      </c>
      <c r="B1420" s="9" t="str">
        <f>IFERROR(__xludf.DUMMYFUNCTION("""COMPUTED_VALUE"""),"France")</f>
        <v>France</v>
      </c>
      <c r="C1420" s="9" t="str">
        <f>IFERROR(__xludf.DUMMYFUNCTION("""COMPUTED_VALUE"""),"burgundy")</f>
        <v>burgundy</v>
      </c>
      <c r="D1420" s="9" t="str">
        <f>IFERROR(__xludf.DUMMYFUNCTION("""COMPUTED_VALUE"""),"Pierre-Yves Colin-Morey, Puligny-Montrachet")</f>
        <v>Pierre-Yves Colin-Morey, Puligny-Montrachet</v>
      </c>
      <c r="E1420" s="9">
        <f>IFERROR(__xludf.DUMMYFUNCTION("""COMPUTED_VALUE"""),2018.0)</f>
        <v>2018</v>
      </c>
      <c r="F1420" s="9">
        <f>IFERROR(__xludf.DUMMYFUNCTION("""COMPUTED_VALUE"""),750.0)</f>
        <v>750</v>
      </c>
      <c r="G1420" s="9">
        <f>IFERROR(__xludf.DUMMYFUNCTION("""COMPUTED_VALUE"""),6.0)</f>
        <v>6</v>
      </c>
      <c r="H1420" s="10">
        <f>IFERROR(__xludf.DUMMYFUNCTION("""COMPUTED_VALUE"""),1.0)</f>
        <v>1</v>
      </c>
      <c r="I1420" s="11">
        <f>IFERROR(__xludf.DUMMYFUNCTION("""COMPUTED_VALUE"""),1090.0)</f>
        <v>1090</v>
      </c>
      <c r="J1420" s="9" t="str">
        <f>IFERROR(__xludf.DUMMYFUNCTION("""COMPUTED_VALUE"""),"UK")</f>
        <v>UK</v>
      </c>
      <c r="K1420" s="8"/>
      <c r="L1420" s="12"/>
      <c r="M1420" s="13"/>
      <c r="N1420" s="13" t="str">
        <f>IFERROR(__xludf.DUMMYFUNCTION("IF(ISBLANK(M1420),"""",M1420*GOOGLEFINANCE(""USDGBP""))"),"")</f>
        <v/>
      </c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</row>
    <row r="1421">
      <c r="A1421" s="8" t="str">
        <f>IFERROR(__xludf.DUMMYFUNCTION("""COMPUTED_VALUE"""),"106573220180600750")</f>
        <v>106573220180600750</v>
      </c>
      <c r="B1421" s="9" t="str">
        <f>IFERROR(__xludf.DUMMYFUNCTION("""COMPUTED_VALUE"""),"France")</f>
        <v>France</v>
      </c>
      <c r="C1421" s="9" t="str">
        <f>IFERROR(__xludf.DUMMYFUNCTION("""COMPUTED_VALUE"""),"burgundy")</f>
        <v>burgundy</v>
      </c>
      <c r="D1421" s="9" t="str">
        <f>IFERROR(__xludf.DUMMYFUNCTION("""COMPUTED_VALUE"""),"Pierre-Yves Colin-Morey, Saint-Aubin Premier Cru, En Remilly")</f>
        <v>Pierre-Yves Colin-Morey, Saint-Aubin Premier Cru, En Remilly</v>
      </c>
      <c r="E1421" s="9">
        <f>IFERROR(__xludf.DUMMYFUNCTION("""COMPUTED_VALUE"""),2018.0)</f>
        <v>2018</v>
      </c>
      <c r="F1421" s="9">
        <f>IFERROR(__xludf.DUMMYFUNCTION("""COMPUTED_VALUE"""),750.0)</f>
        <v>750</v>
      </c>
      <c r="G1421" s="9">
        <f>IFERROR(__xludf.DUMMYFUNCTION("""COMPUTED_VALUE"""),6.0)</f>
        <v>6</v>
      </c>
      <c r="H1421" s="10">
        <f>IFERROR(__xludf.DUMMYFUNCTION("""COMPUTED_VALUE"""),1.0)</f>
        <v>1</v>
      </c>
      <c r="I1421" s="11">
        <f>IFERROR(__xludf.DUMMYFUNCTION("""COMPUTED_VALUE"""),945.0)</f>
        <v>945</v>
      </c>
      <c r="J1421" s="9" t="str">
        <f>IFERROR(__xludf.DUMMYFUNCTION("""COMPUTED_VALUE"""),"UK")</f>
        <v>UK</v>
      </c>
      <c r="K1421" s="8"/>
      <c r="L1421" s="12"/>
      <c r="M1421" s="13"/>
      <c r="N1421" s="13" t="str">
        <f>IFERROR(__xludf.DUMMYFUNCTION("IF(ISBLANK(M1421),"""",M1421*GOOGLEFINANCE(""USDGBP""))"),"")</f>
        <v/>
      </c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</row>
    <row r="1422">
      <c r="A1422" s="8" t="str">
        <f>IFERROR(__xludf.DUMMYFUNCTION("""COMPUTED_VALUE"""),"161452320170600750")</f>
        <v>161452320170600750</v>
      </c>
      <c r="B1422" s="9" t="str">
        <f>IFERROR(__xludf.DUMMYFUNCTION("""COMPUTED_VALUE"""),"France")</f>
        <v>France</v>
      </c>
      <c r="C1422" s="9" t="str">
        <f>IFERROR(__xludf.DUMMYFUNCTION("""COMPUTED_VALUE"""),"burgundy")</f>
        <v>burgundy</v>
      </c>
      <c r="D1422" s="9" t="str">
        <f>IFERROR(__xludf.DUMMYFUNCTION("""COMPUTED_VALUE"""),"Pierre-Yves Colin-Morey, Saint-Aubin Premier Cru, Hommage a Marguerite")</f>
        <v>Pierre-Yves Colin-Morey, Saint-Aubin Premier Cru, Hommage a Marguerite</v>
      </c>
      <c r="E1422" s="9">
        <f>IFERROR(__xludf.DUMMYFUNCTION("""COMPUTED_VALUE"""),2017.0)</f>
        <v>2017</v>
      </c>
      <c r="F1422" s="9">
        <f>IFERROR(__xludf.DUMMYFUNCTION("""COMPUTED_VALUE"""),750.0)</f>
        <v>750</v>
      </c>
      <c r="G1422" s="9">
        <f>IFERROR(__xludf.DUMMYFUNCTION("""COMPUTED_VALUE"""),6.0)</f>
        <v>6</v>
      </c>
      <c r="H1422" s="10">
        <f>IFERROR(__xludf.DUMMYFUNCTION("""COMPUTED_VALUE"""),1.0)</f>
        <v>1</v>
      </c>
      <c r="I1422" s="11">
        <f>IFERROR(__xludf.DUMMYFUNCTION("""COMPUTED_VALUE"""),842.0)</f>
        <v>842</v>
      </c>
      <c r="J1422" s="9" t="str">
        <f>IFERROR(__xludf.DUMMYFUNCTION("""COMPUTED_VALUE"""),"UK")</f>
        <v>UK</v>
      </c>
      <c r="K1422" s="8"/>
      <c r="L1422" s="12"/>
      <c r="M1422" s="13"/>
      <c r="N1422" s="13" t="str">
        <f>IFERROR(__xludf.DUMMYFUNCTION("IF(ISBLANK(M1422),"""",M1422*GOOGLEFINANCE(""USDGBP""))"),"")</f>
        <v/>
      </c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</row>
    <row r="1423">
      <c r="A1423" s="8" t="str">
        <f>IFERROR(__xludf.DUMMYFUNCTION("""COMPUTED_VALUE"""),"120233320190600750")</f>
        <v>120233320190600750</v>
      </c>
      <c r="B1423" s="9" t="str">
        <f>IFERROR(__xludf.DUMMYFUNCTION("""COMPUTED_VALUE"""),"France")</f>
        <v>France</v>
      </c>
      <c r="C1423" s="9" t="str">
        <f>IFERROR(__xludf.DUMMYFUNCTION("""COMPUTED_VALUE"""),"burgundy")</f>
        <v>burgundy</v>
      </c>
      <c r="D1423" s="9" t="str">
        <f>IFERROR(__xludf.DUMMYFUNCTION("""COMPUTED_VALUE"""),"Pierre-Yves Colin-Morey, Saint-Aubin Premier Cru, La Chateniere")</f>
        <v>Pierre-Yves Colin-Morey, Saint-Aubin Premier Cru, La Chateniere</v>
      </c>
      <c r="E1423" s="9">
        <f>IFERROR(__xludf.DUMMYFUNCTION("""COMPUTED_VALUE"""),2019.0)</f>
        <v>2019</v>
      </c>
      <c r="F1423" s="9">
        <f>IFERROR(__xludf.DUMMYFUNCTION("""COMPUTED_VALUE"""),750.0)</f>
        <v>750</v>
      </c>
      <c r="G1423" s="9">
        <f>IFERROR(__xludf.DUMMYFUNCTION("""COMPUTED_VALUE"""),6.0)</f>
        <v>6</v>
      </c>
      <c r="H1423" s="10">
        <f>IFERROR(__xludf.DUMMYFUNCTION("""COMPUTED_VALUE"""),1.0)</f>
        <v>1</v>
      </c>
      <c r="I1423" s="11">
        <f>IFERROR(__xludf.DUMMYFUNCTION("""COMPUTED_VALUE"""),851.0)</f>
        <v>851</v>
      </c>
      <c r="J1423" s="9" t="str">
        <f>IFERROR(__xludf.DUMMYFUNCTION("""COMPUTED_VALUE"""),"UK")</f>
        <v>UK</v>
      </c>
      <c r="K1423" s="8"/>
      <c r="L1423" s="12"/>
      <c r="M1423" s="13"/>
      <c r="N1423" s="13" t="str">
        <f>IFERROR(__xludf.DUMMYFUNCTION("IF(ISBLANK(M1423),"""",M1423*GOOGLEFINANCE(""USDGBP""))"),"")</f>
        <v/>
      </c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</row>
    <row r="1424">
      <c r="A1424" s="8" t="str">
        <f>IFERROR(__xludf.DUMMYFUNCTION("""COMPUTED_VALUE"""),"123355320190600750")</f>
        <v>123355320190600750</v>
      </c>
      <c r="B1424" s="9" t="str">
        <f>IFERROR(__xludf.DUMMYFUNCTION("""COMPUTED_VALUE"""),"France")</f>
        <v>France</v>
      </c>
      <c r="C1424" s="9" t="str">
        <f>IFERROR(__xludf.DUMMYFUNCTION("""COMPUTED_VALUE"""),"burgundy")</f>
        <v>burgundy</v>
      </c>
      <c r="D1424" s="9" t="str">
        <f>IFERROR(__xludf.DUMMYFUNCTION("""COMPUTED_VALUE"""),"Thomas Morey, Chassagne-Montrachet Premier Cru, Vide Bourse")</f>
        <v>Thomas Morey, Chassagne-Montrachet Premier Cru, Vide Bourse</v>
      </c>
      <c r="E1424" s="9">
        <f>IFERROR(__xludf.DUMMYFUNCTION("""COMPUTED_VALUE"""),2019.0)</f>
        <v>2019</v>
      </c>
      <c r="F1424" s="9">
        <f>IFERROR(__xludf.DUMMYFUNCTION("""COMPUTED_VALUE"""),750.0)</f>
        <v>750</v>
      </c>
      <c r="G1424" s="9">
        <f>IFERROR(__xludf.DUMMYFUNCTION("""COMPUTED_VALUE"""),6.0)</f>
        <v>6</v>
      </c>
      <c r="H1424" s="10">
        <f>IFERROR(__xludf.DUMMYFUNCTION("""COMPUTED_VALUE"""),1.0)</f>
        <v>1</v>
      </c>
      <c r="I1424" s="11">
        <f>IFERROR(__xludf.DUMMYFUNCTION("""COMPUTED_VALUE"""),645.0)</f>
        <v>645</v>
      </c>
      <c r="J1424" s="9" t="str">
        <f>IFERROR(__xludf.DUMMYFUNCTION("""COMPUTED_VALUE"""),"UK")</f>
        <v>UK</v>
      </c>
      <c r="K1424" s="8"/>
      <c r="L1424" s="12"/>
      <c r="M1424" s="13"/>
      <c r="N1424" s="13" t="str">
        <f>IFERROR(__xludf.DUMMYFUNCTION("IF(ISBLANK(M1424),"""",M1424*GOOGLEFINANCE(""USDGBP""))"),"")</f>
        <v/>
      </c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</row>
    <row r="1425">
      <c r="A1425" s="8" t="str">
        <f>IFERROR(__xludf.DUMMYFUNCTION("""COMPUTED_VALUE"""),"183900320140600750")</f>
        <v>183900320140600750</v>
      </c>
      <c r="B1425" s="9" t="str">
        <f>IFERROR(__xludf.DUMMYFUNCTION("""COMPUTED_VALUE"""),"United States")</f>
        <v>United States</v>
      </c>
      <c r="C1425" s="9" t="str">
        <f>IFERROR(__xludf.DUMMYFUNCTION("""COMPUTED_VALUE"""),"california")</f>
        <v>california</v>
      </c>
      <c r="D1425" s="9" t="str">
        <f>IFERROR(__xludf.DUMMYFUNCTION("""COMPUTED_VALUE"""),"Schrader, Mixed Cellar Assortment Case, California")</f>
        <v>Schrader, Mixed Cellar Assortment Case, California</v>
      </c>
      <c r="E1425" s="9">
        <f>IFERROR(__xludf.DUMMYFUNCTION("""COMPUTED_VALUE"""),2014.0)</f>
        <v>2014</v>
      </c>
      <c r="F1425" s="9">
        <f>IFERROR(__xludf.DUMMYFUNCTION("""COMPUTED_VALUE"""),750.0)</f>
        <v>750</v>
      </c>
      <c r="G1425" s="9">
        <f>IFERROR(__xludf.DUMMYFUNCTION("""COMPUTED_VALUE"""),6.0)</f>
        <v>6</v>
      </c>
      <c r="H1425" s="10">
        <f>IFERROR(__xludf.DUMMYFUNCTION("""COMPUTED_VALUE"""),2.0)</f>
        <v>2</v>
      </c>
      <c r="I1425" s="11">
        <f>IFERROR(__xludf.DUMMYFUNCTION("""COMPUTED_VALUE"""),1927.0)</f>
        <v>1927</v>
      </c>
      <c r="J1425" s="9" t="str">
        <f>IFERROR(__xludf.DUMMYFUNCTION("""COMPUTED_VALUE"""),"UK")</f>
        <v>UK</v>
      </c>
      <c r="K1425" s="8"/>
      <c r="L1425" s="12"/>
      <c r="M1425" s="13"/>
      <c r="N1425" s="13" t="str">
        <f>IFERROR(__xludf.DUMMYFUNCTION("IF(ISBLANK(M1425),"""",M1425*GOOGLEFINANCE(""USDGBP""))"),"")</f>
        <v/>
      </c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</row>
    <row r="1426">
      <c r="A1426" s="8" t="str">
        <f>IFERROR(__xludf.DUMMYFUNCTION("""COMPUTED_VALUE"""),"118229720150300750")</f>
        <v>118229720150300750</v>
      </c>
      <c r="B1426" s="9" t="str">
        <f>IFERROR(__xludf.DUMMYFUNCTION("""COMPUTED_VALUE"""),"United States")</f>
        <v>United States</v>
      </c>
      <c r="C1426" s="9" t="str">
        <f>IFERROR(__xludf.DUMMYFUNCTION("""COMPUTED_VALUE"""),"california")</f>
        <v>california</v>
      </c>
      <c r="D1426" s="9" t="str">
        <f>IFERROR(__xludf.DUMMYFUNCTION("""COMPUTED_VALUE"""),"Abreu, Cappella, Napa Valley")</f>
        <v>Abreu, Cappella, Napa Valley</v>
      </c>
      <c r="E1426" s="9">
        <f>IFERROR(__xludf.DUMMYFUNCTION("""COMPUTED_VALUE"""),2015.0)</f>
        <v>2015</v>
      </c>
      <c r="F1426" s="9">
        <f>IFERROR(__xludf.DUMMYFUNCTION("""COMPUTED_VALUE"""),750.0)</f>
        <v>750</v>
      </c>
      <c r="G1426" s="9">
        <f>IFERROR(__xludf.DUMMYFUNCTION("""COMPUTED_VALUE"""),3.0)</f>
        <v>3</v>
      </c>
      <c r="H1426" s="10">
        <f>IFERROR(__xludf.DUMMYFUNCTION("""COMPUTED_VALUE"""),4.0)</f>
        <v>4</v>
      </c>
      <c r="I1426" s="11">
        <f>IFERROR(__xludf.DUMMYFUNCTION("""COMPUTED_VALUE"""),1284.0)</f>
        <v>1284</v>
      </c>
      <c r="J1426" s="9" t="str">
        <f>IFERROR(__xludf.DUMMYFUNCTION("""COMPUTED_VALUE"""),"UK")</f>
        <v>UK</v>
      </c>
      <c r="K1426" s="8"/>
      <c r="L1426" s="12"/>
      <c r="M1426" s="13"/>
      <c r="N1426" s="13" t="str">
        <f>IFERROR(__xludf.DUMMYFUNCTION("IF(ISBLANK(M1426),"""",M1426*GOOGLEFINANCE(""USDGBP""))"),"")</f>
        <v/>
      </c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</row>
    <row r="1427">
      <c r="A1427" s="8" t="str">
        <f>IFERROR(__xludf.DUMMYFUNCTION("""COMPUTED_VALUE"""),"152569420150300750")</f>
        <v>152569420150300750</v>
      </c>
      <c r="B1427" s="9" t="str">
        <f>IFERROR(__xludf.DUMMYFUNCTION("""COMPUTED_VALUE"""),"United States")</f>
        <v>United States</v>
      </c>
      <c r="C1427" s="9" t="str">
        <f>IFERROR(__xludf.DUMMYFUNCTION("""COMPUTED_VALUE"""),"california")</f>
        <v>california</v>
      </c>
      <c r="D1427" s="9" t="str">
        <f>IFERROR(__xludf.DUMMYFUNCTION("""COMPUTED_VALUE"""),"Abreu, Las Posadas, Howell Mountain")</f>
        <v>Abreu, Las Posadas, Howell Mountain</v>
      </c>
      <c r="E1427" s="9">
        <f>IFERROR(__xludf.DUMMYFUNCTION("""COMPUTED_VALUE"""),2015.0)</f>
        <v>2015</v>
      </c>
      <c r="F1427" s="9">
        <f>IFERROR(__xludf.DUMMYFUNCTION("""COMPUTED_VALUE"""),750.0)</f>
        <v>750</v>
      </c>
      <c r="G1427" s="9">
        <f>IFERROR(__xludf.DUMMYFUNCTION("""COMPUTED_VALUE"""),3.0)</f>
        <v>3</v>
      </c>
      <c r="H1427" s="10">
        <f>IFERROR(__xludf.DUMMYFUNCTION("""COMPUTED_VALUE"""),2.0)</f>
        <v>2</v>
      </c>
      <c r="I1427" s="11">
        <f>IFERROR(__xludf.DUMMYFUNCTION("""COMPUTED_VALUE"""),1405.0)</f>
        <v>1405</v>
      </c>
      <c r="J1427" s="9" t="str">
        <f>IFERROR(__xludf.DUMMYFUNCTION("""COMPUTED_VALUE"""),"UK")</f>
        <v>UK</v>
      </c>
      <c r="K1427" s="8"/>
      <c r="L1427" s="12"/>
      <c r="M1427" s="13"/>
      <c r="N1427" s="13" t="str">
        <f>IFERROR(__xludf.DUMMYFUNCTION("IF(ISBLANK(M1427),"""",M1427*GOOGLEFINANCE(""USDGBP""))"),"")</f>
        <v/>
      </c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</row>
    <row r="1428">
      <c r="A1428" s="8" t="str">
        <f>IFERROR(__xludf.DUMMYFUNCTION("""COMPUTED_VALUE"""),"118633820150600750")</f>
        <v>118633820150600750</v>
      </c>
      <c r="B1428" s="9" t="str">
        <f>IFERROR(__xludf.DUMMYFUNCTION("""COMPUTED_VALUE"""),"United States")</f>
        <v>United States</v>
      </c>
      <c r="C1428" s="9" t="str">
        <f>IFERROR(__xludf.DUMMYFUNCTION("""COMPUTED_VALUE"""),"california")</f>
        <v>california</v>
      </c>
      <c r="D1428" s="9" t="str">
        <f>IFERROR(__xludf.DUMMYFUNCTION("""COMPUTED_VALUE"""),"Abreu, Rothwell Hyde, Napa Valley")</f>
        <v>Abreu, Rothwell Hyde, Napa Valley</v>
      </c>
      <c r="E1428" s="9">
        <f>IFERROR(__xludf.DUMMYFUNCTION("""COMPUTED_VALUE"""),2015.0)</f>
        <v>2015</v>
      </c>
      <c r="F1428" s="9">
        <f>IFERROR(__xludf.DUMMYFUNCTION("""COMPUTED_VALUE"""),750.0)</f>
        <v>750</v>
      </c>
      <c r="G1428" s="9">
        <f>IFERROR(__xludf.DUMMYFUNCTION("""COMPUTED_VALUE"""),6.0)</f>
        <v>6</v>
      </c>
      <c r="H1428" s="10">
        <f>IFERROR(__xludf.DUMMYFUNCTION("""COMPUTED_VALUE"""),1.0)</f>
        <v>1</v>
      </c>
      <c r="I1428" s="11">
        <f>IFERROR(__xludf.DUMMYFUNCTION("""COMPUTED_VALUE"""),970.0)</f>
        <v>970</v>
      </c>
      <c r="J1428" s="9" t="str">
        <f>IFERROR(__xludf.DUMMYFUNCTION("""COMPUTED_VALUE"""),"UK")</f>
        <v>UK</v>
      </c>
      <c r="K1428" s="8"/>
      <c r="L1428" s="12"/>
      <c r="M1428" s="13"/>
      <c r="N1428" s="13" t="str">
        <f>IFERROR(__xludf.DUMMYFUNCTION("IF(ISBLANK(M1428),"""",M1428*GOOGLEFINANCE(""USDGBP""))"),"")</f>
        <v/>
      </c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</row>
    <row r="1429">
      <c r="A1429" s="8" t="str">
        <f>IFERROR(__xludf.DUMMYFUNCTION("""COMPUTED_VALUE"""),"118633820160600750")</f>
        <v>118633820160600750</v>
      </c>
      <c r="B1429" s="9" t="str">
        <f>IFERROR(__xludf.DUMMYFUNCTION("""COMPUTED_VALUE"""),"United States")</f>
        <v>United States</v>
      </c>
      <c r="C1429" s="9" t="str">
        <f>IFERROR(__xludf.DUMMYFUNCTION("""COMPUTED_VALUE"""),"california")</f>
        <v>california</v>
      </c>
      <c r="D1429" s="9" t="str">
        <f>IFERROR(__xludf.DUMMYFUNCTION("""COMPUTED_VALUE"""),"Abreu, Rothwell Hyde, Napa Valley")</f>
        <v>Abreu, Rothwell Hyde, Napa Valley</v>
      </c>
      <c r="E1429" s="9">
        <f>IFERROR(__xludf.DUMMYFUNCTION("""COMPUTED_VALUE"""),2016.0)</f>
        <v>2016</v>
      </c>
      <c r="F1429" s="9">
        <f>IFERROR(__xludf.DUMMYFUNCTION("""COMPUTED_VALUE"""),750.0)</f>
        <v>750</v>
      </c>
      <c r="G1429" s="9">
        <f>IFERROR(__xludf.DUMMYFUNCTION("""COMPUTED_VALUE"""),6.0)</f>
        <v>6</v>
      </c>
      <c r="H1429" s="10">
        <f>IFERROR(__xludf.DUMMYFUNCTION("""COMPUTED_VALUE"""),2.0)</f>
        <v>2</v>
      </c>
      <c r="I1429" s="11">
        <f>IFERROR(__xludf.DUMMYFUNCTION("""COMPUTED_VALUE"""),883.0)</f>
        <v>883</v>
      </c>
      <c r="J1429" s="9" t="str">
        <f>IFERROR(__xludf.DUMMYFUNCTION("""COMPUTED_VALUE"""),"UK")</f>
        <v>UK</v>
      </c>
      <c r="K1429" s="8"/>
      <c r="L1429" s="12"/>
      <c r="M1429" s="13"/>
      <c r="N1429" s="13" t="str">
        <f>IFERROR(__xludf.DUMMYFUNCTION("IF(ISBLANK(M1429),"""",M1429*GOOGLEFINANCE(""USDGBP""))"),"")</f>
        <v/>
      </c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</row>
    <row r="1430">
      <c r="A1430" s="8" t="str">
        <f>IFERROR(__xludf.DUMMYFUNCTION("""COMPUTED_VALUE"""),"117082320131200750")</f>
        <v>117082320131200750</v>
      </c>
      <c r="B1430" s="9" t="str">
        <f>IFERROR(__xludf.DUMMYFUNCTION("""COMPUTED_VALUE"""),"United States")</f>
        <v>United States</v>
      </c>
      <c r="C1430" s="9" t="str">
        <f>IFERROR(__xludf.DUMMYFUNCTION("""COMPUTED_VALUE"""),"california")</f>
        <v>california</v>
      </c>
      <c r="D1430" s="9" t="str">
        <f>IFERROR(__xludf.DUMMYFUNCTION("""COMPUTED_VALUE"""),"Au Bon Climat, Sanford &amp; Benedict Vineyard Pinot Noir, Santa Ynez Valley")</f>
        <v>Au Bon Climat, Sanford &amp; Benedict Vineyard Pinot Noir, Santa Ynez Valley</v>
      </c>
      <c r="E1430" s="9">
        <f>IFERROR(__xludf.DUMMYFUNCTION("""COMPUTED_VALUE"""),2013.0)</f>
        <v>2013</v>
      </c>
      <c r="F1430" s="9">
        <f>IFERROR(__xludf.DUMMYFUNCTION("""COMPUTED_VALUE"""),750.0)</f>
        <v>750</v>
      </c>
      <c r="G1430" s="9">
        <f>IFERROR(__xludf.DUMMYFUNCTION("""COMPUTED_VALUE"""),12.0)</f>
        <v>12</v>
      </c>
      <c r="H1430" s="10">
        <f>IFERROR(__xludf.DUMMYFUNCTION("""COMPUTED_VALUE"""),1.0)</f>
        <v>1</v>
      </c>
      <c r="I1430" s="11">
        <f>IFERROR(__xludf.DUMMYFUNCTION("""COMPUTED_VALUE"""),571.0)</f>
        <v>571</v>
      </c>
      <c r="J1430" s="9" t="str">
        <f>IFERROR(__xludf.DUMMYFUNCTION("""COMPUTED_VALUE"""),"UK")</f>
        <v>UK</v>
      </c>
      <c r="K1430" s="8"/>
      <c r="L1430" s="12"/>
      <c r="M1430" s="13"/>
      <c r="N1430" s="13" t="str">
        <f>IFERROR(__xludf.DUMMYFUNCTION("IF(ISBLANK(M1430),"""",M1430*GOOGLEFINANCE(""USDGBP""))"),"")</f>
        <v/>
      </c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</row>
    <row r="1431">
      <c r="A1431" s="8" t="str">
        <f>IFERROR(__xludf.DUMMYFUNCTION("""COMPUTED_VALUE"""),"142639520120600750")</f>
        <v>142639520120600750</v>
      </c>
      <c r="B1431" s="9" t="str">
        <f>IFERROR(__xludf.DUMMYFUNCTION("""COMPUTED_VALUE"""),"United States")</f>
        <v>United States</v>
      </c>
      <c r="C1431" s="9" t="str">
        <f>IFERROR(__xludf.DUMMYFUNCTION("""COMPUTED_VALUE"""),"california")</f>
        <v>california</v>
      </c>
      <c r="D1431" s="9" t="str">
        <f>IFERROR(__xludf.DUMMYFUNCTION("""COMPUTED_VALUE"""),"Bacio Divino, Cloudys Cabernet Sauvignon Janzen, Napa Valley")</f>
        <v>Bacio Divino, Cloudys Cabernet Sauvignon Janzen, Napa Valley</v>
      </c>
      <c r="E1431" s="9">
        <f>IFERROR(__xludf.DUMMYFUNCTION("""COMPUTED_VALUE"""),2012.0)</f>
        <v>2012</v>
      </c>
      <c r="F1431" s="9">
        <f>IFERROR(__xludf.DUMMYFUNCTION("""COMPUTED_VALUE"""),750.0)</f>
        <v>750</v>
      </c>
      <c r="G1431" s="9">
        <f>IFERROR(__xludf.DUMMYFUNCTION("""COMPUTED_VALUE"""),6.0)</f>
        <v>6</v>
      </c>
      <c r="H1431" s="10">
        <f>IFERROR(__xludf.DUMMYFUNCTION("""COMPUTED_VALUE"""),1.0)</f>
        <v>1</v>
      </c>
      <c r="I1431" s="11">
        <f>IFERROR(__xludf.DUMMYFUNCTION("""COMPUTED_VALUE"""),615.0)</f>
        <v>615</v>
      </c>
      <c r="J1431" s="9" t="str">
        <f>IFERROR(__xludf.DUMMYFUNCTION("""COMPUTED_VALUE"""),"UK")</f>
        <v>UK</v>
      </c>
      <c r="K1431" s="8"/>
      <c r="L1431" s="12"/>
      <c r="M1431" s="13"/>
      <c r="N1431" s="13" t="str">
        <f>IFERROR(__xludf.DUMMYFUNCTION("IF(ISBLANK(M1431),"""",M1431*GOOGLEFINANCE(""USDGBP""))"),"")</f>
        <v/>
      </c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</row>
    <row r="1432">
      <c r="A1432" s="8" t="str">
        <f>IFERROR(__xludf.DUMMYFUNCTION("""COMPUTED_VALUE"""),"171428120150600750")</f>
        <v>171428120150600750</v>
      </c>
      <c r="B1432" s="9" t="str">
        <f>IFERROR(__xludf.DUMMYFUNCTION("""COMPUTED_VALUE"""),"United States")</f>
        <v>United States</v>
      </c>
      <c r="C1432" s="9" t="str">
        <f>IFERROR(__xludf.DUMMYFUNCTION("""COMPUTED_VALUE"""),"california")</f>
        <v>california</v>
      </c>
      <c r="D1432" s="9" t="str">
        <f>IFERROR(__xludf.DUMMYFUNCTION("""COMPUTED_VALUE"""),"Bien Nacido, X Block Syrah, Santa Maria Valley")</f>
        <v>Bien Nacido, X Block Syrah, Santa Maria Valley</v>
      </c>
      <c r="E1432" s="9">
        <f>IFERROR(__xludf.DUMMYFUNCTION("""COMPUTED_VALUE"""),2015.0)</f>
        <v>2015</v>
      </c>
      <c r="F1432" s="9">
        <f>IFERROR(__xludf.DUMMYFUNCTION("""COMPUTED_VALUE"""),750.0)</f>
        <v>750</v>
      </c>
      <c r="G1432" s="9">
        <f>IFERROR(__xludf.DUMMYFUNCTION("""COMPUTED_VALUE"""),6.0)</f>
        <v>6</v>
      </c>
      <c r="H1432" s="10">
        <f>IFERROR(__xludf.DUMMYFUNCTION("""COMPUTED_VALUE"""),7.0)</f>
        <v>7</v>
      </c>
      <c r="I1432" s="11">
        <f>IFERROR(__xludf.DUMMYFUNCTION("""COMPUTED_VALUE"""),623.0)</f>
        <v>623</v>
      </c>
      <c r="J1432" s="9" t="str">
        <f>IFERROR(__xludf.DUMMYFUNCTION("""COMPUTED_VALUE"""),"UK")</f>
        <v>UK</v>
      </c>
      <c r="K1432" s="8"/>
      <c r="L1432" s="12"/>
      <c r="M1432" s="13"/>
      <c r="N1432" s="13" t="str">
        <f>IFERROR(__xludf.DUMMYFUNCTION("IF(ISBLANK(M1432),"""",M1432*GOOGLEFINANCE(""USDGBP""))"),"")</f>
        <v/>
      </c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</row>
    <row r="1433">
      <c r="A1433" s="8" t="str">
        <f>IFERROR(__xludf.DUMMYFUNCTION("""COMPUTED_VALUE"""),"113054620150600750")</f>
        <v>113054620150600750</v>
      </c>
      <c r="B1433" s="9" t="str">
        <f>IFERROR(__xludf.DUMMYFUNCTION("""COMPUTED_VALUE"""),"United States")</f>
        <v>United States</v>
      </c>
      <c r="C1433" s="9" t="str">
        <f>IFERROR(__xludf.DUMMYFUNCTION("""COMPUTED_VALUE"""),"california")</f>
        <v>california</v>
      </c>
      <c r="D1433" s="9" t="str">
        <f>IFERROR(__xludf.DUMMYFUNCTION("""COMPUTED_VALUE"""),"Bond, St Eden, Napa Valley")</f>
        <v>Bond, St Eden, Napa Valley</v>
      </c>
      <c r="E1433" s="9">
        <f>IFERROR(__xludf.DUMMYFUNCTION("""COMPUTED_VALUE"""),2015.0)</f>
        <v>2015</v>
      </c>
      <c r="F1433" s="9">
        <f>IFERROR(__xludf.DUMMYFUNCTION("""COMPUTED_VALUE"""),750.0)</f>
        <v>750</v>
      </c>
      <c r="G1433" s="9">
        <f>IFERROR(__xludf.DUMMYFUNCTION("""COMPUTED_VALUE"""),6.0)</f>
        <v>6</v>
      </c>
      <c r="H1433" s="10">
        <f>IFERROR(__xludf.DUMMYFUNCTION("""COMPUTED_VALUE"""),1.0)</f>
        <v>1</v>
      </c>
      <c r="I1433" s="11">
        <f>IFERROR(__xludf.DUMMYFUNCTION("""COMPUTED_VALUE"""),3239.0)</f>
        <v>3239</v>
      </c>
      <c r="J1433" s="9" t="str">
        <f>IFERROR(__xludf.DUMMYFUNCTION("""COMPUTED_VALUE"""),"UK")</f>
        <v>UK</v>
      </c>
      <c r="K1433" s="8"/>
      <c r="L1433" s="12"/>
      <c r="M1433" s="13"/>
      <c r="N1433" s="13" t="str">
        <f>IFERROR(__xludf.DUMMYFUNCTION("IF(ISBLANK(M1433),"""",M1433*GOOGLEFINANCE(""USDGBP""))"),"")</f>
        <v/>
      </c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</row>
    <row r="1434">
      <c r="A1434" s="8" t="str">
        <f>IFERROR(__xludf.DUMMYFUNCTION("""COMPUTED_VALUE"""),"112174020060300750")</f>
        <v>112174020060300750</v>
      </c>
      <c r="B1434" s="9" t="str">
        <f>IFERROR(__xludf.DUMMYFUNCTION("""COMPUTED_VALUE"""),"United States")</f>
        <v>United States</v>
      </c>
      <c r="C1434" s="9" t="str">
        <f>IFERROR(__xludf.DUMMYFUNCTION("""COMPUTED_VALUE"""),"california")</f>
        <v>california</v>
      </c>
      <c r="D1434" s="9" t="str">
        <f>IFERROR(__xludf.DUMMYFUNCTION("""COMPUTED_VALUE"""),"Colgin, Cariad, Napa Valley")</f>
        <v>Colgin, Cariad, Napa Valley</v>
      </c>
      <c r="E1434" s="9">
        <f>IFERROR(__xludf.DUMMYFUNCTION("""COMPUTED_VALUE"""),2006.0)</f>
        <v>2006</v>
      </c>
      <c r="F1434" s="9">
        <f>IFERROR(__xludf.DUMMYFUNCTION("""COMPUTED_VALUE"""),750.0)</f>
        <v>750</v>
      </c>
      <c r="G1434" s="9">
        <f>IFERROR(__xludf.DUMMYFUNCTION("""COMPUTED_VALUE"""),3.0)</f>
        <v>3</v>
      </c>
      <c r="H1434" s="10">
        <f>IFERROR(__xludf.DUMMYFUNCTION("""COMPUTED_VALUE"""),1.0)</f>
        <v>1</v>
      </c>
      <c r="I1434" s="11">
        <f>IFERROR(__xludf.DUMMYFUNCTION("""COMPUTED_VALUE"""),930.0)</f>
        <v>930</v>
      </c>
      <c r="J1434" s="9" t="str">
        <f>IFERROR(__xludf.DUMMYFUNCTION("""COMPUTED_VALUE"""),"UK")</f>
        <v>UK</v>
      </c>
      <c r="K1434" s="8"/>
      <c r="L1434" s="12"/>
      <c r="M1434" s="13"/>
      <c r="N1434" s="13" t="str">
        <f>IFERROR(__xludf.DUMMYFUNCTION("IF(ISBLANK(M1434),"""",M1434*GOOGLEFINANCE(""USDGBP""))"),"")</f>
        <v/>
      </c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</row>
    <row r="1435">
      <c r="A1435" s="8" t="str">
        <f>IFERROR(__xludf.DUMMYFUNCTION("""COMPUTED_VALUE"""),"112174020150300750")</f>
        <v>112174020150300750</v>
      </c>
      <c r="B1435" s="9" t="str">
        <f>IFERROR(__xludf.DUMMYFUNCTION("""COMPUTED_VALUE"""),"United States")</f>
        <v>United States</v>
      </c>
      <c r="C1435" s="9" t="str">
        <f>IFERROR(__xludf.DUMMYFUNCTION("""COMPUTED_VALUE"""),"california")</f>
        <v>california</v>
      </c>
      <c r="D1435" s="9" t="str">
        <f>IFERROR(__xludf.DUMMYFUNCTION("""COMPUTED_VALUE"""),"Colgin, Cariad, Napa Valley")</f>
        <v>Colgin, Cariad, Napa Valley</v>
      </c>
      <c r="E1435" s="9">
        <f>IFERROR(__xludf.DUMMYFUNCTION("""COMPUTED_VALUE"""),2015.0)</f>
        <v>2015</v>
      </c>
      <c r="F1435" s="9">
        <f>IFERROR(__xludf.DUMMYFUNCTION("""COMPUTED_VALUE"""),750.0)</f>
        <v>750</v>
      </c>
      <c r="G1435" s="9">
        <f>IFERROR(__xludf.DUMMYFUNCTION("""COMPUTED_VALUE"""),3.0)</f>
        <v>3</v>
      </c>
      <c r="H1435" s="10">
        <f>IFERROR(__xludf.DUMMYFUNCTION("""COMPUTED_VALUE"""),1.0)</f>
        <v>1</v>
      </c>
      <c r="I1435" s="11">
        <f>IFERROR(__xludf.DUMMYFUNCTION("""COMPUTED_VALUE"""),1227.0)</f>
        <v>1227</v>
      </c>
      <c r="J1435" s="9" t="str">
        <f>IFERROR(__xludf.DUMMYFUNCTION("""COMPUTED_VALUE"""),"UK")</f>
        <v>UK</v>
      </c>
      <c r="K1435" s="8"/>
      <c r="L1435" s="12"/>
      <c r="M1435" s="13"/>
      <c r="N1435" s="13" t="str">
        <f>IFERROR(__xludf.DUMMYFUNCTION("IF(ISBLANK(M1435),"""",M1435*GOOGLEFINANCE(""USDGBP""))"),"")</f>
        <v/>
      </c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</row>
    <row r="1436">
      <c r="A1436" s="8" t="str">
        <f>IFERROR(__xludf.DUMMYFUNCTION("""COMPUTED_VALUE"""),"112174020160300750")</f>
        <v>112174020160300750</v>
      </c>
      <c r="B1436" s="9" t="str">
        <f>IFERROR(__xludf.DUMMYFUNCTION("""COMPUTED_VALUE"""),"United States")</f>
        <v>United States</v>
      </c>
      <c r="C1436" s="9" t="str">
        <f>IFERROR(__xludf.DUMMYFUNCTION("""COMPUTED_VALUE"""),"california")</f>
        <v>california</v>
      </c>
      <c r="D1436" s="9" t="str">
        <f>IFERROR(__xludf.DUMMYFUNCTION("""COMPUTED_VALUE"""),"Colgin, Cariad, Napa Valley")</f>
        <v>Colgin, Cariad, Napa Valley</v>
      </c>
      <c r="E1436" s="9">
        <f>IFERROR(__xludf.DUMMYFUNCTION("""COMPUTED_VALUE"""),2016.0)</f>
        <v>2016</v>
      </c>
      <c r="F1436" s="9">
        <f>IFERROR(__xludf.DUMMYFUNCTION("""COMPUTED_VALUE"""),750.0)</f>
        <v>750</v>
      </c>
      <c r="G1436" s="9">
        <f>IFERROR(__xludf.DUMMYFUNCTION("""COMPUTED_VALUE"""),3.0)</f>
        <v>3</v>
      </c>
      <c r="H1436" s="10">
        <f>IFERROR(__xludf.DUMMYFUNCTION("""COMPUTED_VALUE"""),1.0)</f>
        <v>1</v>
      </c>
      <c r="I1436" s="11">
        <f>IFERROR(__xludf.DUMMYFUNCTION("""COMPUTED_VALUE"""),1422.0)</f>
        <v>1422</v>
      </c>
      <c r="J1436" s="9" t="str">
        <f>IFERROR(__xludf.DUMMYFUNCTION("""COMPUTED_VALUE"""),"UK")</f>
        <v>UK</v>
      </c>
      <c r="K1436" s="8"/>
      <c r="L1436" s="12"/>
      <c r="M1436" s="13"/>
      <c r="N1436" s="13" t="str">
        <f>IFERROR(__xludf.DUMMYFUNCTION("IF(ISBLANK(M1436),"""",M1436*GOOGLEFINANCE(""USDGBP""))"),"")</f>
        <v/>
      </c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</row>
    <row r="1437">
      <c r="A1437" s="8" t="str">
        <f>IFERROR(__xludf.DUMMYFUNCTION("""COMPUTED_VALUE"""),"112175320060300750")</f>
        <v>112175320060300750</v>
      </c>
      <c r="B1437" s="9" t="str">
        <f>IFERROR(__xludf.DUMMYFUNCTION("""COMPUTED_VALUE"""),"United States")</f>
        <v>United States</v>
      </c>
      <c r="C1437" s="9" t="str">
        <f>IFERROR(__xludf.DUMMYFUNCTION("""COMPUTED_VALUE"""),"california")</f>
        <v>california</v>
      </c>
      <c r="D1437" s="9" t="str">
        <f>IFERROR(__xludf.DUMMYFUNCTION("""COMPUTED_VALUE"""),"Colgin, Herb Lamb Vineyard, Napa Valley")</f>
        <v>Colgin, Herb Lamb Vineyard, Napa Valley</v>
      </c>
      <c r="E1437" s="9">
        <f>IFERROR(__xludf.DUMMYFUNCTION("""COMPUTED_VALUE"""),2006.0)</f>
        <v>2006</v>
      </c>
      <c r="F1437" s="9">
        <f>IFERROR(__xludf.DUMMYFUNCTION("""COMPUTED_VALUE"""),750.0)</f>
        <v>750</v>
      </c>
      <c r="G1437" s="9">
        <f>IFERROR(__xludf.DUMMYFUNCTION("""COMPUTED_VALUE"""),3.0)</f>
        <v>3</v>
      </c>
      <c r="H1437" s="10">
        <f>IFERROR(__xludf.DUMMYFUNCTION("""COMPUTED_VALUE"""),1.0)</f>
        <v>1</v>
      </c>
      <c r="I1437" s="11">
        <f>IFERROR(__xludf.DUMMYFUNCTION("""COMPUTED_VALUE"""),1060.0)</f>
        <v>1060</v>
      </c>
      <c r="J1437" s="9" t="str">
        <f>IFERROR(__xludf.DUMMYFUNCTION("""COMPUTED_VALUE"""),"UK")</f>
        <v>UK</v>
      </c>
      <c r="K1437" s="8"/>
      <c r="L1437" s="12"/>
      <c r="M1437" s="13"/>
      <c r="N1437" s="13" t="str">
        <f>IFERROR(__xludf.DUMMYFUNCTION("IF(ISBLANK(M1437),"""",M1437*GOOGLEFINANCE(""USDGBP""))"),"")</f>
        <v/>
      </c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</row>
    <row r="1438">
      <c r="A1438" s="8" t="str">
        <f>IFERROR(__xludf.DUMMYFUNCTION("""COMPUTED_VALUE"""),"112175320070300750")</f>
        <v>112175320070300750</v>
      </c>
      <c r="B1438" s="9" t="str">
        <f>IFERROR(__xludf.DUMMYFUNCTION("""COMPUTED_VALUE"""),"United States")</f>
        <v>United States</v>
      </c>
      <c r="C1438" s="9" t="str">
        <f>IFERROR(__xludf.DUMMYFUNCTION("""COMPUTED_VALUE"""),"california")</f>
        <v>california</v>
      </c>
      <c r="D1438" s="9" t="str">
        <f>IFERROR(__xludf.DUMMYFUNCTION("""COMPUTED_VALUE"""),"Colgin, Herb Lamb Vineyard, Napa Valley")</f>
        <v>Colgin, Herb Lamb Vineyard, Napa Valley</v>
      </c>
      <c r="E1438" s="9">
        <f>IFERROR(__xludf.DUMMYFUNCTION("""COMPUTED_VALUE"""),2007.0)</f>
        <v>2007</v>
      </c>
      <c r="F1438" s="9">
        <f>IFERROR(__xludf.DUMMYFUNCTION("""COMPUTED_VALUE"""),750.0)</f>
        <v>750</v>
      </c>
      <c r="G1438" s="9">
        <f>IFERROR(__xludf.DUMMYFUNCTION("""COMPUTED_VALUE"""),3.0)</f>
        <v>3</v>
      </c>
      <c r="H1438" s="10">
        <f>IFERROR(__xludf.DUMMYFUNCTION("""COMPUTED_VALUE"""),1.0)</f>
        <v>1</v>
      </c>
      <c r="I1438" s="11">
        <f>IFERROR(__xludf.DUMMYFUNCTION("""COMPUTED_VALUE"""),1266.0)</f>
        <v>1266</v>
      </c>
      <c r="J1438" s="9" t="str">
        <f>IFERROR(__xludf.DUMMYFUNCTION("""COMPUTED_VALUE"""),"UK")</f>
        <v>UK</v>
      </c>
      <c r="K1438" s="8"/>
      <c r="L1438" s="12"/>
      <c r="M1438" s="13"/>
      <c r="N1438" s="13" t="str">
        <f>IFERROR(__xludf.DUMMYFUNCTION("IF(ISBLANK(M1438),"""",M1438*GOOGLEFINANCE(""USDGBP""))"),"")</f>
        <v/>
      </c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  <c r="GG1438" s="8"/>
      <c r="GH1438" s="8"/>
      <c r="GI1438" s="8"/>
      <c r="GJ1438" s="8"/>
      <c r="GK1438" s="8"/>
      <c r="GL1438" s="8"/>
      <c r="GM1438" s="8"/>
      <c r="GN1438" s="8"/>
      <c r="GO1438" s="8"/>
      <c r="GP1438" s="8"/>
      <c r="GQ1438" s="8"/>
      <c r="GR1438" s="8"/>
      <c r="GS1438" s="8"/>
      <c r="GT1438" s="8"/>
      <c r="GU1438" s="8"/>
      <c r="GV1438" s="8"/>
      <c r="GW1438" s="8"/>
      <c r="GX1438" s="8"/>
    </row>
    <row r="1439">
      <c r="A1439" s="8" t="str">
        <f>IFERROR(__xludf.DUMMYFUNCTION("""COMPUTED_VALUE"""),"114116020130300750")</f>
        <v>114116020130300750</v>
      </c>
      <c r="B1439" s="9" t="str">
        <f>IFERROR(__xludf.DUMMYFUNCTION("""COMPUTED_VALUE"""),"United States")</f>
        <v>United States</v>
      </c>
      <c r="C1439" s="9" t="str">
        <f>IFERROR(__xludf.DUMMYFUNCTION("""COMPUTED_VALUE"""),"california")</f>
        <v>california</v>
      </c>
      <c r="D1439" s="9" t="str">
        <f>IFERROR(__xludf.DUMMYFUNCTION("""COMPUTED_VALUE"""),"Colgin, IX Estate, Napa Valley")</f>
        <v>Colgin, IX Estate, Napa Valley</v>
      </c>
      <c r="E1439" s="9">
        <f>IFERROR(__xludf.DUMMYFUNCTION("""COMPUTED_VALUE"""),2013.0)</f>
        <v>2013</v>
      </c>
      <c r="F1439" s="9">
        <f>IFERROR(__xludf.DUMMYFUNCTION("""COMPUTED_VALUE"""),750.0)</f>
        <v>750</v>
      </c>
      <c r="G1439" s="9">
        <f>IFERROR(__xludf.DUMMYFUNCTION("""COMPUTED_VALUE"""),3.0)</f>
        <v>3</v>
      </c>
      <c r="H1439" s="10">
        <f>IFERROR(__xludf.DUMMYFUNCTION("""COMPUTED_VALUE"""),1.0)</f>
        <v>1</v>
      </c>
      <c r="I1439" s="11">
        <f>IFERROR(__xludf.DUMMYFUNCTION("""COMPUTED_VALUE"""),1595.0)</f>
        <v>1595</v>
      </c>
      <c r="J1439" s="9" t="str">
        <f>IFERROR(__xludf.DUMMYFUNCTION("""COMPUTED_VALUE"""),"UK")</f>
        <v>UK</v>
      </c>
      <c r="K1439" s="8"/>
      <c r="L1439" s="12"/>
      <c r="M1439" s="13"/>
      <c r="N1439" s="13" t="str">
        <f>IFERROR(__xludf.DUMMYFUNCTION("IF(ISBLANK(M1439),"""",M1439*GOOGLEFINANCE(""USDGBP""))"),"")</f>
        <v/>
      </c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</row>
    <row r="1440">
      <c r="A1440" s="8" t="str">
        <f>IFERROR(__xludf.DUMMYFUNCTION("""COMPUTED_VALUE"""),"114116020140300750")</f>
        <v>114116020140300750</v>
      </c>
      <c r="B1440" s="9" t="str">
        <f>IFERROR(__xludf.DUMMYFUNCTION("""COMPUTED_VALUE"""),"United States")</f>
        <v>United States</v>
      </c>
      <c r="C1440" s="9" t="str">
        <f>IFERROR(__xludf.DUMMYFUNCTION("""COMPUTED_VALUE"""),"california")</f>
        <v>california</v>
      </c>
      <c r="D1440" s="9" t="str">
        <f>IFERROR(__xludf.DUMMYFUNCTION("""COMPUTED_VALUE"""),"Colgin, IX Estate, Napa Valley")</f>
        <v>Colgin, IX Estate, Napa Valley</v>
      </c>
      <c r="E1440" s="9">
        <f>IFERROR(__xludf.DUMMYFUNCTION("""COMPUTED_VALUE"""),2014.0)</f>
        <v>2014</v>
      </c>
      <c r="F1440" s="9">
        <f>IFERROR(__xludf.DUMMYFUNCTION("""COMPUTED_VALUE"""),750.0)</f>
        <v>750</v>
      </c>
      <c r="G1440" s="9">
        <f>IFERROR(__xludf.DUMMYFUNCTION("""COMPUTED_VALUE"""),3.0)</f>
        <v>3</v>
      </c>
      <c r="H1440" s="10">
        <f>IFERROR(__xludf.DUMMYFUNCTION("""COMPUTED_VALUE"""),1.0)</f>
        <v>1</v>
      </c>
      <c r="I1440" s="11">
        <f>IFERROR(__xludf.DUMMYFUNCTION("""COMPUTED_VALUE"""),1152.0)</f>
        <v>1152</v>
      </c>
      <c r="J1440" s="9" t="str">
        <f>IFERROR(__xludf.DUMMYFUNCTION("""COMPUTED_VALUE"""),"UK")</f>
        <v>UK</v>
      </c>
      <c r="K1440" s="8"/>
      <c r="L1440" s="12"/>
      <c r="M1440" s="13"/>
      <c r="N1440" s="13" t="str">
        <f>IFERROR(__xludf.DUMMYFUNCTION("IF(ISBLANK(M1440),"""",M1440*GOOGLEFINANCE(""USDGBP""))"),"")</f>
        <v/>
      </c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</row>
    <row r="1441">
      <c r="A1441" s="8" t="str">
        <f>IFERROR(__xludf.DUMMYFUNCTION("""COMPUTED_VALUE"""),"114116020150300750")</f>
        <v>114116020150300750</v>
      </c>
      <c r="B1441" s="9" t="str">
        <f>IFERROR(__xludf.DUMMYFUNCTION("""COMPUTED_VALUE"""),"United States")</f>
        <v>United States</v>
      </c>
      <c r="C1441" s="9" t="str">
        <f>IFERROR(__xludf.DUMMYFUNCTION("""COMPUTED_VALUE"""),"california")</f>
        <v>california</v>
      </c>
      <c r="D1441" s="9" t="str">
        <f>IFERROR(__xludf.DUMMYFUNCTION("""COMPUTED_VALUE"""),"Colgin, IX Estate, Napa Valley")</f>
        <v>Colgin, IX Estate, Napa Valley</v>
      </c>
      <c r="E1441" s="9">
        <f>IFERROR(__xludf.DUMMYFUNCTION("""COMPUTED_VALUE"""),2015.0)</f>
        <v>2015</v>
      </c>
      <c r="F1441" s="9">
        <f>IFERROR(__xludf.DUMMYFUNCTION("""COMPUTED_VALUE"""),750.0)</f>
        <v>750</v>
      </c>
      <c r="G1441" s="9">
        <f>IFERROR(__xludf.DUMMYFUNCTION("""COMPUTED_VALUE"""),3.0)</f>
        <v>3</v>
      </c>
      <c r="H1441" s="10">
        <f>IFERROR(__xludf.DUMMYFUNCTION("""COMPUTED_VALUE"""),2.0)</f>
        <v>2</v>
      </c>
      <c r="I1441" s="11">
        <f>IFERROR(__xludf.DUMMYFUNCTION("""COMPUTED_VALUE"""),1653.0)</f>
        <v>1653</v>
      </c>
      <c r="J1441" s="9" t="str">
        <f>IFERROR(__xludf.DUMMYFUNCTION("""COMPUTED_VALUE"""),"UK")</f>
        <v>UK</v>
      </c>
      <c r="K1441" s="8"/>
      <c r="L1441" s="12"/>
      <c r="M1441" s="13"/>
      <c r="N1441" s="13" t="str">
        <f>IFERROR(__xludf.DUMMYFUNCTION("IF(ISBLANK(M1441),"""",M1441*GOOGLEFINANCE(""USDGBP""))"),"")</f>
        <v/>
      </c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</row>
    <row r="1442">
      <c r="A1442" s="8" t="str">
        <f>IFERROR(__xludf.DUMMYFUNCTION("""COMPUTED_VALUE"""),"114116020160300750")</f>
        <v>114116020160300750</v>
      </c>
      <c r="B1442" s="9" t="str">
        <f>IFERROR(__xludf.DUMMYFUNCTION("""COMPUTED_VALUE"""),"United States")</f>
        <v>United States</v>
      </c>
      <c r="C1442" s="9" t="str">
        <f>IFERROR(__xludf.DUMMYFUNCTION("""COMPUTED_VALUE"""),"california")</f>
        <v>california</v>
      </c>
      <c r="D1442" s="9" t="str">
        <f>IFERROR(__xludf.DUMMYFUNCTION("""COMPUTED_VALUE"""),"Colgin, IX Estate, Napa Valley")</f>
        <v>Colgin, IX Estate, Napa Valley</v>
      </c>
      <c r="E1442" s="9">
        <f>IFERROR(__xludf.DUMMYFUNCTION("""COMPUTED_VALUE"""),2016.0)</f>
        <v>2016</v>
      </c>
      <c r="F1442" s="9">
        <f>IFERROR(__xludf.DUMMYFUNCTION("""COMPUTED_VALUE"""),750.0)</f>
        <v>750</v>
      </c>
      <c r="G1442" s="9">
        <f>IFERROR(__xludf.DUMMYFUNCTION("""COMPUTED_VALUE"""),3.0)</f>
        <v>3</v>
      </c>
      <c r="H1442" s="10">
        <f>IFERROR(__xludf.DUMMYFUNCTION("""COMPUTED_VALUE"""),1.0)</f>
        <v>1</v>
      </c>
      <c r="I1442" s="11">
        <f>IFERROR(__xludf.DUMMYFUNCTION("""COMPUTED_VALUE"""),1430.0)</f>
        <v>1430</v>
      </c>
      <c r="J1442" s="9" t="str">
        <f>IFERROR(__xludf.DUMMYFUNCTION("""COMPUTED_VALUE"""),"UK")</f>
        <v>UK</v>
      </c>
      <c r="K1442" s="8"/>
      <c r="L1442" s="12"/>
      <c r="M1442" s="13"/>
      <c r="N1442" s="13" t="str">
        <f>IFERROR(__xludf.DUMMYFUNCTION("IF(ISBLANK(M1442),"""",M1442*GOOGLEFINANCE(""USDGBP""))"),"")</f>
        <v/>
      </c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</row>
    <row r="1443">
      <c r="A1443" s="8" t="str">
        <f>IFERROR(__xludf.DUMMYFUNCTION("""COMPUTED_VALUE"""),"114116020180300750")</f>
        <v>114116020180300750</v>
      </c>
      <c r="B1443" s="9" t="str">
        <f>IFERROR(__xludf.DUMMYFUNCTION("""COMPUTED_VALUE"""),"United States")</f>
        <v>United States</v>
      </c>
      <c r="C1443" s="9" t="str">
        <f>IFERROR(__xludf.DUMMYFUNCTION("""COMPUTED_VALUE"""),"california")</f>
        <v>california</v>
      </c>
      <c r="D1443" s="9" t="str">
        <f>IFERROR(__xludf.DUMMYFUNCTION("""COMPUTED_VALUE"""),"Colgin, IX Estate, Napa Valley")</f>
        <v>Colgin, IX Estate, Napa Valley</v>
      </c>
      <c r="E1443" s="9">
        <f>IFERROR(__xludf.DUMMYFUNCTION("""COMPUTED_VALUE"""),2018.0)</f>
        <v>2018</v>
      </c>
      <c r="F1443" s="9">
        <f>IFERROR(__xludf.DUMMYFUNCTION("""COMPUTED_VALUE"""),750.0)</f>
        <v>750</v>
      </c>
      <c r="G1443" s="9">
        <f>IFERROR(__xludf.DUMMYFUNCTION("""COMPUTED_VALUE"""),3.0)</f>
        <v>3</v>
      </c>
      <c r="H1443" s="10">
        <f>IFERROR(__xludf.DUMMYFUNCTION("""COMPUTED_VALUE"""),6.0)</f>
        <v>6</v>
      </c>
      <c r="I1443" s="11">
        <f>IFERROR(__xludf.DUMMYFUNCTION("""COMPUTED_VALUE"""),1529.0)</f>
        <v>1529</v>
      </c>
      <c r="J1443" s="9" t="str">
        <f>IFERROR(__xludf.DUMMYFUNCTION("""COMPUTED_VALUE"""),"UK")</f>
        <v>UK</v>
      </c>
      <c r="K1443" s="8"/>
      <c r="L1443" s="12"/>
      <c r="M1443" s="13"/>
      <c r="N1443" s="13" t="str">
        <f>IFERROR(__xludf.DUMMYFUNCTION("IF(ISBLANK(M1443),"""",M1443*GOOGLEFINANCE(""USDGBP""))"),"")</f>
        <v/>
      </c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</row>
    <row r="1444">
      <c r="A1444" s="8" t="str">
        <f>IFERROR(__xludf.DUMMYFUNCTION("""COMPUTED_VALUE"""),"112176620040300750")</f>
        <v>112176620040300750</v>
      </c>
      <c r="B1444" s="9" t="str">
        <f>IFERROR(__xludf.DUMMYFUNCTION("""COMPUTED_VALUE"""),"United States")</f>
        <v>United States</v>
      </c>
      <c r="C1444" s="9" t="str">
        <f>IFERROR(__xludf.DUMMYFUNCTION("""COMPUTED_VALUE"""),"california")</f>
        <v>california</v>
      </c>
      <c r="D1444" s="9" t="str">
        <f>IFERROR(__xludf.DUMMYFUNCTION("""COMPUTED_VALUE"""),"Colgin, Tychson Hill, Napa Valley")</f>
        <v>Colgin, Tychson Hill, Napa Valley</v>
      </c>
      <c r="E1444" s="9">
        <f>IFERROR(__xludf.DUMMYFUNCTION("""COMPUTED_VALUE"""),2004.0)</f>
        <v>2004</v>
      </c>
      <c r="F1444" s="9">
        <f>IFERROR(__xludf.DUMMYFUNCTION("""COMPUTED_VALUE"""),750.0)</f>
        <v>750</v>
      </c>
      <c r="G1444" s="9">
        <f>IFERROR(__xludf.DUMMYFUNCTION("""COMPUTED_VALUE"""),3.0)</f>
        <v>3</v>
      </c>
      <c r="H1444" s="10">
        <f>IFERROR(__xludf.DUMMYFUNCTION("""COMPUTED_VALUE"""),1.0)</f>
        <v>1</v>
      </c>
      <c r="I1444" s="11">
        <f>IFERROR(__xludf.DUMMYFUNCTION("""COMPUTED_VALUE"""),1215.0)</f>
        <v>1215</v>
      </c>
      <c r="J1444" s="9" t="str">
        <f>IFERROR(__xludf.DUMMYFUNCTION("""COMPUTED_VALUE"""),"UK")</f>
        <v>UK</v>
      </c>
      <c r="K1444" s="8"/>
      <c r="L1444" s="12"/>
      <c r="M1444" s="13"/>
      <c r="N1444" s="13" t="str">
        <f>IFERROR(__xludf.DUMMYFUNCTION("IF(ISBLANK(M1444),"""",M1444*GOOGLEFINANCE(""USDGBP""))"),"")</f>
        <v/>
      </c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</row>
    <row r="1445">
      <c r="A1445" s="8" t="str">
        <f>IFERROR(__xludf.DUMMYFUNCTION("""COMPUTED_VALUE"""),"118654320130600750")</f>
        <v>118654320130600750</v>
      </c>
      <c r="B1445" s="9" t="str">
        <f>IFERROR(__xludf.DUMMYFUNCTION("""COMPUTED_VALUE"""),"United States")</f>
        <v>United States</v>
      </c>
      <c r="C1445" s="9" t="str">
        <f>IFERROR(__xludf.DUMMYFUNCTION("""COMPUTED_VALUE"""),"california")</f>
        <v>california</v>
      </c>
      <c r="D1445" s="9" t="str">
        <f>IFERROR(__xludf.DUMMYFUNCTION("""COMPUTED_VALUE"""),"Continuum, Napa Valley")</f>
        <v>Continuum, Napa Valley</v>
      </c>
      <c r="E1445" s="9">
        <f>IFERROR(__xludf.DUMMYFUNCTION("""COMPUTED_VALUE"""),2013.0)</f>
        <v>2013</v>
      </c>
      <c r="F1445" s="9">
        <f>IFERROR(__xludf.DUMMYFUNCTION("""COMPUTED_VALUE"""),750.0)</f>
        <v>750</v>
      </c>
      <c r="G1445" s="9">
        <f>IFERROR(__xludf.DUMMYFUNCTION("""COMPUTED_VALUE"""),6.0)</f>
        <v>6</v>
      </c>
      <c r="H1445" s="10">
        <f>IFERROR(__xludf.DUMMYFUNCTION("""COMPUTED_VALUE"""),3.0)</f>
        <v>3</v>
      </c>
      <c r="I1445" s="11">
        <f>IFERROR(__xludf.DUMMYFUNCTION("""COMPUTED_VALUE"""),1125.0)</f>
        <v>1125</v>
      </c>
      <c r="J1445" s="9" t="str">
        <f>IFERROR(__xludf.DUMMYFUNCTION("""COMPUTED_VALUE"""),"UK")</f>
        <v>UK</v>
      </c>
      <c r="K1445" s="8"/>
      <c r="L1445" s="12"/>
      <c r="M1445" s="13"/>
      <c r="N1445" s="13" t="str">
        <f>IFERROR(__xludf.DUMMYFUNCTION("IF(ISBLANK(M1445),"""",M1445*GOOGLEFINANCE(""USDGBP""))"),"")</f>
        <v/>
      </c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</row>
    <row r="1446">
      <c r="A1446" s="8" t="str">
        <f>IFERROR(__xludf.DUMMYFUNCTION("""COMPUTED_VALUE"""),"118654320160600750")</f>
        <v>118654320160600750</v>
      </c>
      <c r="B1446" s="9" t="str">
        <f>IFERROR(__xludf.DUMMYFUNCTION("""COMPUTED_VALUE"""),"United States")</f>
        <v>United States</v>
      </c>
      <c r="C1446" s="9" t="str">
        <f>IFERROR(__xludf.DUMMYFUNCTION("""COMPUTED_VALUE"""),"california")</f>
        <v>california</v>
      </c>
      <c r="D1446" s="9" t="str">
        <f>IFERROR(__xludf.DUMMYFUNCTION("""COMPUTED_VALUE"""),"Continuum, Napa Valley")</f>
        <v>Continuum, Napa Valley</v>
      </c>
      <c r="E1446" s="9">
        <f>IFERROR(__xludf.DUMMYFUNCTION("""COMPUTED_VALUE"""),2016.0)</f>
        <v>2016</v>
      </c>
      <c r="F1446" s="9">
        <f>IFERROR(__xludf.DUMMYFUNCTION("""COMPUTED_VALUE"""),750.0)</f>
        <v>750</v>
      </c>
      <c r="G1446" s="9">
        <f>IFERROR(__xludf.DUMMYFUNCTION("""COMPUTED_VALUE"""),6.0)</f>
        <v>6</v>
      </c>
      <c r="H1446" s="10">
        <f>IFERROR(__xludf.DUMMYFUNCTION("""COMPUTED_VALUE"""),4.0)</f>
        <v>4</v>
      </c>
      <c r="I1446" s="11">
        <f>IFERROR(__xludf.DUMMYFUNCTION("""COMPUTED_VALUE"""),1297.0)</f>
        <v>1297</v>
      </c>
      <c r="J1446" s="9" t="str">
        <f>IFERROR(__xludf.DUMMYFUNCTION("""COMPUTED_VALUE"""),"UK")</f>
        <v>UK</v>
      </c>
      <c r="K1446" s="8"/>
      <c r="L1446" s="12"/>
      <c r="M1446" s="13"/>
      <c r="N1446" s="13" t="str">
        <f>IFERROR(__xludf.DUMMYFUNCTION("IF(ISBLANK(M1446),"""",M1446*GOOGLEFINANCE(""USDGBP""))"),"")</f>
        <v/>
      </c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</row>
    <row r="1447">
      <c r="A1447" s="8" t="str">
        <f>IFERROR(__xludf.DUMMYFUNCTION("""COMPUTED_VALUE"""),"118654320170600750")</f>
        <v>118654320170600750</v>
      </c>
      <c r="B1447" s="9" t="str">
        <f>IFERROR(__xludf.DUMMYFUNCTION("""COMPUTED_VALUE"""),"United States")</f>
        <v>United States</v>
      </c>
      <c r="C1447" s="9" t="str">
        <f>IFERROR(__xludf.DUMMYFUNCTION("""COMPUTED_VALUE"""),"california")</f>
        <v>california</v>
      </c>
      <c r="D1447" s="9" t="str">
        <f>IFERROR(__xludf.DUMMYFUNCTION("""COMPUTED_VALUE"""),"Continuum, Napa Valley")</f>
        <v>Continuum, Napa Valley</v>
      </c>
      <c r="E1447" s="9">
        <f>IFERROR(__xludf.DUMMYFUNCTION("""COMPUTED_VALUE"""),2017.0)</f>
        <v>2017</v>
      </c>
      <c r="F1447" s="9">
        <f>IFERROR(__xludf.DUMMYFUNCTION("""COMPUTED_VALUE"""),750.0)</f>
        <v>750</v>
      </c>
      <c r="G1447" s="9">
        <f>IFERROR(__xludf.DUMMYFUNCTION("""COMPUTED_VALUE"""),6.0)</f>
        <v>6</v>
      </c>
      <c r="H1447" s="10">
        <f>IFERROR(__xludf.DUMMYFUNCTION("""COMPUTED_VALUE"""),2.0)</f>
        <v>2</v>
      </c>
      <c r="I1447" s="11">
        <f>IFERROR(__xludf.DUMMYFUNCTION("""COMPUTED_VALUE"""),1111.0)</f>
        <v>1111</v>
      </c>
      <c r="J1447" s="9" t="str">
        <f>IFERROR(__xludf.DUMMYFUNCTION("""COMPUTED_VALUE"""),"UK")</f>
        <v>UK</v>
      </c>
      <c r="K1447" s="8"/>
      <c r="L1447" s="12"/>
      <c r="M1447" s="13"/>
      <c r="N1447" s="13" t="str">
        <f>IFERROR(__xludf.DUMMYFUNCTION("IF(ISBLANK(M1447),"""",M1447*GOOGLEFINANCE(""USDGBP""))"),"")</f>
        <v/>
      </c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</row>
    <row r="1448">
      <c r="A1448" s="8" t="str">
        <f>IFERROR(__xludf.DUMMYFUNCTION("""COMPUTED_VALUE"""),"168138320160300750")</f>
        <v>168138320160300750</v>
      </c>
      <c r="B1448" s="9" t="str">
        <f>IFERROR(__xludf.DUMMYFUNCTION("""COMPUTED_VALUE"""),"United States")</f>
        <v>United States</v>
      </c>
      <c r="C1448" s="9" t="str">
        <f>IFERROR(__xludf.DUMMYFUNCTION("""COMPUTED_VALUE"""),"california")</f>
        <v>california</v>
      </c>
      <c r="D1448" s="9" t="str">
        <f>IFERROR(__xludf.DUMMYFUNCTION("""COMPUTED_VALUE"""),"DAOU, Soul of a Lion, Adelaida District")</f>
        <v>DAOU, Soul of a Lion, Adelaida District</v>
      </c>
      <c r="E1448" s="9">
        <f>IFERROR(__xludf.DUMMYFUNCTION("""COMPUTED_VALUE"""),2016.0)</f>
        <v>2016</v>
      </c>
      <c r="F1448" s="9">
        <f>IFERROR(__xludf.DUMMYFUNCTION("""COMPUTED_VALUE"""),750.0)</f>
        <v>750</v>
      </c>
      <c r="G1448" s="9">
        <f>IFERROR(__xludf.DUMMYFUNCTION("""COMPUTED_VALUE"""),3.0)</f>
        <v>3</v>
      </c>
      <c r="H1448" s="10">
        <f>IFERROR(__xludf.DUMMYFUNCTION("""COMPUTED_VALUE"""),2.0)</f>
        <v>2</v>
      </c>
      <c r="I1448" s="11">
        <f>IFERROR(__xludf.DUMMYFUNCTION("""COMPUTED_VALUE"""),369.0)</f>
        <v>369</v>
      </c>
      <c r="J1448" s="9" t="str">
        <f>IFERROR(__xludf.DUMMYFUNCTION("""COMPUTED_VALUE"""),"UK")</f>
        <v>UK</v>
      </c>
      <c r="K1448" s="8"/>
      <c r="L1448" s="12"/>
      <c r="M1448" s="13"/>
      <c r="N1448" s="13" t="str">
        <f>IFERROR(__xludf.DUMMYFUNCTION("IF(ISBLANK(M1448),"""",M1448*GOOGLEFINANCE(""USDGBP""))"),"")</f>
        <v/>
      </c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</row>
    <row r="1449">
      <c r="A1449" s="8" t="str">
        <f>IFERROR(__xludf.DUMMYFUNCTION("""COMPUTED_VALUE"""),"168138320170600750")</f>
        <v>168138320170600750</v>
      </c>
      <c r="B1449" s="9" t="str">
        <f>IFERROR(__xludf.DUMMYFUNCTION("""COMPUTED_VALUE"""),"United States")</f>
        <v>United States</v>
      </c>
      <c r="C1449" s="9" t="str">
        <f>IFERROR(__xludf.DUMMYFUNCTION("""COMPUTED_VALUE"""),"california")</f>
        <v>california</v>
      </c>
      <c r="D1449" s="9" t="str">
        <f>IFERROR(__xludf.DUMMYFUNCTION("""COMPUTED_VALUE"""),"DAOU, Soul of a Lion, Adelaida District")</f>
        <v>DAOU, Soul of a Lion, Adelaida District</v>
      </c>
      <c r="E1449" s="9">
        <f>IFERROR(__xludf.DUMMYFUNCTION("""COMPUTED_VALUE"""),2017.0)</f>
        <v>2017</v>
      </c>
      <c r="F1449" s="9">
        <f>IFERROR(__xludf.DUMMYFUNCTION("""COMPUTED_VALUE"""),750.0)</f>
        <v>750</v>
      </c>
      <c r="G1449" s="9">
        <f>IFERROR(__xludf.DUMMYFUNCTION("""COMPUTED_VALUE"""),6.0)</f>
        <v>6</v>
      </c>
      <c r="H1449" s="10">
        <f>IFERROR(__xludf.DUMMYFUNCTION("""COMPUTED_VALUE"""),1.0)</f>
        <v>1</v>
      </c>
      <c r="I1449" s="11">
        <f>IFERROR(__xludf.DUMMYFUNCTION("""COMPUTED_VALUE"""),767.0)</f>
        <v>767</v>
      </c>
      <c r="J1449" s="9" t="str">
        <f>IFERROR(__xludf.DUMMYFUNCTION("""COMPUTED_VALUE"""),"UK")</f>
        <v>UK</v>
      </c>
      <c r="K1449" s="8"/>
      <c r="L1449" s="12"/>
      <c r="M1449" s="13"/>
      <c r="N1449" s="13" t="str">
        <f>IFERROR(__xludf.DUMMYFUNCTION("IF(ISBLANK(M1449),"""",M1449*GOOGLEFINANCE(""USDGBP""))"),"")</f>
        <v/>
      </c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</row>
    <row r="1450">
      <c r="A1450" s="8" t="str">
        <f>IFERROR(__xludf.DUMMYFUNCTION("""COMPUTED_VALUE"""),"113058820150600750")</f>
        <v>113058820150600750</v>
      </c>
      <c r="B1450" s="9" t="str">
        <f>IFERROR(__xludf.DUMMYFUNCTION("""COMPUTED_VALUE"""),"United States")</f>
        <v>United States</v>
      </c>
      <c r="C1450" s="9" t="str">
        <f>IFERROR(__xludf.DUMMYFUNCTION("""COMPUTED_VALUE"""),"california")</f>
        <v>california</v>
      </c>
      <c r="D1450" s="9" t="str">
        <f>IFERROR(__xludf.DUMMYFUNCTION("""COMPUTED_VALUE"""),"Dalla Valle, Cabernet Sauvignon, Napa Valley")</f>
        <v>Dalla Valle, Cabernet Sauvignon, Napa Valley</v>
      </c>
      <c r="E1450" s="9">
        <f>IFERROR(__xludf.DUMMYFUNCTION("""COMPUTED_VALUE"""),2015.0)</f>
        <v>2015</v>
      </c>
      <c r="F1450" s="9">
        <f>IFERROR(__xludf.DUMMYFUNCTION("""COMPUTED_VALUE"""),750.0)</f>
        <v>750</v>
      </c>
      <c r="G1450" s="9">
        <f>IFERROR(__xludf.DUMMYFUNCTION("""COMPUTED_VALUE"""),6.0)</f>
        <v>6</v>
      </c>
      <c r="H1450" s="10">
        <f>IFERROR(__xludf.DUMMYFUNCTION("""COMPUTED_VALUE"""),2.0)</f>
        <v>2</v>
      </c>
      <c r="I1450" s="11">
        <f>IFERROR(__xludf.DUMMYFUNCTION("""COMPUTED_VALUE"""),948.0)</f>
        <v>948</v>
      </c>
      <c r="J1450" s="9" t="str">
        <f>IFERROR(__xludf.DUMMYFUNCTION("""COMPUTED_VALUE"""),"UK")</f>
        <v>UK</v>
      </c>
      <c r="K1450" s="8"/>
      <c r="L1450" s="12"/>
      <c r="M1450" s="13"/>
      <c r="N1450" s="13" t="str">
        <f>IFERROR(__xludf.DUMMYFUNCTION("IF(ISBLANK(M1450),"""",M1450*GOOGLEFINANCE(""USDGBP""))"),"")</f>
        <v/>
      </c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</row>
    <row r="1451">
      <c r="A1451" s="8" t="str">
        <f>IFERROR(__xludf.DUMMYFUNCTION("""COMPUTED_VALUE"""),"139421820150600750")</f>
        <v>139421820150600750</v>
      </c>
      <c r="B1451" s="9" t="str">
        <f>IFERROR(__xludf.DUMMYFUNCTION("""COMPUTED_VALUE"""),"United States")</f>
        <v>United States</v>
      </c>
      <c r="C1451" s="9" t="str">
        <f>IFERROR(__xludf.DUMMYFUNCTION("""COMPUTED_VALUE"""),"california")</f>
        <v>california</v>
      </c>
      <c r="D1451" s="9" t="str">
        <f>IFERROR(__xludf.DUMMYFUNCTION("""COMPUTED_VALUE"""),"Dalla Valle, Collina, Napa Valley")</f>
        <v>Dalla Valle, Collina, Napa Valley</v>
      </c>
      <c r="E1451" s="9">
        <f>IFERROR(__xludf.DUMMYFUNCTION("""COMPUTED_VALUE"""),2015.0)</f>
        <v>2015</v>
      </c>
      <c r="F1451" s="9">
        <f>IFERROR(__xludf.DUMMYFUNCTION("""COMPUTED_VALUE"""),750.0)</f>
        <v>750</v>
      </c>
      <c r="G1451" s="9">
        <f>IFERROR(__xludf.DUMMYFUNCTION("""COMPUTED_VALUE"""),6.0)</f>
        <v>6</v>
      </c>
      <c r="H1451" s="10">
        <f>IFERROR(__xludf.DUMMYFUNCTION("""COMPUTED_VALUE"""),1.0)</f>
        <v>1</v>
      </c>
      <c r="I1451" s="11">
        <f>IFERROR(__xludf.DUMMYFUNCTION("""COMPUTED_VALUE"""),616.0)</f>
        <v>616</v>
      </c>
      <c r="J1451" s="9" t="str">
        <f>IFERROR(__xludf.DUMMYFUNCTION("""COMPUTED_VALUE"""),"UK")</f>
        <v>UK</v>
      </c>
      <c r="K1451" s="8"/>
      <c r="L1451" s="12"/>
      <c r="M1451" s="13"/>
      <c r="N1451" s="13" t="str">
        <f>IFERROR(__xludf.DUMMYFUNCTION("IF(ISBLANK(M1451),"""",M1451*GOOGLEFINANCE(""USDGBP""))"),"")</f>
        <v/>
      </c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</row>
    <row r="1452">
      <c r="A1452" s="8" t="str">
        <f>IFERROR(__xludf.DUMMYFUNCTION("""COMPUTED_VALUE"""),"139421820170600750")</f>
        <v>139421820170600750</v>
      </c>
      <c r="B1452" s="9" t="str">
        <f>IFERROR(__xludf.DUMMYFUNCTION("""COMPUTED_VALUE"""),"United States")</f>
        <v>United States</v>
      </c>
      <c r="C1452" s="9" t="str">
        <f>IFERROR(__xludf.DUMMYFUNCTION("""COMPUTED_VALUE"""),"california")</f>
        <v>california</v>
      </c>
      <c r="D1452" s="9" t="str">
        <f>IFERROR(__xludf.DUMMYFUNCTION("""COMPUTED_VALUE"""),"Dalla Valle, Collina, Napa Valley")</f>
        <v>Dalla Valle, Collina, Napa Valley</v>
      </c>
      <c r="E1452" s="9">
        <f>IFERROR(__xludf.DUMMYFUNCTION("""COMPUTED_VALUE"""),2017.0)</f>
        <v>2017</v>
      </c>
      <c r="F1452" s="9">
        <f>IFERROR(__xludf.DUMMYFUNCTION("""COMPUTED_VALUE"""),750.0)</f>
        <v>750</v>
      </c>
      <c r="G1452" s="9">
        <f>IFERROR(__xludf.DUMMYFUNCTION("""COMPUTED_VALUE"""),6.0)</f>
        <v>6</v>
      </c>
      <c r="H1452" s="10">
        <f>IFERROR(__xludf.DUMMYFUNCTION("""COMPUTED_VALUE"""),1.0)</f>
        <v>1</v>
      </c>
      <c r="I1452" s="11">
        <f>IFERROR(__xludf.DUMMYFUNCTION("""COMPUTED_VALUE"""),656.0)</f>
        <v>656</v>
      </c>
      <c r="J1452" s="9" t="str">
        <f>IFERROR(__xludf.DUMMYFUNCTION("""COMPUTED_VALUE"""),"UK")</f>
        <v>UK</v>
      </c>
      <c r="K1452" s="8"/>
      <c r="L1452" s="12"/>
      <c r="M1452" s="13"/>
      <c r="N1452" s="13" t="str">
        <f>IFERROR(__xludf.DUMMYFUNCTION("IF(ISBLANK(M1452),"""",M1452*GOOGLEFINANCE(""USDGBP""))"),"")</f>
        <v/>
      </c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</row>
    <row r="1453">
      <c r="A1453" s="8" t="str">
        <f>IFERROR(__xludf.DUMMYFUNCTION("""COMPUTED_VALUE"""),"112179520170300750")</f>
        <v>112179520170300750</v>
      </c>
      <c r="B1453" s="9" t="str">
        <f>IFERROR(__xludf.DUMMYFUNCTION("""COMPUTED_VALUE"""),"United States")</f>
        <v>United States</v>
      </c>
      <c r="C1453" s="9" t="str">
        <f>IFERROR(__xludf.DUMMYFUNCTION("""COMPUTED_VALUE"""),"california")</f>
        <v>california</v>
      </c>
      <c r="D1453" s="9" t="str">
        <f>IFERROR(__xludf.DUMMYFUNCTION("""COMPUTED_VALUE"""),"Dalla Valle, Maya, Napa Valley")</f>
        <v>Dalla Valle, Maya, Napa Valley</v>
      </c>
      <c r="E1453" s="9">
        <f>IFERROR(__xludf.DUMMYFUNCTION("""COMPUTED_VALUE"""),2017.0)</f>
        <v>2017</v>
      </c>
      <c r="F1453" s="9">
        <f>IFERROR(__xludf.DUMMYFUNCTION("""COMPUTED_VALUE"""),750.0)</f>
        <v>750</v>
      </c>
      <c r="G1453" s="9">
        <f>IFERROR(__xludf.DUMMYFUNCTION("""COMPUTED_VALUE"""),3.0)</f>
        <v>3</v>
      </c>
      <c r="H1453" s="10">
        <f>IFERROR(__xludf.DUMMYFUNCTION("""COMPUTED_VALUE"""),1.0)</f>
        <v>1</v>
      </c>
      <c r="I1453" s="11">
        <f>IFERROR(__xludf.DUMMYFUNCTION("""COMPUTED_VALUE"""),1058.0)</f>
        <v>1058</v>
      </c>
      <c r="J1453" s="9" t="str">
        <f>IFERROR(__xludf.DUMMYFUNCTION("""COMPUTED_VALUE"""),"UK")</f>
        <v>UK</v>
      </c>
      <c r="K1453" s="8"/>
      <c r="L1453" s="12"/>
      <c r="M1453" s="13"/>
      <c r="N1453" s="13" t="str">
        <f>IFERROR(__xludf.DUMMYFUNCTION("IF(ISBLANK(M1453),"""",M1453*GOOGLEFINANCE(""USDGBP""))"),"")</f>
        <v/>
      </c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  <c r="GG1453" s="8"/>
      <c r="GH1453" s="8"/>
      <c r="GI1453" s="8"/>
      <c r="GJ1453" s="8"/>
      <c r="GK1453" s="8"/>
      <c r="GL1453" s="8"/>
      <c r="GM1453" s="8"/>
      <c r="GN1453" s="8"/>
      <c r="GO1453" s="8"/>
      <c r="GP1453" s="8"/>
      <c r="GQ1453" s="8"/>
      <c r="GR1453" s="8"/>
      <c r="GS1453" s="8"/>
      <c r="GT1453" s="8"/>
      <c r="GU1453" s="8"/>
      <c r="GV1453" s="8"/>
      <c r="GW1453" s="8"/>
      <c r="GX1453" s="8"/>
    </row>
    <row r="1454">
      <c r="A1454" s="8" t="str">
        <f>IFERROR(__xludf.DUMMYFUNCTION("""COMPUTED_VALUE"""),"168666520180300750")</f>
        <v>168666520180300750</v>
      </c>
      <c r="B1454" s="9" t="str">
        <f>IFERROR(__xludf.DUMMYFUNCTION("""COMPUTED_VALUE"""),"United States")</f>
        <v>United States</v>
      </c>
      <c r="C1454" s="9" t="str">
        <f>IFERROR(__xludf.DUMMYFUNCTION("""COMPUTED_VALUE"""),"california")</f>
        <v>california</v>
      </c>
      <c r="D1454" s="9" t="str">
        <f>IFERROR(__xludf.DUMMYFUNCTION("""COMPUTED_VALUE"""),"Dana Estates, Helms Vineyard Cabernet Sauvignon, Rutherford")</f>
        <v>Dana Estates, Helms Vineyard Cabernet Sauvignon, Rutherford</v>
      </c>
      <c r="E1454" s="9">
        <f>IFERROR(__xludf.DUMMYFUNCTION("""COMPUTED_VALUE"""),2018.0)</f>
        <v>2018</v>
      </c>
      <c r="F1454" s="9">
        <f>IFERROR(__xludf.DUMMYFUNCTION("""COMPUTED_VALUE"""),750.0)</f>
        <v>750</v>
      </c>
      <c r="G1454" s="9">
        <f>IFERROR(__xludf.DUMMYFUNCTION("""COMPUTED_VALUE"""),3.0)</f>
        <v>3</v>
      </c>
      <c r="H1454" s="10">
        <f>IFERROR(__xludf.DUMMYFUNCTION("""COMPUTED_VALUE"""),2.0)</f>
        <v>2</v>
      </c>
      <c r="I1454" s="11">
        <f>IFERROR(__xludf.DUMMYFUNCTION("""COMPUTED_VALUE"""),1071.0)</f>
        <v>1071</v>
      </c>
      <c r="J1454" s="9" t="str">
        <f>IFERROR(__xludf.DUMMYFUNCTION("""COMPUTED_VALUE"""),"UK")</f>
        <v>UK</v>
      </c>
      <c r="K1454" s="8"/>
      <c r="L1454" s="12"/>
      <c r="M1454" s="13"/>
      <c r="N1454" s="13" t="str">
        <f>IFERROR(__xludf.DUMMYFUNCTION("IF(ISBLANK(M1454),"""",M1454*GOOGLEFINANCE(""USDGBP""))"),"")</f>
        <v/>
      </c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</row>
    <row r="1455">
      <c r="A1455" s="8" t="str">
        <f>IFERROR(__xludf.DUMMYFUNCTION("""COMPUTED_VALUE"""),"137549120131200750")</f>
        <v>137549120131200750</v>
      </c>
      <c r="B1455" s="9" t="str">
        <f>IFERROR(__xludf.DUMMYFUNCTION("""COMPUTED_VALUE"""),"United States")</f>
        <v>United States</v>
      </c>
      <c r="C1455" s="9" t="str">
        <f>IFERROR(__xludf.DUMMYFUNCTION("""COMPUTED_VALUE"""),"california")</f>
        <v>california</v>
      </c>
      <c r="D1455" s="9" t="str">
        <f>IFERROR(__xludf.DUMMYFUNCTION("""COMPUTED_VALUE"""),"Dominus Estate, Othello, Napa Valley")</f>
        <v>Dominus Estate, Othello, Napa Valley</v>
      </c>
      <c r="E1455" s="9">
        <f>IFERROR(__xludf.DUMMYFUNCTION("""COMPUTED_VALUE"""),2013.0)</f>
        <v>2013</v>
      </c>
      <c r="F1455" s="9">
        <f>IFERROR(__xludf.DUMMYFUNCTION("""COMPUTED_VALUE"""),750.0)</f>
        <v>750</v>
      </c>
      <c r="G1455" s="9">
        <f>IFERROR(__xludf.DUMMYFUNCTION("""COMPUTED_VALUE"""),12.0)</f>
        <v>12</v>
      </c>
      <c r="H1455" s="10">
        <f>IFERROR(__xludf.DUMMYFUNCTION("""COMPUTED_VALUE"""),1.0)</f>
        <v>1</v>
      </c>
      <c r="I1455" s="11">
        <f>IFERROR(__xludf.DUMMYFUNCTION("""COMPUTED_VALUE"""),377.0)</f>
        <v>377</v>
      </c>
      <c r="J1455" s="9" t="str">
        <f>IFERROR(__xludf.DUMMYFUNCTION("""COMPUTED_VALUE"""),"UK")</f>
        <v>UK</v>
      </c>
      <c r="K1455" s="8"/>
      <c r="L1455" s="12"/>
      <c r="M1455" s="13"/>
      <c r="N1455" s="13" t="str">
        <f>IFERROR(__xludf.DUMMYFUNCTION("IF(ISBLANK(M1455),"""",M1455*GOOGLEFINANCE(""USDGBP""))"),"")</f>
        <v/>
      </c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  <c r="GG1455" s="8"/>
      <c r="GH1455" s="8"/>
      <c r="GI1455" s="8"/>
      <c r="GJ1455" s="8"/>
      <c r="GK1455" s="8"/>
      <c r="GL1455" s="8"/>
      <c r="GM1455" s="8"/>
      <c r="GN1455" s="8"/>
      <c r="GO1455" s="8"/>
      <c r="GP1455" s="8"/>
      <c r="GQ1455" s="8"/>
      <c r="GR1455" s="8"/>
      <c r="GS1455" s="8"/>
      <c r="GT1455" s="8"/>
      <c r="GU1455" s="8"/>
      <c r="GV1455" s="8"/>
      <c r="GW1455" s="8"/>
      <c r="GX1455" s="8"/>
    </row>
    <row r="1456">
      <c r="A1456" s="8" t="str">
        <f>IFERROR(__xludf.DUMMYFUNCTION("""COMPUTED_VALUE"""),"112275020110600750")</f>
        <v>112275020110600750</v>
      </c>
      <c r="B1456" s="9" t="str">
        <f>IFERROR(__xludf.DUMMYFUNCTION("""COMPUTED_VALUE"""),"United States")</f>
        <v>United States</v>
      </c>
      <c r="C1456" s="9" t="str">
        <f>IFERROR(__xludf.DUMMYFUNCTION("""COMPUTED_VALUE"""),"california")</f>
        <v>california</v>
      </c>
      <c r="D1456" s="9" t="str">
        <f>IFERROR(__xludf.DUMMYFUNCTION("""COMPUTED_VALUE"""),"Dominus, Napa Valley")</f>
        <v>Dominus, Napa Valley</v>
      </c>
      <c r="E1456" s="9">
        <f>IFERROR(__xludf.DUMMYFUNCTION("""COMPUTED_VALUE"""),2011.0)</f>
        <v>2011</v>
      </c>
      <c r="F1456" s="9">
        <f>IFERROR(__xludf.DUMMYFUNCTION("""COMPUTED_VALUE"""),750.0)</f>
        <v>750</v>
      </c>
      <c r="G1456" s="9">
        <f>IFERROR(__xludf.DUMMYFUNCTION("""COMPUTED_VALUE"""),6.0)</f>
        <v>6</v>
      </c>
      <c r="H1456" s="10">
        <f>IFERROR(__xludf.DUMMYFUNCTION("""COMPUTED_VALUE"""),2.0)</f>
        <v>2</v>
      </c>
      <c r="I1456" s="11">
        <f>IFERROR(__xludf.DUMMYFUNCTION("""COMPUTED_VALUE"""),906.0)</f>
        <v>906</v>
      </c>
      <c r="J1456" s="9" t="str">
        <f>IFERROR(__xludf.DUMMYFUNCTION("""COMPUTED_VALUE"""),"UK")</f>
        <v>UK</v>
      </c>
      <c r="K1456" s="8"/>
      <c r="L1456" s="12"/>
      <c r="M1456" s="13"/>
      <c r="N1456" s="13" t="str">
        <f>IFERROR(__xludf.DUMMYFUNCTION("IF(ISBLANK(M1456),"""",M1456*GOOGLEFINANCE(""USDGBP""))"),"")</f>
        <v/>
      </c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  <c r="GG1456" s="8"/>
      <c r="GH1456" s="8"/>
      <c r="GI1456" s="8"/>
      <c r="GJ1456" s="8"/>
      <c r="GK1456" s="8"/>
      <c r="GL1456" s="8"/>
      <c r="GM1456" s="8"/>
      <c r="GN1456" s="8"/>
      <c r="GO1456" s="8"/>
      <c r="GP1456" s="8"/>
      <c r="GQ1456" s="8"/>
      <c r="GR1456" s="8"/>
      <c r="GS1456" s="8"/>
      <c r="GT1456" s="8"/>
      <c r="GU1456" s="8"/>
      <c r="GV1456" s="8"/>
      <c r="GW1456" s="8"/>
      <c r="GX1456" s="8"/>
    </row>
    <row r="1457">
      <c r="A1457" s="8" t="str">
        <f>IFERROR(__xludf.DUMMYFUNCTION("""COMPUTED_VALUE"""),"112275020130600750")</f>
        <v>112275020130600750</v>
      </c>
      <c r="B1457" s="9" t="str">
        <f>IFERROR(__xludf.DUMMYFUNCTION("""COMPUTED_VALUE"""),"United States")</f>
        <v>United States</v>
      </c>
      <c r="C1457" s="9" t="str">
        <f>IFERROR(__xludf.DUMMYFUNCTION("""COMPUTED_VALUE"""),"california")</f>
        <v>california</v>
      </c>
      <c r="D1457" s="9" t="str">
        <f>IFERROR(__xludf.DUMMYFUNCTION("""COMPUTED_VALUE"""),"Dominus, Napa Valley")</f>
        <v>Dominus, Napa Valley</v>
      </c>
      <c r="E1457" s="9">
        <f>IFERROR(__xludf.DUMMYFUNCTION("""COMPUTED_VALUE"""),2013.0)</f>
        <v>2013</v>
      </c>
      <c r="F1457" s="9">
        <f>IFERROR(__xludf.DUMMYFUNCTION("""COMPUTED_VALUE"""),750.0)</f>
        <v>750</v>
      </c>
      <c r="G1457" s="9">
        <f>IFERROR(__xludf.DUMMYFUNCTION("""COMPUTED_VALUE"""),6.0)</f>
        <v>6</v>
      </c>
      <c r="H1457" s="10">
        <f>IFERROR(__xludf.DUMMYFUNCTION("""COMPUTED_VALUE"""),1.0)</f>
        <v>1</v>
      </c>
      <c r="I1457" s="11">
        <f>IFERROR(__xludf.DUMMYFUNCTION("""COMPUTED_VALUE"""),2317.0)</f>
        <v>2317</v>
      </c>
      <c r="J1457" s="9" t="str">
        <f>IFERROR(__xludf.DUMMYFUNCTION("""COMPUTED_VALUE"""),"UK")</f>
        <v>UK</v>
      </c>
      <c r="K1457" s="8"/>
      <c r="L1457" s="12"/>
      <c r="M1457" s="13"/>
      <c r="N1457" s="13" t="str">
        <f>IFERROR(__xludf.DUMMYFUNCTION("IF(ISBLANK(M1457),"""",M1457*GOOGLEFINANCE(""USDGBP""))"),"")</f>
        <v/>
      </c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</row>
    <row r="1458">
      <c r="A1458" s="8" t="str">
        <f>IFERROR(__xludf.DUMMYFUNCTION("""COMPUTED_VALUE"""),"112275020150600750")</f>
        <v>112275020150600750</v>
      </c>
      <c r="B1458" s="9" t="str">
        <f>IFERROR(__xludf.DUMMYFUNCTION("""COMPUTED_VALUE"""),"United States")</f>
        <v>United States</v>
      </c>
      <c r="C1458" s="9" t="str">
        <f>IFERROR(__xludf.DUMMYFUNCTION("""COMPUTED_VALUE"""),"california")</f>
        <v>california</v>
      </c>
      <c r="D1458" s="9" t="str">
        <f>IFERROR(__xludf.DUMMYFUNCTION("""COMPUTED_VALUE"""),"Dominus, Napa Valley")</f>
        <v>Dominus, Napa Valley</v>
      </c>
      <c r="E1458" s="9">
        <f>IFERROR(__xludf.DUMMYFUNCTION("""COMPUTED_VALUE"""),2015.0)</f>
        <v>2015</v>
      </c>
      <c r="F1458" s="9">
        <f>IFERROR(__xludf.DUMMYFUNCTION("""COMPUTED_VALUE"""),750.0)</f>
        <v>750</v>
      </c>
      <c r="G1458" s="9">
        <f>IFERROR(__xludf.DUMMYFUNCTION("""COMPUTED_VALUE"""),6.0)</f>
        <v>6</v>
      </c>
      <c r="H1458" s="10">
        <f>IFERROR(__xludf.DUMMYFUNCTION("""COMPUTED_VALUE"""),2.0)</f>
        <v>2</v>
      </c>
      <c r="I1458" s="11">
        <f>IFERROR(__xludf.DUMMYFUNCTION("""COMPUTED_VALUE"""),1450.0)</f>
        <v>1450</v>
      </c>
      <c r="J1458" s="9" t="str">
        <f>IFERROR(__xludf.DUMMYFUNCTION("""COMPUTED_VALUE"""),"UK")</f>
        <v>UK</v>
      </c>
      <c r="K1458" s="8"/>
      <c r="L1458" s="12"/>
      <c r="M1458" s="13"/>
      <c r="N1458" s="13" t="str">
        <f>IFERROR(__xludf.DUMMYFUNCTION("IF(ISBLANK(M1458),"""",M1458*GOOGLEFINANCE(""USDGBP""))"),"")</f>
        <v/>
      </c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</row>
    <row r="1459">
      <c r="A1459" s="8" t="str">
        <f>IFERROR(__xludf.DUMMYFUNCTION("""COMPUTED_VALUE"""),"112275020160600750")</f>
        <v>112275020160600750</v>
      </c>
      <c r="B1459" s="9" t="str">
        <f>IFERROR(__xludf.DUMMYFUNCTION("""COMPUTED_VALUE"""),"United States")</f>
        <v>United States</v>
      </c>
      <c r="C1459" s="9" t="str">
        <f>IFERROR(__xludf.DUMMYFUNCTION("""COMPUTED_VALUE"""),"california")</f>
        <v>california</v>
      </c>
      <c r="D1459" s="9" t="str">
        <f>IFERROR(__xludf.DUMMYFUNCTION("""COMPUTED_VALUE"""),"Dominus, Napa Valley")</f>
        <v>Dominus, Napa Valley</v>
      </c>
      <c r="E1459" s="9">
        <f>IFERROR(__xludf.DUMMYFUNCTION("""COMPUTED_VALUE"""),2016.0)</f>
        <v>2016</v>
      </c>
      <c r="F1459" s="9">
        <f>IFERROR(__xludf.DUMMYFUNCTION("""COMPUTED_VALUE"""),750.0)</f>
        <v>750</v>
      </c>
      <c r="G1459" s="9">
        <f>IFERROR(__xludf.DUMMYFUNCTION("""COMPUTED_VALUE"""),6.0)</f>
        <v>6</v>
      </c>
      <c r="H1459" s="10">
        <f>IFERROR(__xludf.DUMMYFUNCTION("""COMPUTED_VALUE"""),1.0)</f>
        <v>1</v>
      </c>
      <c r="I1459" s="11">
        <f>IFERROR(__xludf.DUMMYFUNCTION("""COMPUTED_VALUE"""),1447.0)</f>
        <v>1447</v>
      </c>
      <c r="J1459" s="9" t="str">
        <f>IFERROR(__xludf.DUMMYFUNCTION("""COMPUTED_VALUE"""),"UK")</f>
        <v>UK</v>
      </c>
      <c r="K1459" s="8"/>
      <c r="L1459" s="12"/>
      <c r="M1459" s="13"/>
      <c r="N1459" s="13" t="str">
        <f>IFERROR(__xludf.DUMMYFUNCTION("IF(ISBLANK(M1459),"""",M1459*GOOGLEFINANCE(""USDGBP""))"),"")</f>
        <v/>
      </c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  <c r="GG1459" s="8"/>
      <c r="GH1459" s="8"/>
      <c r="GI1459" s="8"/>
      <c r="GJ1459" s="8"/>
      <c r="GK1459" s="8"/>
      <c r="GL1459" s="8"/>
      <c r="GM1459" s="8"/>
      <c r="GN1459" s="8"/>
      <c r="GO1459" s="8"/>
      <c r="GP1459" s="8"/>
      <c r="GQ1459" s="8"/>
      <c r="GR1459" s="8"/>
      <c r="GS1459" s="8"/>
      <c r="GT1459" s="8"/>
      <c r="GU1459" s="8"/>
      <c r="GV1459" s="8"/>
      <c r="GW1459" s="8"/>
      <c r="GX1459" s="8"/>
    </row>
    <row r="1460">
      <c r="A1460" s="8" t="str">
        <f>IFERROR(__xludf.DUMMYFUNCTION("""COMPUTED_VALUE"""),"112275020170600750")</f>
        <v>112275020170600750</v>
      </c>
      <c r="B1460" s="9" t="str">
        <f>IFERROR(__xludf.DUMMYFUNCTION("""COMPUTED_VALUE"""),"United States")</f>
        <v>United States</v>
      </c>
      <c r="C1460" s="9" t="str">
        <f>IFERROR(__xludf.DUMMYFUNCTION("""COMPUTED_VALUE"""),"california")</f>
        <v>california</v>
      </c>
      <c r="D1460" s="9" t="str">
        <f>IFERROR(__xludf.DUMMYFUNCTION("""COMPUTED_VALUE"""),"Dominus, Napa Valley")</f>
        <v>Dominus, Napa Valley</v>
      </c>
      <c r="E1460" s="9">
        <f>IFERROR(__xludf.DUMMYFUNCTION("""COMPUTED_VALUE"""),2017.0)</f>
        <v>2017</v>
      </c>
      <c r="F1460" s="9">
        <f>IFERROR(__xludf.DUMMYFUNCTION("""COMPUTED_VALUE"""),750.0)</f>
        <v>750</v>
      </c>
      <c r="G1460" s="9">
        <f>IFERROR(__xludf.DUMMYFUNCTION("""COMPUTED_VALUE"""),6.0)</f>
        <v>6</v>
      </c>
      <c r="H1460" s="10">
        <f>IFERROR(__xludf.DUMMYFUNCTION("""COMPUTED_VALUE"""),2.0)</f>
        <v>2</v>
      </c>
      <c r="I1460" s="11">
        <f>IFERROR(__xludf.DUMMYFUNCTION("""COMPUTED_VALUE"""),1062.0)</f>
        <v>1062</v>
      </c>
      <c r="J1460" s="9" t="str">
        <f>IFERROR(__xludf.DUMMYFUNCTION("""COMPUTED_VALUE"""),"UK")</f>
        <v>UK</v>
      </c>
      <c r="K1460" s="8"/>
      <c r="L1460" s="12"/>
      <c r="M1460" s="13"/>
      <c r="N1460" s="13" t="str">
        <f>IFERROR(__xludf.DUMMYFUNCTION("IF(ISBLANK(M1460),"""",M1460*GOOGLEFINANCE(""USDGBP""))"),"")</f>
        <v/>
      </c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  <c r="GG1460" s="8"/>
      <c r="GH1460" s="8"/>
      <c r="GI1460" s="8"/>
      <c r="GJ1460" s="8"/>
      <c r="GK1460" s="8"/>
      <c r="GL1460" s="8"/>
      <c r="GM1460" s="8"/>
      <c r="GN1460" s="8"/>
      <c r="GO1460" s="8"/>
      <c r="GP1460" s="8"/>
      <c r="GQ1460" s="8"/>
      <c r="GR1460" s="8"/>
      <c r="GS1460" s="8"/>
      <c r="GT1460" s="8"/>
      <c r="GU1460" s="8"/>
      <c r="GV1460" s="8"/>
      <c r="GW1460" s="8"/>
      <c r="GX1460" s="8"/>
    </row>
    <row r="1461">
      <c r="A1461" s="8" t="str">
        <f>IFERROR(__xludf.DUMMYFUNCTION("""COMPUTED_VALUE"""),"112276320101200750")</f>
        <v>112276320101200750</v>
      </c>
      <c r="B1461" s="9" t="str">
        <f>IFERROR(__xludf.DUMMYFUNCTION("""COMPUTED_VALUE"""),"United States")</f>
        <v>United States</v>
      </c>
      <c r="C1461" s="9" t="str">
        <f>IFERROR(__xludf.DUMMYFUNCTION("""COMPUTED_VALUE"""),"california")</f>
        <v>california</v>
      </c>
      <c r="D1461" s="9" t="str">
        <f>IFERROR(__xludf.DUMMYFUNCTION("""COMPUTED_VALUE"""),"Dominus, Napanook, Napa Valley")</f>
        <v>Dominus, Napanook, Napa Valley</v>
      </c>
      <c r="E1461" s="9">
        <f>IFERROR(__xludf.DUMMYFUNCTION("""COMPUTED_VALUE"""),2010.0)</f>
        <v>2010</v>
      </c>
      <c r="F1461" s="9">
        <f>IFERROR(__xludf.DUMMYFUNCTION("""COMPUTED_VALUE"""),750.0)</f>
        <v>750</v>
      </c>
      <c r="G1461" s="9">
        <f>IFERROR(__xludf.DUMMYFUNCTION("""COMPUTED_VALUE"""),12.0)</f>
        <v>12</v>
      </c>
      <c r="H1461" s="10">
        <f>IFERROR(__xludf.DUMMYFUNCTION("""COMPUTED_VALUE"""),1.0)</f>
        <v>1</v>
      </c>
      <c r="I1461" s="11">
        <f>IFERROR(__xludf.DUMMYFUNCTION("""COMPUTED_VALUE"""),670.0)</f>
        <v>670</v>
      </c>
      <c r="J1461" s="9" t="str">
        <f>IFERROR(__xludf.DUMMYFUNCTION("""COMPUTED_VALUE"""),"UK")</f>
        <v>UK</v>
      </c>
      <c r="K1461" s="8"/>
      <c r="L1461" s="12"/>
      <c r="M1461" s="13"/>
      <c r="N1461" s="13" t="str">
        <f>IFERROR(__xludf.DUMMYFUNCTION("IF(ISBLANK(M1461),"""",M1461*GOOGLEFINANCE(""USDGBP""))"),"")</f>
        <v/>
      </c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</row>
    <row r="1462">
      <c r="A1462" s="8" t="str">
        <f>IFERROR(__xludf.DUMMYFUNCTION("""COMPUTED_VALUE"""),"112276320151200750")</f>
        <v>112276320151200750</v>
      </c>
      <c r="B1462" s="9" t="str">
        <f>IFERROR(__xludf.DUMMYFUNCTION("""COMPUTED_VALUE"""),"United States")</f>
        <v>United States</v>
      </c>
      <c r="C1462" s="9" t="str">
        <f>IFERROR(__xludf.DUMMYFUNCTION("""COMPUTED_VALUE"""),"california")</f>
        <v>california</v>
      </c>
      <c r="D1462" s="9" t="str">
        <f>IFERROR(__xludf.DUMMYFUNCTION("""COMPUTED_VALUE"""),"Dominus, Napanook, Napa Valley")</f>
        <v>Dominus, Napanook, Napa Valley</v>
      </c>
      <c r="E1462" s="9">
        <f>IFERROR(__xludf.DUMMYFUNCTION("""COMPUTED_VALUE"""),2015.0)</f>
        <v>2015</v>
      </c>
      <c r="F1462" s="9">
        <f>IFERROR(__xludf.DUMMYFUNCTION("""COMPUTED_VALUE"""),750.0)</f>
        <v>750</v>
      </c>
      <c r="G1462" s="9">
        <f>IFERROR(__xludf.DUMMYFUNCTION("""COMPUTED_VALUE"""),12.0)</f>
        <v>12</v>
      </c>
      <c r="H1462" s="10">
        <f>IFERROR(__xludf.DUMMYFUNCTION("""COMPUTED_VALUE"""),5.0)</f>
        <v>5</v>
      </c>
      <c r="I1462" s="11">
        <f>IFERROR(__xludf.DUMMYFUNCTION("""COMPUTED_VALUE"""),658.0)</f>
        <v>658</v>
      </c>
      <c r="J1462" s="9" t="str">
        <f>IFERROR(__xludf.DUMMYFUNCTION("""COMPUTED_VALUE"""),"UK")</f>
        <v>UK</v>
      </c>
      <c r="K1462" s="8"/>
      <c r="L1462" s="12"/>
      <c r="M1462" s="13"/>
      <c r="N1462" s="13" t="str">
        <f>IFERROR(__xludf.DUMMYFUNCTION("IF(ISBLANK(M1462),"""",M1462*GOOGLEFINANCE(""USDGBP""))"),"")</f>
        <v/>
      </c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</row>
    <row r="1463">
      <c r="A1463" s="8" t="str">
        <f>IFERROR(__xludf.DUMMYFUNCTION("""COMPUTED_VALUE"""),"112276320150301500")</f>
        <v>112276320150301500</v>
      </c>
      <c r="B1463" s="9" t="str">
        <f>IFERROR(__xludf.DUMMYFUNCTION("""COMPUTED_VALUE"""),"United States")</f>
        <v>United States</v>
      </c>
      <c r="C1463" s="9" t="str">
        <f>IFERROR(__xludf.DUMMYFUNCTION("""COMPUTED_VALUE"""),"california")</f>
        <v>california</v>
      </c>
      <c r="D1463" s="9" t="str">
        <f>IFERROR(__xludf.DUMMYFUNCTION("""COMPUTED_VALUE"""),"Dominus, Napanook, Napa Valley")</f>
        <v>Dominus, Napanook, Napa Valley</v>
      </c>
      <c r="E1463" s="9">
        <f>IFERROR(__xludf.DUMMYFUNCTION("""COMPUTED_VALUE"""),2015.0)</f>
        <v>2015</v>
      </c>
      <c r="F1463" s="9">
        <f>IFERROR(__xludf.DUMMYFUNCTION("""COMPUTED_VALUE"""),1500.0)</f>
        <v>1500</v>
      </c>
      <c r="G1463" s="9">
        <f>IFERROR(__xludf.DUMMYFUNCTION("""COMPUTED_VALUE"""),3.0)</f>
        <v>3</v>
      </c>
      <c r="H1463" s="10">
        <f>IFERROR(__xludf.DUMMYFUNCTION("""COMPUTED_VALUE"""),1.0)</f>
        <v>1</v>
      </c>
      <c r="I1463" s="11">
        <f>IFERROR(__xludf.DUMMYFUNCTION("""COMPUTED_VALUE"""),366.0)</f>
        <v>366</v>
      </c>
      <c r="J1463" s="9" t="str">
        <f>IFERROR(__xludf.DUMMYFUNCTION("""COMPUTED_VALUE"""),"UK")</f>
        <v>UK</v>
      </c>
      <c r="K1463" s="8"/>
      <c r="L1463" s="12"/>
      <c r="M1463" s="13"/>
      <c r="N1463" s="13" t="str">
        <f>IFERROR(__xludf.DUMMYFUNCTION("IF(ISBLANK(M1463),"""",M1463*GOOGLEFINANCE(""USDGBP""))"),"")</f>
        <v/>
      </c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  <c r="GG1463" s="8"/>
      <c r="GH1463" s="8"/>
      <c r="GI1463" s="8"/>
      <c r="GJ1463" s="8"/>
      <c r="GK1463" s="8"/>
      <c r="GL1463" s="8"/>
      <c r="GM1463" s="8"/>
      <c r="GN1463" s="8"/>
      <c r="GO1463" s="8"/>
      <c r="GP1463" s="8"/>
      <c r="GQ1463" s="8"/>
      <c r="GR1463" s="8"/>
      <c r="GS1463" s="8"/>
      <c r="GT1463" s="8"/>
      <c r="GU1463" s="8"/>
      <c r="GV1463" s="8"/>
      <c r="GW1463" s="8"/>
      <c r="GX1463" s="8"/>
    </row>
    <row r="1464">
      <c r="A1464" s="8" t="str">
        <f>IFERROR(__xludf.DUMMYFUNCTION("""COMPUTED_VALUE"""),"125059420120600750")</f>
        <v>125059420120600750</v>
      </c>
      <c r="B1464" s="9" t="str">
        <f>IFERROR(__xludf.DUMMYFUNCTION("""COMPUTED_VALUE"""),"United States")</f>
        <v>United States</v>
      </c>
      <c r="C1464" s="9" t="str">
        <f>IFERROR(__xludf.DUMMYFUNCTION("""COMPUTED_VALUE"""),"california")</f>
        <v>california</v>
      </c>
      <c r="D1464" s="9" t="str">
        <f>IFERROR(__xludf.DUMMYFUNCTION("""COMPUTED_VALUE"""),"Donum, Pinot Noir, Russian River Valley")</f>
        <v>Donum, Pinot Noir, Russian River Valley</v>
      </c>
      <c r="E1464" s="9">
        <f>IFERROR(__xludf.DUMMYFUNCTION("""COMPUTED_VALUE"""),2012.0)</f>
        <v>2012</v>
      </c>
      <c r="F1464" s="9">
        <f>IFERROR(__xludf.DUMMYFUNCTION("""COMPUTED_VALUE"""),750.0)</f>
        <v>750</v>
      </c>
      <c r="G1464" s="9">
        <f>IFERROR(__xludf.DUMMYFUNCTION("""COMPUTED_VALUE"""),6.0)</f>
        <v>6</v>
      </c>
      <c r="H1464" s="10">
        <f>IFERROR(__xludf.DUMMYFUNCTION("""COMPUTED_VALUE"""),1.0)</f>
        <v>1</v>
      </c>
      <c r="I1464" s="11">
        <f>IFERROR(__xludf.DUMMYFUNCTION("""COMPUTED_VALUE"""),423.0)</f>
        <v>423</v>
      </c>
      <c r="J1464" s="9" t="str">
        <f>IFERROR(__xludf.DUMMYFUNCTION("""COMPUTED_VALUE"""),"UK")</f>
        <v>UK</v>
      </c>
      <c r="K1464" s="8"/>
      <c r="L1464" s="12"/>
      <c r="M1464" s="13"/>
      <c r="N1464" s="13" t="str">
        <f>IFERROR(__xludf.DUMMYFUNCTION("IF(ISBLANK(M1464),"""",M1464*GOOGLEFINANCE(""USDGBP""))"),"")</f>
        <v/>
      </c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</row>
    <row r="1465">
      <c r="A1465" s="8" t="str">
        <f>IFERROR(__xludf.DUMMYFUNCTION("""COMPUTED_VALUE"""),"153413920140600750")</f>
        <v>153413920140600750</v>
      </c>
      <c r="B1465" s="9" t="str">
        <f>IFERROR(__xludf.DUMMYFUNCTION("""COMPUTED_VALUE"""),"United States")</f>
        <v>United States</v>
      </c>
      <c r="C1465" s="9" t="str">
        <f>IFERROR(__xludf.DUMMYFUNCTION("""COMPUTED_VALUE"""),"california")</f>
        <v>california</v>
      </c>
      <c r="D1465" s="9" t="str">
        <f>IFERROR(__xludf.DUMMYFUNCTION("""COMPUTED_VALUE"""),"DuMOL, Cabernet Sauvignon, Napa Valley")</f>
        <v>DuMOL, Cabernet Sauvignon, Napa Valley</v>
      </c>
      <c r="E1465" s="9">
        <f>IFERROR(__xludf.DUMMYFUNCTION("""COMPUTED_VALUE"""),2014.0)</f>
        <v>2014</v>
      </c>
      <c r="F1465" s="9">
        <f>IFERROR(__xludf.DUMMYFUNCTION("""COMPUTED_VALUE"""),750.0)</f>
        <v>750</v>
      </c>
      <c r="G1465" s="9">
        <f>IFERROR(__xludf.DUMMYFUNCTION("""COMPUTED_VALUE"""),6.0)</f>
        <v>6</v>
      </c>
      <c r="H1465" s="10">
        <f>IFERROR(__xludf.DUMMYFUNCTION("""COMPUTED_VALUE"""),1.0)</f>
        <v>1</v>
      </c>
      <c r="I1465" s="11">
        <f>IFERROR(__xludf.DUMMYFUNCTION("""COMPUTED_VALUE"""),543.0)</f>
        <v>543</v>
      </c>
      <c r="J1465" s="9" t="str">
        <f>IFERROR(__xludf.DUMMYFUNCTION("""COMPUTED_VALUE"""),"UK")</f>
        <v>UK</v>
      </c>
      <c r="K1465" s="8"/>
      <c r="L1465" s="12"/>
      <c r="M1465" s="13"/>
      <c r="N1465" s="13" t="str">
        <f>IFERROR(__xludf.DUMMYFUNCTION("IF(ISBLANK(M1465),"""",M1465*GOOGLEFINANCE(""USDGBP""))"),"")</f>
        <v/>
      </c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</row>
    <row r="1466">
      <c r="A1466" s="8" t="str">
        <f>IFERROR(__xludf.DUMMYFUNCTION("""COMPUTED_VALUE"""),"135898420150600750")</f>
        <v>135898420150600750</v>
      </c>
      <c r="B1466" s="9" t="str">
        <f>IFERROR(__xludf.DUMMYFUNCTION("""COMPUTED_VALUE"""),"United States")</f>
        <v>United States</v>
      </c>
      <c r="C1466" s="9" t="str">
        <f>IFERROR(__xludf.DUMMYFUNCTION("""COMPUTED_VALUE"""),"california")</f>
        <v>california</v>
      </c>
      <c r="D1466" s="9" t="str">
        <f>IFERROR(__xludf.DUMMYFUNCTION("""COMPUTED_VALUE"""),"DuMOL, Estate Vineyard Pinot Noir, Russian River Valley")</f>
        <v>DuMOL, Estate Vineyard Pinot Noir, Russian River Valley</v>
      </c>
      <c r="E1466" s="9">
        <f>IFERROR(__xludf.DUMMYFUNCTION("""COMPUTED_VALUE"""),2015.0)</f>
        <v>2015</v>
      </c>
      <c r="F1466" s="9">
        <f>IFERROR(__xludf.DUMMYFUNCTION("""COMPUTED_VALUE"""),750.0)</f>
        <v>750</v>
      </c>
      <c r="G1466" s="9">
        <f>IFERROR(__xludf.DUMMYFUNCTION("""COMPUTED_VALUE"""),6.0)</f>
        <v>6</v>
      </c>
      <c r="H1466" s="10">
        <f>IFERROR(__xludf.DUMMYFUNCTION("""COMPUTED_VALUE"""),1.0)</f>
        <v>1</v>
      </c>
      <c r="I1466" s="11">
        <f>IFERROR(__xludf.DUMMYFUNCTION("""COMPUTED_VALUE"""),496.0)</f>
        <v>496</v>
      </c>
      <c r="J1466" s="9" t="str">
        <f>IFERROR(__xludf.DUMMYFUNCTION("""COMPUTED_VALUE"""),"UK")</f>
        <v>UK</v>
      </c>
      <c r="K1466" s="8"/>
      <c r="L1466" s="12"/>
      <c r="M1466" s="13"/>
      <c r="N1466" s="13" t="str">
        <f>IFERROR(__xludf.DUMMYFUNCTION("IF(ISBLANK(M1466),"""",M1466*GOOGLEFINANCE(""USDGBP""))"),"")</f>
        <v/>
      </c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  <c r="GG1466" s="8"/>
      <c r="GH1466" s="8"/>
      <c r="GI1466" s="8"/>
      <c r="GJ1466" s="8"/>
      <c r="GK1466" s="8"/>
      <c r="GL1466" s="8"/>
      <c r="GM1466" s="8"/>
      <c r="GN1466" s="8"/>
      <c r="GO1466" s="8"/>
      <c r="GP1466" s="8"/>
      <c r="GQ1466" s="8"/>
      <c r="GR1466" s="8"/>
      <c r="GS1466" s="8"/>
      <c r="GT1466" s="8"/>
      <c r="GU1466" s="8"/>
      <c r="GV1466" s="8"/>
      <c r="GW1466" s="8"/>
      <c r="GX1466" s="8"/>
    </row>
    <row r="1467">
      <c r="A1467" s="8" t="str">
        <f>IFERROR(__xludf.DUMMYFUNCTION("""COMPUTED_VALUE"""),"112502520110600750")</f>
        <v>112502520110600750</v>
      </c>
      <c r="B1467" s="9" t="str">
        <f>IFERROR(__xludf.DUMMYFUNCTION("""COMPUTED_VALUE"""),"United States")</f>
        <v>United States</v>
      </c>
      <c r="C1467" s="9" t="str">
        <f>IFERROR(__xludf.DUMMYFUNCTION("""COMPUTED_VALUE"""),"california")</f>
        <v>california</v>
      </c>
      <c r="D1467" s="9" t="str">
        <f>IFERROR(__xludf.DUMMYFUNCTION("""COMPUTED_VALUE"""),"Eisele Vineyard, Altagracia, Napa Valley")</f>
        <v>Eisele Vineyard, Altagracia, Napa Valley</v>
      </c>
      <c r="E1467" s="9">
        <f>IFERROR(__xludf.DUMMYFUNCTION("""COMPUTED_VALUE"""),2011.0)</f>
        <v>2011</v>
      </c>
      <c r="F1467" s="9">
        <f>IFERROR(__xludf.DUMMYFUNCTION("""COMPUTED_VALUE"""),750.0)</f>
        <v>750</v>
      </c>
      <c r="G1467" s="9">
        <f>IFERROR(__xludf.DUMMYFUNCTION("""COMPUTED_VALUE"""),6.0)</f>
        <v>6</v>
      </c>
      <c r="H1467" s="10">
        <f>IFERROR(__xludf.DUMMYFUNCTION("""COMPUTED_VALUE"""),2.0)</f>
        <v>2</v>
      </c>
      <c r="I1467" s="11">
        <f>IFERROR(__xludf.DUMMYFUNCTION("""COMPUTED_VALUE"""),602.0)</f>
        <v>602</v>
      </c>
      <c r="J1467" s="9" t="str">
        <f>IFERROR(__xludf.DUMMYFUNCTION("""COMPUTED_VALUE"""),"UK")</f>
        <v>UK</v>
      </c>
      <c r="K1467" s="8"/>
      <c r="L1467" s="12"/>
      <c r="M1467" s="13"/>
      <c r="N1467" s="13" t="str">
        <f>IFERROR(__xludf.DUMMYFUNCTION("IF(ISBLANK(M1467),"""",M1467*GOOGLEFINANCE(""USDGBP""))"),"")</f>
        <v/>
      </c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</row>
    <row r="1468">
      <c r="A1468" s="8" t="str">
        <f>IFERROR(__xludf.DUMMYFUNCTION("""COMPUTED_VALUE"""),"112502520120600750")</f>
        <v>112502520120600750</v>
      </c>
      <c r="B1468" s="9" t="str">
        <f>IFERROR(__xludf.DUMMYFUNCTION("""COMPUTED_VALUE"""),"United States")</f>
        <v>United States</v>
      </c>
      <c r="C1468" s="9" t="str">
        <f>IFERROR(__xludf.DUMMYFUNCTION("""COMPUTED_VALUE"""),"california")</f>
        <v>california</v>
      </c>
      <c r="D1468" s="9" t="str">
        <f>IFERROR(__xludf.DUMMYFUNCTION("""COMPUTED_VALUE"""),"Eisele Vineyard, Altagracia, Napa Valley")</f>
        <v>Eisele Vineyard, Altagracia, Napa Valley</v>
      </c>
      <c r="E1468" s="9">
        <f>IFERROR(__xludf.DUMMYFUNCTION("""COMPUTED_VALUE"""),2012.0)</f>
        <v>2012</v>
      </c>
      <c r="F1468" s="9">
        <f>IFERROR(__xludf.DUMMYFUNCTION("""COMPUTED_VALUE"""),750.0)</f>
        <v>750</v>
      </c>
      <c r="G1468" s="9">
        <f>IFERROR(__xludf.DUMMYFUNCTION("""COMPUTED_VALUE"""),6.0)</f>
        <v>6</v>
      </c>
      <c r="H1468" s="10">
        <f>IFERROR(__xludf.DUMMYFUNCTION("""COMPUTED_VALUE"""),2.0)</f>
        <v>2</v>
      </c>
      <c r="I1468" s="11">
        <f>IFERROR(__xludf.DUMMYFUNCTION("""COMPUTED_VALUE"""),571.0)</f>
        <v>571</v>
      </c>
      <c r="J1468" s="9" t="str">
        <f>IFERROR(__xludf.DUMMYFUNCTION("""COMPUTED_VALUE"""),"UK")</f>
        <v>UK</v>
      </c>
      <c r="K1468" s="8"/>
      <c r="L1468" s="12"/>
      <c r="M1468" s="13"/>
      <c r="N1468" s="13" t="str">
        <f>IFERROR(__xludf.DUMMYFUNCTION("IF(ISBLANK(M1468),"""",M1468*GOOGLEFINANCE(""USDGBP""))"),"")</f>
        <v/>
      </c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</row>
    <row r="1469">
      <c r="A1469" s="8" t="str">
        <f>IFERROR(__xludf.DUMMYFUNCTION("""COMPUTED_VALUE"""),"112502520130600750")</f>
        <v>112502520130600750</v>
      </c>
      <c r="B1469" s="9" t="str">
        <f>IFERROR(__xludf.DUMMYFUNCTION("""COMPUTED_VALUE"""),"United States")</f>
        <v>United States</v>
      </c>
      <c r="C1469" s="9" t="str">
        <f>IFERROR(__xludf.DUMMYFUNCTION("""COMPUTED_VALUE"""),"california")</f>
        <v>california</v>
      </c>
      <c r="D1469" s="9" t="str">
        <f>IFERROR(__xludf.DUMMYFUNCTION("""COMPUTED_VALUE"""),"Eisele Vineyard, Altagracia, Napa Valley")</f>
        <v>Eisele Vineyard, Altagracia, Napa Valley</v>
      </c>
      <c r="E1469" s="9">
        <f>IFERROR(__xludf.DUMMYFUNCTION("""COMPUTED_VALUE"""),2013.0)</f>
        <v>2013</v>
      </c>
      <c r="F1469" s="9">
        <f>IFERROR(__xludf.DUMMYFUNCTION("""COMPUTED_VALUE"""),750.0)</f>
        <v>750</v>
      </c>
      <c r="G1469" s="9">
        <f>IFERROR(__xludf.DUMMYFUNCTION("""COMPUTED_VALUE"""),6.0)</f>
        <v>6</v>
      </c>
      <c r="H1469" s="10">
        <f>IFERROR(__xludf.DUMMYFUNCTION("""COMPUTED_VALUE"""),1.0)</f>
        <v>1</v>
      </c>
      <c r="I1469" s="11">
        <f>IFERROR(__xludf.DUMMYFUNCTION("""COMPUTED_VALUE"""),667.0)</f>
        <v>667</v>
      </c>
      <c r="J1469" s="9" t="str">
        <f>IFERROR(__xludf.DUMMYFUNCTION("""COMPUTED_VALUE"""),"UK")</f>
        <v>UK</v>
      </c>
      <c r="K1469" s="8"/>
      <c r="L1469" s="12"/>
      <c r="M1469" s="13"/>
      <c r="N1469" s="13" t="str">
        <f>IFERROR(__xludf.DUMMYFUNCTION("IF(ISBLANK(M1469),"""",M1469*GOOGLEFINANCE(""USDGBP""))"),"")</f>
        <v/>
      </c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</row>
    <row r="1470">
      <c r="A1470" s="8" t="str">
        <f>IFERROR(__xludf.DUMMYFUNCTION("""COMPUTED_VALUE"""),"112502520150600750")</f>
        <v>112502520150600750</v>
      </c>
      <c r="B1470" s="9" t="str">
        <f>IFERROR(__xludf.DUMMYFUNCTION("""COMPUTED_VALUE"""),"United States")</f>
        <v>United States</v>
      </c>
      <c r="C1470" s="9" t="str">
        <f>IFERROR(__xludf.DUMMYFUNCTION("""COMPUTED_VALUE"""),"california")</f>
        <v>california</v>
      </c>
      <c r="D1470" s="9" t="str">
        <f>IFERROR(__xludf.DUMMYFUNCTION("""COMPUTED_VALUE"""),"Eisele Vineyard, Altagracia, Napa Valley")</f>
        <v>Eisele Vineyard, Altagracia, Napa Valley</v>
      </c>
      <c r="E1470" s="9">
        <f>IFERROR(__xludf.DUMMYFUNCTION("""COMPUTED_VALUE"""),2015.0)</f>
        <v>2015</v>
      </c>
      <c r="F1470" s="9">
        <f>IFERROR(__xludf.DUMMYFUNCTION("""COMPUTED_VALUE"""),750.0)</f>
        <v>750</v>
      </c>
      <c r="G1470" s="9">
        <f>IFERROR(__xludf.DUMMYFUNCTION("""COMPUTED_VALUE"""),6.0)</f>
        <v>6</v>
      </c>
      <c r="H1470" s="10">
        <f>IFERROR(__xludf.DUMMYFUNCTION("""COMPUTED_VALUE"""),1.0)</f>
        <v>1</v>
      </c>
      <c r="I1470" s="11">
        <f>IFERROR(__xludf.DUMMYFUNCTION("""COMPUTED_VALUE"""),637.0)</f>
        <v>637</v>
      </c>
      <c r="J1470" s="9" t="str">
        <f>IFERROR(__xludf.DUMMYFUNCTION("""COMPUTED_VALUE"""),"UK")</f>
        <v>UK</v>
      </c>
      <c r="K1470" s="8"/>
      <c r="L1470" s="12"/>
      <c r="M1470" s="13"/>
      <c r="N1470" s="13" t="str">
        <f>IFERROR(__xludf.DUMMYFUNCTION("IF(ISBLANK(M1470),"""",M1470*GOOGLEFINANCE(""USDGBP""))"),"")</f>
        <v/>
      </c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</row>
    <row r="1471">
      <c r="A1471" s="8" t="str">
        <f>IFERROR(__xludf.DUMMYFUNCTION("""COMPUTED_VALUE"""),"112143420120300750")</f>
        <v>112143420120300750</v>
      </c>
      <c r="B1471" s="9" t="str">
        <f>IFERROR(__xludf.DUMMYFUNCTION("""COMPUTED_VALUE"""),"United States")</f>
        <v>United States</v>
      </c>
      <c r="C1471" s="9" t="str">
        <f>IFERROR(__xludf.DUMMYFUNCTION("""COMPUTED_VALUE"""),"california")</f>
        <v>california</v>
      </c>
      <c r="D1471" s="9" t="str">
        <f>IFERROR(__xludf.DUMMYFUNCTION("""COMPUTED_VALUE"""),"Eisele Vineyard, Cabernet Sauvignon, Napa Valley")</f>
        <v>Eisele Vineyard, Cabernet Sauvignon, Napa Valley</v>
      </c>
      <c r="E1471" s="9">
        <f>IFERROR(__xludf.DUMMYFUNCTION("""COMPUTED_VALUE"""),2012.0)</f>
        <v>2012</v>
      </c>
      <c r="F1471" s="9">
        <f>IFERROR(__xludf.DUMMYFUNCTION("""COMPUTED_VALUE"""),750.0)</f>
        <v>750</v>
      </c>
      <c r="G1471" s="9">
        <f>IFERROR(__xludf.DUMMYFUNCTION("""COMPUTED_VALUE"""),3.0)</f>
        <v>3</v>
      </c>
      <c r="H1471" s="10">
        <f>IFERROR(__xludf.DUMMYFUNCTION("""COMPUTED_VALUE"""),1.0)</f>
        <v>1</v>
      </c>
      <c r="I1471" s="11">
        <f>IFERROR(__xludf.DUMMYFUNCTION("""COMPUTED_VALUE"""),729.0)</f>
        <v>729</v>
      </c>
      <c r="J1471" s="9" t="str">
        <f>IFERROR(__xludf.DUMMYFUNCTION("""COMPUTED_VALUE"""),"UK")</f>
        <v>UK</v>
      </c>
      <c r="K1471" s="8"/>
      <c r="L1471" s="12"/>
      <c r="M1471" s="13"/>
      <c r="N1471" s="13" t="str">
        <f>IFERROR(__xludf.DUMMYFUNCTION("IF(ISBLANK(M1471),"""",M1471*GOOGLEFINANCE(""USDGBP""))"),"")</f>
        <v/>
      </c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</row>
    <row r="1472">
      <c r="A1472" s="8" t="str">
        <f>IFERROR(__xludf.DUMMYFUNCTION("""COMPUTED_VALUE"""),"112143420140600750")</f>
        <v>112143420140600750</v>
      </c>
      <c r="B1472" s="9" t="str">
        <f>IFERROR(__xludf.DUMMYFUNCTION("""COMPUTED_VALUE"""),"United States")</f>
        <v>United States</v>
      </c>
      <c r="C1472" s="9" t="str">
        <f>IFERROR(__xludf.DUMMYFUNCTION("""COMPUTED_VALUE"""),"california")</f>
        <v>california</v>
      </c>
      <c r="D1472" s="9" t="str">
        <f>IFERROR(__xludf.DUMMYFUNCTION("""COMPUTED_VALUE"""),"Eisele Vineyard, Cabernet Sauvignon, Napa Valley")</f>
        <v>Eisele Vineyard, Cabernet Sauvignon, Napa Valley</v>
      </c>
      <c r="E1472" s="9">
        <f>IFERROR(__xludf.DUMMYFUNCTION("""COMPUTED_VALUE"""),2014.0)</f>
        <v>2014</v>
      </c>
      <c r="F1472" s="9">
        <f>IFERROR(__xludf.DUMMYFUNCTION("""COMPUTED_VALUE"""),750.0)</f>
        <v>750</v>
      </c>
      <c r="G1472" s="9">
        <f>IFERROR(__xludf.DUMMYFUNCTION("""COMPUTED_VALUE"""),6.0)</f>
        <v>6</v>
      </c>
      <c r="H1472" s="10">
        <f>IFERROR(__xludf.DUMMYFUNCTION("""COMPUTED_VALUE"""),1.0)</f>
        <v>1</v>
      </c>
      <c r="I1472" s="11">
        <f>IFERROR(__xludf.DUMMYFUNCTION("""COMPUTED_VALUE"""),1739.0)</f>
        <v>1739</v>
      </c>
      <c r="J1472" s="9" t="str">
        <f>IFERROR(__xludf.DUMMYFUNCTION("""COMPUTED_VALUE"""),"UK")</f>
        <v>UK</v>
      </c>
      <c r="K1472" s="8"/>
      <c r="L1472" s="12"/>
      <c r="M1472" s="13"/>
      <c r="N1472" s="13" t="str">
        <f>IFERROR(__xludf.DUMMYFUNCTION("IF(ISBLANK(M1472),"""",M1472*GOOGLEFINANCE(""USDGBP""))"),"")</f>
        <v/>
      </c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</row>
    <row r="1473">
      <c r="A1473" s="8" t="str">
        <f>IFERROR(__xludf.DUMMYFUNCTION("""COMPUTED_VALUE"""),"112143420160300750")</f>
        <v>112143420160300750</v>
      </c>
      <c r="B1473" s="9" t="str">
        <f>IFERROR(__xludf.DUMMYFUNCTION("""COMPUTED_VALUE"""),"United States")</f>
        <v>United States</v>
      </c>
      <c r="C1473" s="9" t="str">
        <f>IFERROR(__xludf.DUMMYFUNCTION("""COMPUTED_VALUE"""),"california")</f>
        <v>california</v>
      </c>
      <c r="D1473" s="9" t="str">
        <f>IFERROR(__xludf.DUMMYFUNCTION("""COMPUTED_VALUE"""),"Eisele Vineyard, Cabernet Sauvignon, Napa Valley")</f>
        <v>Eisele Vineyard, Cabernet Sauvignon, Napa Valley</v>
      </c>
      <c r="E1473" s="9">
        <f>IFERROR(__xludf.DUMMYFUNCTION("""COMPUTED_VALUE"""),2016.0)</f>
        <v>2016</v>
      </c>
      <c r="F1473" s="9">
        <f>IFERROR(__xludf.DUMMYFUNCTION("""COMPUTED_VALUE"""),750.0)</f>
        <v>750</v>
      </c>
      <c r="G1473" s="9">
        <f>IFERROR(__xludf.DUMMYFUNCTION("""COMPUTED_VALUE"""),3.0)</f>
        <v>3</v>
      </c>
      <c r="H1473" s="10">
        <f>IFERROR(__xludf.DUMMYFUNCTION("""COMPUTED_VALUE"""),1.0)</f>
        <v>1</v>
      </c>
      <c r="I1473" s="11">
        <f>IFERROR(__xludf.DUMMYFUNCTION("""COMPUTED_VALUE"""),1037.0)</f>
        <v>1037</v>
      </c>
      <c r="J1473" s="9" t="str">
        <f>IFERROR(__xludf.DUMMYFUNCTION("""COMPUTED_VALUE"""),"UK")</f>
        <v>UK</v>
      </c>
      <c r="K1473" s="8"/>
      <c r="L1473" s="12"/>
      <c r="M1473" s="13"/>
      <c r="N1473" s="13" t="str">
        <f>IFERROR(__xludf.DUMMYFUNCTION("IF(ISBLANK(M1473),"""",M1473*GOOGLEFINANCE(""USDGBP""))"),"")</f>
        <v/>
      </c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</row>
    <row r="1474">
      <c r="A1474" s="8" t="str">
        <f>IFERROR(__xludf.DUMMYFUNCTION("""COMPUTED_VALUE"""),"112143420160101500")</f>
        <v>112143420160101500</v>
      </c>
      <c r="B1474" s="9" t="str">
        <f>IFERROR(__xludf.DUMMYFUNCTION("""COMPUTED_VALUE"""),"United States")</f>
        <v>United States</v>
      </c>
      <c r="C1474" s="9" t="str">
        <f>IFERROR(__xludf.DUMMYFUNCTION("""COMPUTED_VALUE"""),"california")</f>
        <v>california</v>
      </c>
      <c r="D1474" s="9" t="str">
        <f>IFERROR(__xludf.DUMMYFUNCTION("""COMPUTED_VALUE"""),"Eisele Vineyard, Cabernet Sauvignon, Napa Valley")</f>
        <v>Eisele Vineyard, Cabernet Sauvignon, Napa Valley</v>
      </c>
      <c r="E1474" s="9">
        <f>IFERROR(__xludf.DUMMYFUNCTION("""COMPUTED_VALUE"""),2016.0)</f>
        <v>2016</v>
      </c>
      <c r="F1474" s="9">
        <f>IFERROR(__xludf.DUMMYFUNCTION("""COMPUTED_VALUE"""),1500.0)</f>
        <v>1500</v>
      </c>
      <c r="G1474" s="9">
        <f>IFERROR(__xludf.DUMMYFUNCTION("""COMPUTED_VALUE"""),1.0)</f>
        <v>1</v>
      </c>
      <c r="H1474" s="10">
        <f>IFERROR(__xludf.DUMMYFUNCTION("""COMPUTED_VALUE"""),1.0)</f>
        <v>1</v>
      </c>
      <c r="I1474" s="11">
        <f>IFERROR(__xludf.DUMMYFUNCTION("""COMPUTED_VALUE"""),666.0)</f>
        <v>666</v>
      </c>
      <c r="J1474" s="9" t="str">
        <f>IFERROR(__xludf.DUMMYFUNCTION("""COMPUTED_VALUE"""),"UK")</f>
        <v>UK</v>
      </c>
      <c r="K1474" s="8"/>
      <c r="L1474" s="12"/>
      <c r="M1474" s="13"/>
      <c r="N1474" s="13" t="str">
        <f>IFERROR(__xludf.DUMMYFUNCTION("IF(ISBLANK(M1474),"""",M1474*GOOGLEFINANCE(""USDGBP""))"),"")</f>
        <v/>
      </c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</row>
    <row r="1475">
      <c r="A1475" s="8" t="str">
        <f>IFERROR(__xludf.DUMMYFUNCTION("""COMPUTED_VALUE"""),"112143420180300750")</f>
        <v>112143420180300750</v>
      </c>
      <c r="B1475" s="9" t="str">
        <f>IFERROR(__xludf.DUMMYFUNCTION("""COMPUTED_VALUE"""),"United States")</f>
        <v>United States</v>
      </c>
      <c r="C1475" s="9" t="str">
        <f>IFERROR(__xludf.DUMMYFUNCTION("""COMPUTED_VALUE"""),"california")</f>
        <v>california</v>
      </c>
      <c r="D1475" s="9" t="str">
        <f>IFERROR(__xludf.DUMMYFUNCTION("""COMPUTED_VALUE"""),"Eisele Vineyard, Cabernet Sauvignon, Napa Valley")</f>
        <v>Eisele Vineyard, Cabernet Sauvignon, Napa Valley</v>
      </c>
      <c r="E1475" s="9">
        <f>IFERROR(__xludf.DUMMYFUNCTION("""COMPUTED_VALUE"""),2018.0)</f>
        <v>2018</v>
      </c>
      <c r="F1475" s="9">
        <f>IFERROR(__xludf.DUMMYFUNCTION("""COMPUTED_VALUE"""),750.0)</f>
        <v>750</v>
      </c>
      <c r="G1475" s="9">
        <f>IFERROR(__xludf.DUMMYFUNCTION("""COMPUTED_VALUE"""),3.0)</f>
        <v>3</v>
      </c>
      <c r="H1475" s="10">
        <f>IFERROR(__xludf.DUMMYFUNCTION("""COMPUTED_VALUE"""),15.0)</f>
        <v>15</v>
      </c>
      <c r="I1475" s="11">
        <f>IFERROR(__xludf.DUMMYFUNCTION("""COMPUTED_VALUE"""),857.0)</f>
        <v>857</v>
      </c>
      <c r="J1475" s="9" t="str">
        <f>IFERROR(__xludf.DUMMYFUNCTION("""COMPUTED_VALUE"""),"UK")</f>
        <v>UK</v>
      </c>
      <c r="K1475" s="8"/>
      <c r="L1475" s="12"/>
      <c r="M1475" s="13"/>
      <c r="N1475" s="13" t="str">
        <f>IFERROR(__xludf.DUMMYFUNCTION("IF(ISBLANK(M1475),"""",M1475*GOOGLEFINANCE(""USDGBP""))"),"")</f>
        <v/>
      </c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</row>
    <row r="1476">
      <c r="A1476" s="8" t="str">
        <f>IFERROR(__xludf.DUMMYFUNCTION("""COMPUTED_VALUE"""),"112143420180101500")</f>
        <v>112143420180101500</v>
      </c>
      <c r="B1476" s="9" t="str">
        <f>IFERROR(__xludf.DUMMYFUNCTION("""COMPUTED_VALUE"""),"United States")</f>
        <v>United States</v>
      </c>
      <c r="C1476" s="9" t="str">
        <f>IFERROR(__xludf.DUMMYFUNCTION("""COMPUTED_VALUE"""),"california")</f>
        <v>california</v>
      </c>
      <c r="D1476" s="9" t="str">
        <f>IFERROR(__xludf.DUMMYFUNCTION("""COMPUTED_VALUE"""),"Eisele Vineyard, Cabernet Sauvignon, Napa Valley")</f>
        <v>Eisele Vineyard, Cabernet Sauvignon, Napa Valley</v>
      </c>
      <c r="E1476" s="9">
        <f>IFERROR(__xludf.DUMMYFUNCTION("""COMPUTED_VALUE"""),2018.0)</f>
        <v>2018</v>
      </c>
      <c r="F1476" s="9">
        <f>IFERROR(__xludf.DUMMYFUNCTION("""COMPUTED_VALUE"""),1500.0)</f>
        <v>1500</v>
      </c>
      <c r="G1476" s="9">
        <f>IFERROR(__xludf.DUMMYFUNCTION("""COMPUTED_VALUE"""),1.0)</f>
        <v>1</v>
      </c>
      <c r="H1476" s="10">
        <f>IFERROR(__xludf.DUMMYFUNCTION("""COMPUTED_VALUE"""),14.0)</f>
        <v>14</v>
      </c>
      <c r="I1476" s="11">
        <f>IFERROR(__xludf.DUMMYFUNCTION("""COMPUTED_VALUE"""),452.0)</f>
        <v>452</v>
      </c>
      <c r="J1476" s="9" t="str">
        <f>IFERROR(__xludf.DUMMYFUNCTION("""COMPUTED_VALUE"""),"UK")</f>
        <v>UK</v>
      </c>
      <c r="K1476" s="8"/>
      <c r="L1476" s="12"/>
      <c r="M1476" s="13"/>
      <c r="N1476" s="13" t="str">
        <f>IFERROR(__xludf.DUMMYFUNCTION("IF(ISBLANK(M1476),"""",M1476*GOOGLEFINANCE(""USDGBP""))"),"")</f>
        <v/>
      </c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</row>
    <row r="1477">
      <c r="A1477" s="8" t="str">
        <f>IFERROR(__xludf.DUMMYFUNCTION("""COMPUTED_VALUE"""),"112220020150600750")</f>
        <v>112220020150600750</v>
      </c>
      <c r="B1477" s="9" t="str">
        <f>IFERROR(__xludf.DUMMYFUNCTION("""COMPUTED_VALUE"""),"United States")</f>
        <v>United States</v>
      </c>
      <c r="C1477" s="9" t="str">
        <f>IFERROR(__xludf.DUMMYFUNCTION("""COMPUTED_VALUE"""),"california")</f>
        <v>california</v>
      </c>
      <c r="D1477" s="9" t="str">
        <f>IFERROR(__xludf.DUMMYFUNCTION("""COMPUTED_VALUE"""),"Harlan Estate, Napa Valley")</f>
        <v>Harlan Estate, Napa Valley</v>
      </c>
      <c r="E1477" s="9">
        <f>IFERROR(__xludf.DUMMYFUNCTION("""COMPUTED_VALUE"""),2015.0)</f>
        <v>2015</v>
      </c>
      <c r="F1477" s="9">
        <f>IFERROR(__xludf.DUMMYFUNCTION("""COMPUTED_VALUE"""),750.0)</f>
        <v>750</v>
      </c>
      <c r="G1477" s="9">
        <f>IFERROR(__xludf.DUMMYFUNCTION("""COMPUTED_VALUE"""),6.0)</f>
        <v>6</v>
      </c>
      <c r="H1477" s="10">
        <f>IFERROR(__xludf.DUMMYFUNCTION("""COMPUTED_VALUE"""),2.0)</f>
        <v>2</v>
      </c>
      <c r="I1477" s="11">
        <f>IFERROR(__xludf.DUMMYFUNCTION("""COMPUTED_VALUE"""),7343.0)</f>
        <v>7343</v>
      </c>
      <c r="J1477" s="9" t="str">
        <f>IFERROR(__xludf.DUMMYFUNCTION("""COMPUTED_VALUE"""),"UK")</f>
        <v>UK</v>
      </c>
      <c r="K1477" s="8"/>
      <c r="L1477" s="12"/>
      <c r="M1477" s="13"/>
      <c r="N1477" s="13" t="str">
        <f>IFERROR(__xludf.DUMMYFUNCTION("IF(ISBLANK(M1477),"""",M1477*GOOGLEFINANCE(""USDGBP""))"),"")</f>
        <v/>
      </c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</row>
    <row r="1478">
      <c r="A1478" s="8" t="str">
        <f>IFERROR(__xludf.DUMMYFUNCTION("""COMPUTED_VALUE"""),"112220020160600750")</f>
        <v>112220020160600750</v>
      </c>
      <c r="B1478" s="9" t="str">
        <f>IFERROR(__xludf.DUMMYFUNCTION("""COMPUTED_VALUE"""),"United States")</f>
        <v>United States</v>
      </c>
      <c r="C1478" s="9" t="str">
        <f>IFERROR(__xludf.DUMMYFUNCTION("""COMPUTED_VALUE"""),"california")</f>
        <v>california</v>
      </c>
      <c r="D1478" s="9" t="str">
        <f>IFERROR(__xludf.DUMMYFUNCTION("""COMPUTED_VALUE"""),"Harlan Estate, Napa Valley")</f>
        <v>Harlan Estate, Napa Valley</v>
      </c>
      <c r="E1478" s="9">
        <f>IFERROR(__xludf.DUMMYFUNCTION("""COMPUTED_VALUE"""),2016.0)</f>
        <v>2016</v>
      </c>
      <c r="F1478" s="9">
        <f>IFERROR(__xludf.DUMMYFUNCTION("""COMPUTED_VALUE"""),750.0)</f>
        <v>750</v>
      </c>
      <c r="G1478" s="9">
        <f>IFERROR(__xludf.DUMMYFUNCTION("""COMPUTED_VALUE"""),6.0)</f>
        <v>6</v>
      </c>
      <c r="H1478" s="10">
        <f>IFERROR(__xludf.DUMMYFUNCTION("""COMPUTED_VALUE"""),2.0)</f>
        <v>2</v>
      </c>
      <c r="I1478" s="11">
        <f>IFERROR(__xludf.DUMMYFUNCTION("""COMPUTED_VALUE"""),7909.0)</f>
        <v>7909</v>
      </c>
      <c r="J1478" s="9" t="str">
        <f>IFERROR(__xludf.DUMMYFUNCTION("""COMPUTED_VALUE"""),"UK")</f>
        <v>UK</v>
      </c>
      <c r="K1478" s="8"/>
      <c r="L1478" s="12"/>
      <c r="M1478" s="13"/>
      <c r="N1478" s="13" t="str">
        <f>IFERROR(__xludf.DUMMYFUNCTION("IF(ISBLANK(M1478),"""",M1478*GOOGLEFINANCE(""USDGBP""))"),"")</f>
        <v/>
      </c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</row>
    <row r="1479">
      <c r="A1479" s="8" t="str">
        <f>IFERROR(__xludf.DUMMYFUNCTION("""COMPUTED_VALUE"""),"112220020170300750")</f>
        <v>112220020170300750</v>
      </c>
      <c r="B1479" s="9" t="str">
        <f>IFERROR(__xludf.DUMMYFUNCTION("""COMPUTED_VALUE"""),"United States")</f>
        <v>United States</v>
      </c>
      <c r="C1479" s="9" t="str">
        <f>IFERROR(__xludf.DUMMYFUNCTION("""COMPUTED_VALUE"""),"california")</f>
        <v>california</v>
      </c>
      <c r="D1479" s="9" t="str">
        <f>IFERROR(__xludf.DUMMYFUNCTION("""COMPUTED_VALUE"""),"Harlan Estate, Napa Valley")</f>
        <v>Harlan Estate, Napa Valley</v>
      </c>
      <c r="E1479" s="9">
        <f>IFERROR(__xludf.DUMMYFUNCTION("""COMPUTED_VALUE"""),2017.0)</f>
        <v>2017</v>
      </c>
      <c r="F1479" s="9">
        <f>IFERROR(__xludf.DUMMYFUNCTION("""COMPUTED_VALUE"""),750.0)</f>
        <v>750</v>
      </c>
      <c r="G1479" s="9">
        <f>IFERROR(__xludf.DUMMYFUNCTION("""COMPUTED_VALUE"""),3.0)</f>
        <v>3</v>
      </c>
      <c r="H1479" s="10">
        <f>IFERROR(__xludf.DUMMYFUNCTION("""COMPUTED_VALUE"""),2.0)</f>
        <v>2</v>
      </c>
      <c r="I1479" s="11">
        <f>IFERROR(__xludf.DUMMYFUNCTION("""COMPUTED_VALUE"""),2818.0)</f>
        <v>2818</v>
      </c>
      <c r="J1479" s="9" t="str">
        <f>IFERROR(__xludf.DUMMYFUNCTION("""COMPUTED_VALUE"""),"UK")</f>
        <v>UK</v>
      </c>
      <c r="K1479" s="8"/>
      <c r="L1479" s="12"/>
      <c r="M1479" s="13"/>
      <c r="N1479" s="13" t="str">
        <f>IFERROR(__xludf.DUMMYFUNCTION("IF(ISBLANK(M1479),"""",M1479*GOOGLEFINANCE(""USDGBP""))"),"")</f>
        <v/>
      </c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</row>
    <row r="1480">
      <c r="A1480" s="8" t="str">
        <f>IFERROR(__xludf.DUMMYFUNCTION("""COMPUTED_VALUE"""),"112221320150300750")</f>
        <v>112221320150300750</v>
      </c>
      <c r="B1480" s="9" t="str">
        <f>IFERROR(__xludf.DUMMYFUNCTION("""COMPUTED_VALUE"""),"United States")</f>
        <v>United States</v>
      </c>
      <c r="C1480" s="9" t="str">
        <f>IFERROR(__xludf.DUMMYFUNCTION("""COMPUTED_VALUE"""),"california")</f>
        <v>california</v>
      </c>
      <c r="D1480" s="9" t="str">
        <f>IFERROR(__xludf.DUMMYFUNCTION("""COMPUTED_VALUE"""),"Harlan Estate, The Maiden, Napa Valley")</f>
        <v>Harlan Estate, The Maiden, Napa Valley</v>
      </c>
      <c r="E1480" s="9">
        <f>IFERROR(__xludf.DUMMYFUNCTION("""COMPUTED_VALUE"""),2015.0)</f>
        <v>2015</v>
      </c>
      <c r="F1480" s="9">
        <f>IFERROR(__xludf.DUMMYFUNCTION("""COMPUTED_VALUE"""),750.0)</f>
        <v>750</v>
      </c>
      <c r="G1480" s="9">
        <f>IFERROR(__xludf.DUMMYFUNCTION("""COMPUTED_VALUE"""),3.0)</f>
        <v>3</v>
      </c>
      <c r="H1480" s="10">
        <f>IFERROR(__xludf.DUMMYFUNCTION("""COMPUTED_VALUE"""),2.0)</f>
        <v>2</v>
      </c>
      <c r="I1480" s="11">
        <f>IFERROR(__xludf.DUMMYFUNCTION("""COMPUTED_VALUE"""),965.0)</f>
        <v>965</v>
      </c>
      <c r="J1480" s="9" t="str">
        <f>IFERROR(__xludf.DUMMYFUNCTION("""COMPUTED_VALUE"""),"UK")</f>
        <v>UK</v>
      </c>
      <c r="K1480" s="8"/>
      <c r="L1480" s="12"/>
      <c r="M1480" s="13"/>
      <c r="N1480" s="13" t="str">
        <f>IFERROR(__xludf.DUMMYFUNCTION("IF(ISBLANK(M1480),"""",M1480*GOOGLEFINANCE(""USDGBP""))"),"")</f>
        <v/>
      </c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</row>
    <row r="1481">
      <c r="A1481" s="8" t="str">
        <f>IFERROR(__xludf.DUMMYFUNCTION("""COMPUTED_VALUE"""),"135468320141200750")</f>
        <v>135468320141200750</v>
      </c>
      <c r="B1481" s="9" t="str">
        <f>IFERROR(__xludf.DUMMYFUNCTION("""COMPUTED_VALUE"""),"United States")</f>
        <v>United States</v>
      </c>
      <c r="C1481" s="9" t="str">
        <f>IFERROR(__xludf.DUMMYFUNCTION("""COMPUTED_VALUE"""),"california")</f>
        <v>california</v>
      </c>
      <c r="D1481" s="9" t="str">
        <f>IFERROR(__xludf.DUMMYFUNCTION("""COMPUTED_VALUE"""),"Hirsch Vineyards, San Andreas Fault Pinot Noir, Sonoma Coast")</f>
        <v>Hirsch Vineyards, San Andreas Fault Pinot Noir, Sonoma Coast</v>
      </c>
      <c r="E1481" s="9">
        <f>IFERROR(__xludf.DUMMYFUNCTION("""COMPUTED_VALUE"""),2014.0)</f>
        <v>2014</v>
      </c>
      <c r="F1481" s="9">
        <f>IFERROR(__xludf.DUMMYFUNCTION("""COMPUTED_VALUE"""),750.0)</f>
        <v>750</v>
      </c>
      <c r="G1481" s="9">
        <f>IFERROR(__xludf.DUMMYFUNCTION("""COMPUTED_VALUE"""),12.0)</f>
        <v>12</v>
      </c>
      <c r="H1481" s="10">
        <f>IFERROR(__xludf.DUMMYFUNCTION("""COMPUTED_VALUE"""),1.0)</f>
        <v>1</v>
      </c>
      <c r="I1481" s="11">
        <f>IFERROR(__xludf.DUMMYFUNCTION("""COMPUTED_VALUE"""),920.0)</f>
        <v>920</v>
      </c>
      <c r="J1481" s="9" t="str">
        <f>IFERROR(__xludf.DUMMYFUNCTION("""COMPUTED_VALUE"""),"UK")</f>
        <v>UK</v>
      </c>
      <c r="K1481" s="8"/>
      <c r="L1481" s="12"/>
      <c r="M1481" s="13"/>
      <c r="N1481" s="13" t="str">
        <f>IFERROR(__xludf.DUMMYFUNCTION("IF(ISBLANK(M1481),"""",M1481*GOOGLEFINANCE(""USDGBP""))"),"")</f>
        <v/>
      </c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</row>
    <row r="1482">
      <c r="A1482" s="8" t="str">
        <f>IFERROR(__xludf.DUMMYFUNCTION("""COMPUTED_VALUE"""),"114119920140200750")</f>
        <v>114119920140200750</v>
      </c>
      <c r="B1482" s="9" t="str">
        <f>IFERROR(__xludf.DUMMYFUNCTION("""COMPUTED_VALUE"""),"United States")</f>
        <v>United States</v>
      </c>
      <c r="C1482" s="9" t="str">
        <f>IFERROR(__xludf.DUMMYFUNCTION("""COMPUTED_VALUE"""),"california")</f>
        <v>california</v>
      </c>
      <c r="D1482" s="9" t="str">
        <f>IFERROR(__xludf.DUMMYFUNCTION("""COMPUTED_VALUE"""),"Hundred Acre, Deep Time Kayli Morgan Vineyard, Napa Valley")</f>
        <v>Hundred Acre, Deep Time Kayli Morgan Vineyard, Napa Valley</v>
      </c>
      <c r="E1482" s="9">
        <f>IFERROR(__xludf.DUMMYFUNCTION("""COMPUTED_VALUE"""),2014.0)</f>
        <v>2014</v>
      </c>
      <c r="F1482" s="9">
        <f>IFERROR(__xludf.DUMMYFUNCTION("""COMPUTED_VALUE"""),750.0)</f>
        <v>750</v>
      </c>
      <c r="G1482" s="9">
        <f>IFERROR(__xludf.DUMMYFUNCTION("""COMPUTED_VALUE"""),2.0)</f>
        <v>2</v>
      </c>
      <c r="H1482" s="10">
        <f>IFERROR(__xludf.DUMMYFUNCTION("""COMPUTED_VALUE"""),1.0)</f>
        <v>1</v>
      </c>
      <c r="I1482" s="11">
        <f>IFERROR(__xludf.DUMMYFUNCTION("""COMPUTED_VALUE"""),856.0)</f>
        <v>856</v>
      </c>
      <c r="J1482" s="9" t="str">
        <f>IFERROR(__xludf.DUMMYFUNCTION("""COMPUTED_VALUE"""),"UK")</f>
        <v>UK</v>
      </c>
      <c r="K1482" s="8"/>
      <c r="L1482" s="12"/>
      <c r="M1482" s="13"/>
      <c r="N1482" s="13" t="str">
        <f>IFERROR(__xludf.DUMMYFUNCTION("IF(ISBLANK(M1482),"""",M1482*GOOGLEFINANCE(""USDGBP""))"),"")</f>
        <v/>
      </c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</row>
    <row r="1483">
      <c r="A1483" s="8" t="str">
        <f>IFERROR(__xludf.DUMMYFUNCTION("""COMPUTED_VALUE"""),"151390120070200750")</f>
        <v>151390120070200750</v>
      </c>
      <c r="B1483" s="9" t="str">
        <f>IFERROR(__xludf.DUMMYFUNCTION("""COMPUTED_VALUE"""),"United States")</f>
        <v>United States</v>
      </c>
      <c r="C1483" s="9" t="str">
        <f>IFERROR(__xludf.DUMMYFUNCTION("""COMPUTED_VALUE"""),"california")</f>
        <v>california</v>
      </c>
      <c r="D1483" s="9" t="str">
        <f>IFERROR(__xludf.DUMMYFUNCTION("""COMPUTED_VALUE"""),"Hundred Acre, Deep Time, Napa Valley")</f>
        <v>Hundred Acre, Deep Time, Napa Valley</v>
      </c>
      <c r="E1483" s="9">
        <f>IFERROR(__xludf.DUMMYFUNCTION("""COMPUTED_VALUE"""),2007.0)</f>
        <v>2007</v>
      </c>
      <c r="F1483" s="9">
        <f>IFERROR(__xludf.DUMMYFUNCTION("""COMPUTED_VALUE"""),750.0)</f>
        <v>750</v>
      </c>
      <c r="G1483" s="9">
        <f>IFERROR(__xludf.DUMMYFUNCTION("""COMPUTED_VALUE"""),2.0)</f>
        <v>2</v>
      </c>
      <c r="H1483" s="10">
        <f>IFERROR(__xludf.DUMMYFUNCTION("""COMPUTED_VALUE"""),4.0)</f>
        <v>4</v>
      </c>
      <c r="I1483" s="11">
        <f>IFERROR(__xludf.DUMMYFUNCTION("""COMPUTED_VALUE"""),1272.0)</f>
        <v>1272</v>
      </c>
      <c r="J1483" s="9" t="str">
        <f>IFERROR(__xludf.DUMMYFUNCTION("""COMPUTED_VALUE"""),"UK")</f>
        <v>UK</v>
      </c>
      <c r="K1483" s="8"/>
      <c r="L1483" s="12"/>
      <c r="M1483" s="13"/>
      <c r="N1483" s="13" t="str">
        <f>IFERROR(__xludf.DUMMYFUNCTION("IF(ISBLANK(M1483),"""",M1483*GOOGLEFINANCE(""USDGBP""))"),"")</f>
        <v/>
      </c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</row>
    <row r="1484">
      <c r="A1484" s="8" t="str">
        <f>IFERROR(__xludf.DUMMYFUNCTION("""COMPUTED_VALUE"""),"118588120140101500")</f>
        <v>118588120140101500</v>
      </c>
      <c r="B1484" s="9" t="str">
        <f>IFERROR(__xludf.DUMMYFUNCTION("""COMPUTED_VALUE"""),"United States")</f>
        <v>United States</v>
      </c>
      <c r="C1484" s="9" t="str">
        <f>IFERROR(__xludf.DUMMYFUNCTION("""COMPUTED_VALUE"""),"california")</f>
        <v>california</v>
      </c>
      <c r="D1484" s="9" t="str">
        <f>IFERROR(__xludf.DUMMYFUNCTION("""COMPUTED_VALUE"""),"Hundred Acre, Few and Far Between, Napa Valley")</f>
        <v>Hundred Acre, Few and Far Between, Napa Valley</v>
      </c>
      <c r="E1484" s="9">
        <f>IFERROR(__xludf.DUMMYFUNCTION("""COMPUTED_VALUE"""),2014.0)</f>
        <v>2014</v>
      </c>
      <c r="F1484" s="9">
        <f>IFERROR(__xludf.DUMMYFUNCTION("""COMPUTED_VALUE"""),1500.0)</f>
        <v>1500</v>
      </c>
      <c r="G1484" s="9">
        <f>IFERROR(__xludf.DUMMYFUNCTION("""COMPUTED_VALUE"""),1.0)</f>
        <v>1</v>
      </c>
      <c r="H1484" s="10">
        <f>IFERROR(__xludf.DUMMYFUNCTION("""COMPUTED_VALUE"""),2.0)</f>
        <v>2</v>
      </c>
      <c r="I1484" s="11">
        <f>IFERROR(__xludf.DUMMYFUNCTION("""COMPUTED_VALUE"""),895.0)</f>
        <v>895</v>
      </c>
      <c r="J1484" s="9" t="str">
        <f>IFERROR(__xludf.DUMMYFUNCTION("""COMPUTED_VALUE"""),"UK")</f>
        <v>UK</v>
      </c>
      <c r="K1484" s="8"/>
      <c r="L1484" s="12"/>
      <c r="M1484" s="13"/>
      <c r="N1484" s="13" t="str">
        <f>IFERROR(__xludf.DUMMYFUNCTION("IF(ISBLANK(M1484),"""",M1484*GOOGLEFINANCE(""USDGBP""))"),"")</f>
        <v/>
      </c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</row>
    <row r="1485">
      <c r="A1485" s="8" t="str">
        <f>IFERROR(__xludf.DUMMYFUNCTION("""COMPUTED_VALUE"""),"114120320080101500")</f>
        <v>114120320080101500</v>
      </c>
      <c r="B1485" s="9" t="str">
        <f>IFERROR(__xludf.DUMMYFUNCTION("""COMPUTED_VALUE"""),"United States")</f>
        <v>United States</v>
      </c>
      <c r="C1485" s="9" t="str">
        <f>IFERROR(__xludf.DUMMYFUNCTION("""COMPUTED_VALUE"""),"california")</f>
        <v>california</v>
      </c>
      <c r="D1485" s="9" t="str">
        <f>IFERROR(__xludf.DUMMYFUNCTION("""COMPUTED_VALUE"""),"Hundred Acre, Morgan's Way Vineyard Cabernet Sauvignon, Napa Valley")</f>
        <v>Hundred Acre, Morgan's Way Vineyard Cabernet Sauvignon, Napa Valley</v>
      </c>
      <c r="E1485" s="9">
        <f>IFERROR(__xludf.DUMMYFUNCTION("""COMPUTED_VALUE"""),2008.0)</f>
        <v>2008</v>
      </c>
      <c r="F1485" s="9">
        <f>IFERROR(__xludf.DUMMYFUNCTION("""COMPUTED_VALUE"""),1500.0)</f>
        <v>1500</v>
      </c>
      <c r="G1485" s="9">
        <f>IFERROR(__xludf.DUMMYFUNCTION("""COMPUTED_VALUE"""),1.0)</f>
        <v>1</v>
      </c>
      <c r="H1485" s="10">
        <f>IFERROR(__xludf.DUMMYFUNCTION("""COMPUTED_VALUE"""),1.0)</f>
        <v>1</v>
      </c>
      <c r="I1485" s="11">
        <f>IFERROR(__xludf.DUMMYFUNCTION("""COMPUTED_VALUE"""),933.0)</f>
        <v>933</v>
      </c>
      <c r="J1485" s="9" t="str">
        <f>IFERROR(__xludf.DUMMYFUNCTION("""COMPUTED_VALUE"""),"UK")</f>
        <v>UK</v>
      </c>
      <c r="K1485" s="8"/>
      <c r="L1485" s="12"/>
      <c r="M1485" s="13"/>
      <c r="N1485" s="13" t="str">
        <f>IFERROR(__xludf.DUMMYFUNCTION("IF(ISBLANK(M1485),"""",M1485*GOOGLEFINANCE(""USDGBP""))"),"")</f>
        <v/>
      </c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</row>
    <row r="1486">
      <c r="A1486" s="8" t="str">
        <f>IFERROR(__xludf.DUMMYFUNCTION("""COMPUTED_VALUE"""),"114120320140300750")</f>
        <v>114120320140300750</v>
      </c>
      <c r="B1486" s="9" t="str">
        <f>IFERROR(__xludf.DUMMYFUNCTION("""COMPUTED_VALUE"""),"United States")</f>
        <v>United States</v>
      </c>
      <c r="C1486" s="9" t="str">
        <f>IFERROR(__xludf.DUMMYFUNCTION("""COMPUTED_VALUE"""),"california")</f>
        <v>california</v>
      </c>
      <c r="D1486" s="9" t="str">
        <f>IFERROR(__xludf.DUMMYFUNCTION("""COMPUTED_VALUE"""),"Hundred Acre, Morgan's Way Vineyard Cabernet Sauvignon, Napa Valley")</f>
        <v>Hundred Acre, Morgan's Way Vineyard Cabernet Sauvignon, Napa Valley</v>
      </c>
      <c r="E1486" s="9">
        <f>IFERROR(__xludf.DUMMYFUNCTION("""COMPUTED_VALUE"""),2014.0)</f>
        <v>2014</v>
      </c>
      <c r="F1486" s="9">
        <f>IFERROR(__xludf.DUMMYFUNCTION("""COMPUTED_VALUE"""),750.0)</f>
        <v>750</v>
      </c>
      <c r="G1486" s="9">
        <f>IFERROR(__xludf.DUMMYFUNCTION("""COMPUTED_VALUE"""),3.0)</f>
        <v>3</v>
      </c>
      <c r="H1486" s="10">
        <f>IFERROR(__xludf.DUMMYFUNCTION("""COMPUTED_VALUE"""),1.0)</f>
        <v>1</v>
      </c>
      <c r="I1486" s="11">
        <f>IFERROR(__xludf.DUMMYFUNCTION("""COMPUTED_VALUE"""),1378.0)</f>
        <v>1378</v>
      </c>
      <c r="J1486" s="9" t="str">
        <f>IFERROR(__xludf.DUMMYFUNCTION("""COMPUTED_VALUE"""),"UK")</f>
        <v>UK</v>
      </c>
      <c r="K1486" s="8"/>
      <c r="L1486" s="12"/>
      <c r="M1486" s="13"/>
      <c r="N1486" s="13" t="str">
        <f>IFERROR(__xludf.DUMMYFUNCTION("IF(ISBLANK(M1486),"""",M1486*GOOGLEFINANCE(""USDGBP""))"),"")</f>
        <v/>
      </c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</row>
    <row r="1487">
      <c r="A1487" s="8" t="str">
        <f>IFERROR(__xludf.DUMMYFUNCTION("""COMPUTED_VALUE"""),"114122920070300750")</f>
        <v>114122920070300750</v>
      </c>
      <c r="B1487" s="9" t="str">
        <f>IFERROR(__xludf.DUMMYFUNCTION("""COMPUTED_VALUE"""),"United States")</f>
        <v>United States</v>
      </c>
      <c r="C1487" s="9" t="str">
        <f>IFERROR(__xludf.DUMMYFUNCTION("""COMPUTED_VALUE"""),"california")</f>
        <v>california</v>
      </c>
      <c r="D1487" s="9" t="str">
        <f>IFERROR(__xludf.DUMMYFUNCTION("""COMPUTED_VALUE"""),"Hundred Acre, The Ark Vineyard, Napa Valley")</f>
        <v>Hundred Acre, The Ark Vineyard, Napa Valley</v>
      </c>
      <c r="E1487" s="9">
        <f>IFERROR(__xludf.DUMMYFUNCTION("""COMPUTED_VALUE"""),2007.0)</f>
        <v>2007</v>
      </c>
      <c r="F1487" s="9">
        <f>IFERROR(__xludf.DUMMYFUNCTION("""COMPUTED_VALUE"""),750.0)</f>
        <v>750</v>
      </c>
      <c r="G1487" s="9">
        <f>IFERROR(__xludf.DUMMYFUNCTION("""COMPUTED_VALUE"""),3.0)</f>
        <v>3</v>
      </c>
      <c r="H1487" s="10">
        <f>IFERROR(__xludf.DUMMYFUNCTION("""COMPUTED_VALUE"""),1.0)</f>
        <v>1</v>
      </c>
      <c r="I1487" s="11">
        <f>IFERROR(__xludf.DUMMYFUNCTION("""COMPUTED_VALUE"""),2315.0)</f>
        <v>2315</v>
      </c>
      <c r="J1487" s="9" t="str">
        <f>IFERROR(__xludf.DUMMYFUNCTION("""COMPUTED_VALUE"""),"UK")</f>
        <v>UK</v>
      </c>
      <c r="K1487" s="8"/>
      <c r="L1487" s="12"/>
      <c r="M1487" s="13"/>
      <c r="N1487" s="13" t="str">
        <f>IFERROR(__xludf.DUMMYFUNCTION("IF(ISBLANK(M1487),"""",M1487*GOOGLEFINANCE(""USDGBP""))"),"")</f>
        <v/>
      </c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</row>
    <row r="1488">
      <c r="A1488" s="8" t="str">
        <f>IFERROR(__xludf.DUMMYFUNCTION("""COMPUTED_VALUE"""),"114122920140300750")</f>
        <v>114122920140300750</v>
      </c>
      <c r="B1488" s="9" t="str">
        <f>IFERROR(__xludf.DUMMYFUNCTION("""COMPUTED_VALUE"""),"United States")</f>
        <v>United States</v>
      </c>
      <c r="C1488" s="9" t="str">
        <f>IFERROR(__xludf.DUMMYFUNCTION("""COMPUTED_VALUE"""),"california")</f>
        <v>california</v>
      </c>
      <c r="D1488" s="9" t="str">
        <f>IFERROR(__xludf.DUMMYFUNCTION("""COMPUTED_VALUE"""),"Hundred Acre, The Ark Vineyard, Napa Valley")</f>
        <v>Hundred Acre, The Ark Vineyard, Napa Valley</v>
      </c>
      <c r="E1488" s="9">
        <f>IFERROR(__xludf.DUMMYFUNCTION("""COMPUTED_VALUE"""),2014.0)</f>
        <v>2014</v>
      </c>
      <c r="F1488" s="9">
        <f>IFERROR(__xludf.DUMMYFUNCTION("""COMPUTED_VALUE"""),750.0)</f>
        <v>750</v>
      </c>
      <c r="G1488" s="9">
        <f>IFERROR(__xludf.DUMMYFUNCTION("""COMPUTED_VALUE"""),3.0)</f>
        <v>3</v>
      </c>
      <c r="H1488" s="10">
        <f>IFERROR(__xludf.DUMMYFUNCTION("""COMPUTED_VALUE"""),1.0)</f>
        <v>1</v>
      </c>
      <c r="I1488" s="11">
        <f>IFERROR(__xludf.DUMMYFUNCTION("""COMPUTED_VALUE"""),1388.0)</f>
        <v>1388</v>
      </c>
      <c r="J1488" s="9" t="str">
        <f>IFERROR(__xludf.DUMMYFUNCTION("""COMPUTED_VALUE"""),"UK")</f>
        <v>UK</v>
      </c>
      <c r="K1488" s="8"/>
      <c r="L1488" s="12"/>
      <c r="M1488" s="13"/>
      <c r="N1488" s="13" t="str">
        <f>IFERROR(__xludf.DUMMYFUNCTION("IF(ISBLANK(M1488),"""",M1488*GOOGLEFINANCE(""USDGBP""))"),"")</f>
        <v/>
      </c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</row>
    <row r="1489">
      <c r="A1489" s="8" t="str">
        <f>IFERROR(__xludf.DUMMYFUNCTION("""COMPUTED_VALUE"""),"114122920180300750")</f>
        <v>114122920180300750</v>
      </c>
      <c r="B1489" s="9" t="str">
        <f>IFERROR(__xludf.DUMMYFUNCTION("""COMPUTED_VALUE"""),"United States")</f>
        <v>United States</v>
      </c>
      <c r="C1489" s="9" t="str">
        <f>IFERROR(__xludf.DUMMYFUNCTION("""COMPUTED_VALUE"""),"california")</f>
        <v>california</v>
      </c>
      <c r="D1489" s="9" t="str">
        <f>IFERROR(__xludf.DUMMYFUNCTION("""COMPUTED_VALUE"""),"Hundred Acre, The Ark Vineyard, Napa Valley")</f>
        <v>Hundred Acre, The Ark Vineyard, Napa Valley</v>
      </c>
      <c r="E1489" s="9">
        <f>IFERROR(__xludf.DUMMYFUNCTION("""COMPUTED_VALUE"""),2018.0)</f>
        <v>2018</v>
      </c>
      <c r="F1489" s="9">
        <f>IFERROR(__xludf.DUMMYFUNCTION("""COMPUTED_VALUE"""),750.0)</f>
        <v>750</v>
      </c>
      <c r="G1489" s="9">
        <f>IFERROR(__xludf.DUMMYFUNCTION("""COMPUTED_VALUE"""),3.0)</f>
        <v>3</v>
      </c>
      <c r="H1489" s="10">
        <f>IFERROR(__xludf.DUMMYFUNCTION("""COMPUTED_VALUE"""),1.0)</f>
        <v>1</v>
      </c>
      <c r="I1489" s="11">
        <f>IFERROR(__xludf.DUMMYFUNCTION("""COMPUTED_VALUE"""),1458.0)</f>
        <v>1458</v>
      </c>
      <c r="J1489" s="9" t="str">
        <f>IFERROR(__xludf.DUMMYFUNCTION("""COMPUTED_VALUE"""),"UK")</f>
        <v>UK</v>
      </c>
      <c r="K1489" s="8"/>
      <c r="L1489" s="12"/>
      <c r="M1489" s="13"/>
      <c r="N1489" s="13" t="str">
        <f>IFERROR(__xludf.DUMMYFUNCTION("IF(ISBLANK(M1489),"""",M1489*GOOGLEFINANCE(""USDGBP""))"),"")</f>
        <v/>
      </c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</row>
    <row r="1490">
      <c r="A1490" s="8" t="str">
        <f>IFERROR(__xludf.DUMMYFUNCTION("""COMPUTED_VALUE"""),"148295120170300750")</f>
        <v>148295120170300750</v>
      </c>
      <c r="B1490" s="9" t="str">
        <f>IFERROR(__xludf.DUMMYFUNCTION("""COMPUTED_VALUE"""),"United States")</f>
        <v>United States</v>
      </c>
      <c r="C1490" s="9" t="str">
        <f>IFERROR(__xludf.DUMMYFUNCTION("""COMPUTED_VALUE"""),"california")</f>
        <v>california</v>
      </c>
      <c r="D1490" s="9" t="str">
        <f>IFERROR(__xludf.DUMMYFUNCTION("""COMPUTED_VALUE"""),"Hundred Acre, Wraith, Napa Valley")</f>
        <v>Hundred Acre, Wraith, Napa Valley</v>
      </c>
      <c r="E1490" s="9">
        <f>IFERROR(__xludf.DUMMYFUNCTION("""COMPUTED_VALUE"""),2017.0)</f>
        <v>2017</v>
      </c>
      <c r="F1490" s="9">
        <f>IFERROR(__xludf.DUMMYFUNCTION("""COMPUTED_VALUE"""),750.0)</f>
        <v>750</v>
      </c>
      <c r="G1490" s="9">
        <f>IFERROR(__xludf.DUMMYFUNCTION("""COMPUTED_VALUE"""),3.0)</f>
        <v>3</v>
      </c>
      <c r="H1490" s="10">
        <f>IFERROR(__xludf.DUMMYFUNCTION("""COMPUTED_VALUE"""),4.0)</f>
        <v>4</v>
      </c>
      <c r="I1490" s="11">
        <f>IFERROR(__xludf.DUMMYFUNCTION("""COMPUTED_VALUE"""),1448.0)</f>
        <v>1448</v>
      </c>
      <c r="J1490" s="9" t="str">
        <f>IFERROR(__xludf.DUMMYFUNCTION("""COMPUTED_VALUE"""),"UK")</f>
        <v>UK</v>
      </c>
      <c r="K1490" s="8"/>
      <c r="L1490" s="12"/>
      <c r="M1490" s="13"/>
      <c r="N1490" s="13" t="str">
        <f>IFERROR(__xludf.DUMMYFUNCTION("IF(ISBLANK(M1490),"""",M1490*GOOGLEFINANCE(""USDGBP""))"),"")</f>
        <v/>
      </c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</row>
    <row r="1491">
      <c r="A1491" s="8" t="str">
        <f>IFERROR(__xludf.DUMMYFUNCTION("""COMPUTED_VALUE"""),"113628720120600750")</f>
        <v>113628720120600750</v>
      </c>
      <c r="B1491" s="9" t="str">
        <f>IFERROR(__xludf.DUMMYFUNCTION("""COMPUTED_VALUE"""),"United States")</f>
        <v>United States</v>
      </c>
      <c r="C1491" s="9" t="str">
        <f>IFERROR(__xludf.DUMMYFUNCTION("""COMPUTED_VALUE"""),"california")</f>
        <v>california</v>
      </c>
      <c r="D1491" s="9" t="str">
        <f>IFERROR(__xludf.DUMMYFUNCTION("""COMPUTED_VALUE"""),"Inglenook, Cask Cabernet Sauvignon, Napa Valley")</f>
        <v>Inglenook, Cask Cabernet Sauvignon, Napa Valley</v>
      </c>
      <c r="E1491" s="9">
        <f>IFERROR(__xludf.DUMMYFUNCTION("""COMPUTED_VALUE"""),2012.0)</f>
        <v>2012</v>
      </c>
      <c r="F1491" s="9">
        <f>IFERROR(__xludf.DUMMYFUNCTION("""COMPUTED_VALUE"""),750.0)</f>
        <v>750</v>
      </c>
      <c r="G1491" s="9">
        <f>IFERROR(__xludf.DUMMYFUNCTION("""COMPUTED_VALUE"""),6.0)</f>
        <v>6</v>
      </c>
      <c r="H1491" s="10">
        <f>IFERROR(__xludf.DUMMYFUNCTION("""COMPUTED_VALUE"""),2.0)</f>
        <v>2</v>
      </c>
      <c r="I1491" s="11">
        <f>IFERROR(__xludf.DUMMYFUNCTION("""COMPUTED_VALUE"""),498.0)</f>
        <v>498</v>
      </c>
      <c r="J1491" s="9" t="str">
        <f>IFERROR(__xludf.DUMMYFUNCTION("""COMPUTED_VALUE"""),"UK")</f>
        <v>UK</v>
      </c>
      <c r="K1491" s="8"/>
      <c r="L1491" s="12"/>
      <c r="M1491" s="13"/>
      <c r="N1491" s="13" t="str">
        <f>IFERROR(__xludf.DUMMYFUNCTION("IF(ISBLANK(M1491),"""",M1491*GOOGLEFINANCE(""USDGBP""))"),"")</f>
        <v/>
      </c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</row>
    <row r="1492">
      <c r="A1492" s="8" t="str">
        <f>IFERROR(__xludf.DUMMYFUNCTION("""COMPUTED_VALUE"""),"114274720140600750")</f>
        <v>114274720140600750</v>
      </c>
      <c r="B1492" s="9" t="str">
        <f>IFERROR(__xludf.DUMMYFUNCTION("""COMPUTED_VALUE"""),"United States")</f>
        <v>United States</v>
      </c>
      <c r="C1492" s="9" t="str">
        <f>IFERROR(__xludf.DUMMYFUNCTION("""COMPUTED_VALUE"""),"california")</f>
        <v>california</v>
      </c>
      <c r="D1492" s="9" t="str">
        <f>IFERROR(__xludf.DUMMYFUNCTION("""COMPUTED_VALUE"""),"Inglenook, Rubicon, Napa Valley")</f>
        <v>Inglenook, Rubicon, Napa Valley</v>
      </c>
      <c r="E1492" s="9">
        <f>IFERROR(__xludf.DUMMYFUNCTION("""COMPUTED_VALUE"""),2014.0)</f>
        <v>2014</v>
      </c>
      <c r="F1492" s="9">
        <f>IFERROR(__xludf.DUMMYFUNCTION("""COMPUTED_VALUE"""),750.0)</f>
        <v>750</v>
      </c>
      <c r="G1492" s="9">
        <f>IFERROR(__xludf.DUMMYFUNCTION("""COMPUTED_VALUE"""),6.0)</f>
        <v>6</v>
      </c>
      <c r="H1492" s="10">
        <f>IFERROR(__xludf.DUMMYFUNCTION("""COMPUTED_VALUE"""),1.0)</f>
        <v>1</v>
      </c>
      <c r="I1492" s="11">
        <f>IFERROR(__xludf.DUMMYFUNCTION("""COMPUTED_VALUE"""),666.0)</f>
        <v>666</v>
      </c>
      <c r="J1492" s="9" t="str">
        <f>IFERROR(__xludf.DUMMYFUNCTION("""COMPUTED_VALUE"""),"UK")</f>
        <v>UK</v>
      </c>
      <c r="K1492" s="8"/>
      <c r="L1492" s="12"/>
      <c r="M1492" s="13"/>
      <c r="N1492" s="13" t="str">
        <f>IFERROR(__xludf.DUMMYFUNCTION("IF(ISBLANK(M1492),"""",M1492*GOOGLEFINANCE(""USDGBP""))"),"")</f>
        <v/>
      </c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</row>
    <row r="1493">
      <c r="A1493" s="8" t="str">
        <f>IFERROR(__xludf.DUMMYFUNCTION("""COMPUTED_VALUE"""),"114274720180600750")</f>
        <v>114274720180600750</v>
      </c>
      <c r="B1493" s="9" t="str">
        <f>IFERROR(__xludf.DUMMYFUNCTION("""COMPUTED_VALUE"""),"United States")</f>
        <v>United States</v>
      </c>
      <c r="C1493" s="9" t="str">
        <f>IFERROR(__xludf.DUMMYFUNCTION("""COMPUTED_VALUE"""),"california")</f>
        <v>california</v>
      </c>
      <c r="D1493" s="9" t="str">
        <f>IFERROR(__xludf.DUMMYFUNCTION("""COMPUTED_VALUE"""),"Inglenook, Rubicon, Napa Valley")</f>
        <v>Inglenook, Rubicon, Napa Valley</v>
      </c>
      <c r="E1493" s="9">
        <f>IFERROR(__xludf.DUMMYFUNCTION("""COMPUTED_VALUE"""),2018.0)</f>
        <v>2018</v>
      </c>
      <c r="F1493" s="9">
        <f>IFERROR(__xludf.DUMMYFUNCTION("""COMPUTED_VALUE"""),750.0)</f>
        <v>750</v>
      </c>
      <c r="G1493" s="9">
        <f>IFERROR(__xludf.DUMMYFUNCTION("""COMPUTED_VALUE"""),6.0)</f>
        <v>6</v>
      </c>
      <c r="H1493" s="10">
        <f>IFERROR(__xludf.DUMMYFUNCTION("""COMPUTED_VALUE"""),8.0)</f>
        <v>8</v>
      </c>
      <c r="I1493" s="11">
        <f>IFERROR(__xludf.DUMMYFUNCTION("""COMPUTED_VALUE"""),812.0)</f>
        <v>812</v>
      </c>
      <c r="J1493" s="9" t="str">
        <f>IFERROR(__xludf.DUMMYFUNCTION("""COMPUTED_VALUE"""),"UK")</f>
        <v>UK</v>
      </c>
      <c r="K1493" s="8"/>
      <c r="L1493" s="12"/>
      <c r="M1493" s="13"/>
      <c r="N1493" s="13" t="str">
        <f>IFERROR(__xludf.DUMMYFUNCTION("IF(ISBLANK(M1493),"""",M1493*GOOGLEFINANCE(""USDGBP""))"),"")</f>
        <v/>
      </c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</row>
    <row r="1494">
      <c r="A1494" s="8" t="str">
        <f>IFERROR(__xludf.DUMMYFUNCTION("""COMPUTED_VALUE"""),"112298120140600750")</f>
        <v>112298120140600750</v>
      </c>
      <c r="B1494" s="9" t="str">
        <f>IFERROR(__xludf.DUMMYFUNCTION("""COMPUTED_VALUE"""),"United States")</f>
        <v>United States</v>
      </c>
      <c r="C1494" s="9" t="str">
        <f>IFERROR(__xludf.DUMMYFUNCTION("""COMPUTED_VALUE"""),"california")</f>
        <v>california</v>
      </c>
      <c r="D1494" s="9" t="str">
        <f>IFERROR(__xludf.DUMMYFUNCTION("""COMPUTED_VALUE"""),"Joseph Phelps, Insignia, Napa Valley")</f>
        <v>Joseph Phelps, Insignia, Napa Valley</v>
      </c>
      <c r="E1494" s="9">
        <f>IFERROR(__xludf.DUMMYFUNCTION("""COMPUTED_VALUE"""),2014.0)</f>
        <v>2014</v>
      </c>
      <c r="F1494" s="9">
        <f>IFERROR(__xludf.DUMMYFUNCTION("""COMPUTED_VALUE"""),750.0)</f>
        <v>750</v>
      </c>
      <c r="G1494" s="9">
        <f>IFERROR(__xludf.DUMMYFUNCTION("""COMPUTED_VALUE"""),6.0)</f>
        <v>6</v>
      </c>
      <c r="H1494" s="10">
        <f>IFERROR(__xludf.DUMMYFUNCTION("""COMPUTED_VALUE"""),4.0)</f>
        <v>4</v>
      </c>
      <c r="I1494" s="11">
        <f>IFERROR(__xludf.DUMMYFUNCTION("""COMPUTED_VALUE"""),1067.0)</f>
        <v>1067</v>
      </c>
      <c r="J1494" s="9" t="str">
        <f>IFERROR(__xludf.DUMMYFUNCTION("""COMPUTED_VALUE"""),"UK")</f>
        <v>UK</v>
      </c>
      <c r="K1494" s="8"/>
      <c r="L1494" s="12"/>
      <c r="M1494" s="13"/>
      <c r="N1494" s="13" t="str">
        <f>IFERROR(__xludf.DUMMYFUNCTION("IF(ISBLANK(M1494),"""",M1494*GOOGLEFINANCE(""USDGBP""))"),"")</f>
        <v/>
      </c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</row>
    <row r="1495">
      <c r="A1495" s="8" t="str">
        <f>IFERROR(__xludf.DUMMYFUNCTION("""COMPUTED_VALUE"""),"112298120150600750")</f>
        <v>112298120150600750</v>
      </c>
      <c r="B1495" s="9" t="str">
        <f>IFERROR(__xludf.DUMMYFUNCTION("""COMPUTED_VALUE"""),"United States")</f>
        <v>United States</v>
      </c>
      <c r="C1495" s="9" t="str">
        <f>IFERROR(__xludf.DUMMYFUNCTION("""COMPUTED_VALUE"""),"california")</f>
        <v>california</v>
      </c>
      <c r="D1495" s="9" t="str">
        <f>IFERROR(__xludf.DUMMYFUNCTION("""COMPUTED_VALUE"""),"Joseph Phelps, Insignia, Napa Valley")</f>
        <v>Joseph Phelps, Insignia, Napa Valley</v>
      </c>
      <c r="E1495" s="9">
        <f>IFERROR(__xludf.DUMMYFUNCTION("""COMPUTED_VALUE"""),2015.0)</f>
        <v>2015</v>
      </c>
      <c r="F1495" s="9">
        <f>IFERROR(__xludf.DUMMYFUNCTION("""COMPUTED_VALUE"""),750.0)</f>
        <v>750</v>
      </c>
      <c r="G1495" s="9">
        <f>IFERROR(__xludf.DUMMYFUNCTION("""COMPUTED_VALUE"""),6.0)</f>
        <v>6</v>
      </c>
      <c r="H1495" s="10">
        <f>IFERROR(__xludf.DUMMYFUNCTION("""COMPUTED_VALUE"""),2.0)</f>
        <v>2</v>
      </c>
      <c r="I1495" s="11">
        <f>IFERROR(__xludf.DUMMYFUNCTION("""COMPUTED_VALUE"""),1145.0)</f>
        <v>1145</v>
      </c>
      <c r="J1495" s="9" t="str">
        <f>IFERROR(__xludf.DUMMYFUNCTION("""COMPUTED_VALUE"""),"UK")</f>
        <v>UK</v>
      </c>
      <c r="K1495" s="8"/>
      <c r="L1495" s="12"/>
      <c r="M1495" s="13"/>
      <c r="N1495" s="13" t="str">
        <f>IFERROR(__xludf.DUMMYFUNCTION("IF(ISBLANK(M1495),"""",M1495*GOOGLEFINANCE(""USDGBP""))"),"")</f>
        <v/>
      </c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</row>
    <row r="1496">
      <c r="A1496" s="8" t="str">
        <f>IFERROR(__xludf.DUMMYFUNCTION("""COMPUTED_VALUE"""),"112298120160600750")</f>
        <v>112298120160600750</v>
      </c>
      <c r="B1496" s="9" t="str">
        <f>IFERROR(__xludf.DUMMYFUNCTION("""COMPUTED_VALUE"""),"United States")</f>
        <v>United States</v>
      </c>
      <c r="C1496" s="9" t="str">
        <f>IFERROR(__xludf.DUMMYFUNCTION("""COMPUTED_VALUE"""),"california")</f>
        <v>california</v>
      </c>
      <c r="D1496" s="9" t="str">
        <f>IFERROR(__xludf.DUMMYFUNCTION("""COMPUTED_VALUE"""),"Joseph Phelps, Insignia, Napa Valley")</f>
        <v>Joseph Phelps, Insignia, Napa Valley</v>
      </c>
      <c r="E1496" s="9">
        <f>IFERROR(__xludf.DUMMYFUNCTION("""COMPUTED_VALUE"""),2016.0)</f>
        <v>2016</v>
      </c>
      <c r="F1496" s="9">
        <f>IFERROR(__xludf.DUMMYFUNCTION("""COMPUTED_VALUE"""),750.0)</f>
        <v>750</v>
      </c>
      <c r="G1496" s="9">
        <f>IFERROR(__xludf.DUMMYFUNCTION("""COMPUTED_VALUE"""),6.0)</f>
        <v>6</v>
      </c>
      <c r="H1496" s="10">
        <f>IFERROR(__xludf.DUMMYFUNCTION("""COMPUTED_VALUE"""),13.0)</f>
        <v>13</v>
      </c>
      <c r="I1496" s="11">
        <f>IFERROR(__xludf.DUMMYFUNCTION("""COMPUTED_VALUE"""),1159.0)</f>
        <v>1159</v>
      </c>
      <c r="J1496" s="9" t="str">
        <f>IFERROR(__xludf.DUMMYFUNCTION("""COMPUTED_VALUE"""),"UK")</f>
        <v>UK</v>
      </c>
      <c r="K1496" s="8"/>
      <c r="L1496" s="12"/>
      <c r="M1496" s="13"/>
      <c r="N1496" s="13" t="str">
        <f>IFERROR(__xludf.DUMMYFUNCTION("IF(ISBLANK(M1496),"""",M1496*GOOGLEFINANCE(""USDGBP""))"),"")</f>
        <v/>
      </c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</row>
    <row r="1497">
      <c r="A1497" s="8" t="str">
        <f>IFERROR(__xludf.DUMMYFUNCTION("""COMPUTED_VALUE"""),"112298120160101500")</f>
        <v>112298120160101500</v>
      </c>
      <c r="B1497" s="9" t="str">
        <f>IFERROR(__xludf.DUMMYFUNCTION("""COMPUTED_VALUE"""),"United States")</f>
        <v>United States</v>
      </c>
      <c r="C1497" s="9" t="str">
        <f>IFERROR(__xludf.DUMMYFUNCTION("""COMPUTED_VALUE"""),"california")</f>
        <v>california</v>
      </c>
      <c r="D1497" s="9" t="str">
        <f>IFERROR(__xludf.DUMMYFUNCTION("""COMPUTED_VALUE"""),"Joseph Phelps, Insignia, Napa Valley")</f>
        <v>Joseph Phelps, Insignia, Napa Valley</v>
      </c>
      <c r="E1497" s="9">
        <f>IFERROR(__xludf.DUMMYFUNCTION("""COMPUTED_VALUE"""),2016.0)</f>
        <v>2016</v>
      </c>
      <c r="F1497" s="9">
        <f>IFERROR(__xludf.DUMMYFUNCTION("""COMPUTED_VALUE"""),1500.0)</f>
        <v>1500</v>
      </c>
      <c r="G1497" s="9">
        <f>IFERROR(__xludf.DUMMYFUNCTION("""COMPUTED_VALUE"""),1.0)</f>
        <v>1</v>
      </c>
      <c r="H1497" s="10">
        <f>IFERROR(__xludf.DUMMYFUNCTION("""COMPUTED_VALUE"""),5.0)</f>
        <v>5</v>
      </c>
      <c r="I1497" s="11">
        <f>IFERROR(__xludf.DUMMYFUNCTION("""COMPUTED_VALUE"""),394.0)</f>
        <v>394</v>
      </c>
      <c r="J1497" s="9" t="str">
        <f>IFERROR(__xludf.DUMMYFUNCTION("""COMPUTED_VALUE"""),"UK")</f>
        <v>UK</v>
      </c>
      <c r="K1497" s="8"/>
      <c r="L1497" s="12"/>
      <c r="M1497" s="13"/>
      <c r="N1497" s="13" t="str">
        <f>IFERROR(__xludf.DUMMYFUNCTION("IF(ISBLANK(M1497),"""",M1497*GOOGLEFINANCE(""USDGBP""))"),"")</f>
        <v/>
      </c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</row>
    <row r="1498">
      <c r="A1498" s="8" t="str">
        <f>IFERROR(__xludf.DUMMYFUNCTION("""COMPUTED_VALUE"""),"112298120180301500")</f>
        <v>112298120180301500</v>
      </c>
      <c r="B1498" s="9" t="str">
        <f>IFERROR(__xludf.DUMMYFUNCTION("""COMPUTED_VALUE"""),"United States")</f>
        <v>United States</v>
      </c>
      <c r="C1498" s="9" t="str">
        <f>IFERROR(__xludf.DUMMYFUNCTION("""COMPUTED_VALUE"""),"california")</f>
        <v>california</v>
      </c>
      <c r="D1498" s="9" t="str">
        <f>IFERROR(__xludf.DUMMYFUNCTION("""COMPUTED_VALUE"""),"Joseph Phelps, Insignia, Napa Valley")</f>
        <v>Joseph Phelps, Insignia, Napa Valley</v>
      </c>
      <c r="E1498" s="9">
        <f>IFERROR(__xludf.DUMMYFUNCTION("""COMPUTED_VALUE"""),2018.0)</f>
        <v>2018</v>
      </c>
      <c r="F1498" s="9">
        <f>IFERROR(__xludf.DUMMYFUNCTION("""COMPUTED_VALUE"""),1500.0)</f>
        <v>1500</v>
      </c>
      <c r="G1498" s="9">
        <f>IFERROR(__xludf.DUMMYFUNCTION("""COMPUTED_VALUE"""),3.0)</f>
        <v>3</v>
      </c>
      <c r="H1498" s="10">
        <f>IFERROR(__xludf.DUMMYFUNCTION("""COMPUTED_VALUE"""),1.0)</f>
        <v>1</v>
      </c>
      <c r="I1498" s="11">
        <f>IFERROR(__xludf.DUMMYFUNCTION("""COMPUTED_VALUE"""),1131.0)</f>
        <v>1131</v>
      </c>
      <c r="J1498" s="9" t="str">
        <f>IFERROR(__xludf.DUMMYFUNCTION("""COMPUTED_VALUE"""),"UK")</f>
        <v>UK</v>
      </c>
      <c r="K1498" s="8"/>
      <c r="L1498" s="12"/>
      <c r="M1498" s="13"/>
      <c r="N1498" s="13" t="str">
        <f>IFERROR(__xludf.DUMMYFUNCTION("IF(ISBLANK(M1498),"""",M1498*GOOGLEFINANCE(""USDGBP""))"),"")</f>
        <v/>
      </c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</row>
    <row r="1499">
      <c r="A1499" s="8" t="str">
        <f>IFERROR(__xludf.DUMMYFUNCTION("""COMPUTED_VALUE"""),"138001320150300750")</f>
        <v>138001320150300750</v>
      </c>
      <c r="B1499" s="9" t="str">
        <f>IFERROR(__xludf.DUMMYFUNCTION("""COMPUTED_VALUE"""),"United States")</f>
        <v>United States</v>
      </c>
      <c r="C1499" s="9" t="str">
        <f>IFERROR(__xludf.DUMMYFUNCTION("""COMPUTED_VALUE"""),"california")</f>
        <v>california</v>
      </c>
      <c r="D1499" s="9" t="str">
        <f>IFERROR(__xludf.DUMMYFUNCTION("""COMPUTED_VALUE"""),"Kapcsandy Family Winery, State Lane Vineyard Grand Vin Cabernet Sauvignon, Yountville")</f>
        <v>Kapcsandy Family Winery, State Lane Vineyard Grand Vin Cabernet Sauvignon, Yountville</v>
      </c>
      <c r="E1499" s="9">
        <f>IFERROR(__xludf.DUMMYFUNCTION("""COMPUTED_VALUE"""),2015.0)</f>
        <v>2015</v>
      </c>
      <c r="F1499" s="9">
        <f>IFERROR(__xludf.DUMMYFUNCTION("""COMPUTED_VALUE"""),750.0)</f>
        <v>750</v>
      </c>
      <c r="G1499" s="9">
        <f>IFERROR(__xludf.DUMMYFUNCTION("""COMPUTED_VALUE"""),3.0)</f>
        <v>3</v>
      </c>
      <c r="H1499" s="10">
        <f>IFERROR(__xludf.DUMMYFUNCTION("""COMPUTED_VALUE"""),2.0)</f>
        <v>2</v>
      </c>
      <c r="I1499" s="11">
        <f>IFERROR(__xludf.DUMMYFUNCTION("""COMPUTED_VALUE"""),798.0)</f>
        <v>798</v>
      </c>
      <c r="J1499" s="9" t="str">
        <f>IFERROR(__xludf.DUMMYFUNCTION("""COMPUTED_VALUE"""),"UK")</f>
        <v>UK</v>
      </c>
      <c r="K1499" s="8"/>
      <c r="L1499" s="12"/>
      <c r="M1499" s="13"/>
      <c r="N1499" s="13" t="str">
        <f>IFERROR(__xludf.DUMMYFUNCTION("IF(ISBLANK(M1499),"""",M1499*GOOGLEFINANCE(""USDGBP""))"),"")</f>
        <v/>
      </c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</row>
    <row r="1500">
      <c r="A1500" s="8" t="str">
        <f>IFERROR(__xludf.DUMMYFUNCTION("""COMPUTED_VALUE"""),"119909920101200750")</f>
        <v>119909920101200750</v>
      </c>
      <c r="B1500" s="9" t="str">
        <f>IFERROR(__xludf.DUMMYFUNCTION("""COMPUTED_VALUE"""),"United States")</f>
        <v>United States</v>
      </c>
      <c r="C1500" s="9" t="str">
        <f>IFERROR(__xludf.DUMMYFUNCTION("""COMPUTED_VALUE"""),"california")</f>
        <v>california</v>
      </c>
      <c r="D1500" s="9" t="str">
        <f>IFERROR(__xludf.DUMMYFUNCTION("""COMPUTED_VALUE"""),"Knez Winery, Pinot Noir Cerise Vineyard, Anderson Valley")</f>
        <v>Knez Winery, Pinot Noir Cerise Vineyard, Anderson Valley</v>
      </c>
      <c r="E1500" s="9">
        <f>IFERROR(__xludf.DUMMYFUNCTION("""COMPUTED_VALUE"""),2010.0)</f>
        <v>2010</v>
      </c>
      <c r="F1500" s="9">
        <f>IFERROR(__xludf.DUMMYFUNCTION("""COMPUTED_VALUE"""),750.0)</f>
        <v>750</v>
      </c>
      <c r="G1500" s="9">
        <f>IFERROR(__xludf.DUMMYFUNCTION("""COMPUTED_VALUE"""),12.0)</f>
        <v>12</v>
      </c>
      <c r="H1500" s="10">
        <f>IFERROR(__xludf.DUMMYFUNCTION("""COMPUTED_VALUE"""),1.0)</f>
        <v>1</v>
      </c>
      <c r="I1500" s="11">
        <f>IFERROR(__xludf.DUMMYFUNCTION("""COMPUTED_VALUE"""),341.0)</f>
        <v>341</v>
      </c>
      <c r="J1500" s="9" t="str">
        <f>IFERROR(__xludf.DUMMYFUNCTION("""COMPUTED_VALUE"""),"UK")</f>
        <v>UK</v>
      </c>
      <c r="K1500" s="8"/>
      <c r="L1500" s="12"/>
      <c r="M1500" s="13"/>
      <c r="N1500" s="13" t="str">
        <f>IFERROR(__xludf.DUMMYFUNCTION("IF(ISBLANK(M1500),"""",M1500*GOOGLEFINANCE(""USDGBP""))"),"")</f>
        <v/>
      </c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</row>
    <row r="1501">
      <c r="A1501" s="8" t="str">
        <f>IFERROR(__xludf.DUMMYFUNCTION("""COMPUTED_VALUE"""),"112584920160600750")</f>
        <v>112584920160600750</v>
      </c>
      <c r="B1501" s="9" t="str">
        <f>IFERROR(__xludf.DUMMYFUNCTION("""COMPUTED_VALUE"""),"United States")</f>
        <v>United States</v>
      </c>
      <c r="C1501" s="9" t="str">
        <f>IFERROR(__xludf.DUMMYFUNCTION("""COMPUTED_VALUE"""),"california")</f>
        <v>california</v>
      </c>
      <c r="D1501" s="9" t="str">
        <f>IFERROR(__xludf.DUMMYFUNCTION("""COMPUTED_VALUE"""),"L'Aventure, Estate Cuvee Red, Paso Robles")</f>
        <v>L'Aventure, Estate Cuvee Red, Paso Robles</v>
      </c>
      <c r="E1501" s="9">
        <f>IFERROR(__xludf.DUMMYFUNCTION("""COMPUTED_VALUE"""),2016.0)</f>
        <v>2016</v>
      </c>
      <c r="F1501" s="9">
        <f>IFERROR(__xludf.DUMMYFUNCTION("""COMPUTED_VALUE"""),750.0)</f>
        <v>750</v>
      </c>
      <c r="G1501" s="9">
        <f>IFERROR(__xludf.DUMMYFUNCTION("""COMPUTED_VALUE"""),6.0)</f>
        <v>6</v>
      </c>
      <c r="H1501" s="10">
        <f>IFERROR(__xludf.DUMMYFUNCTION("""COMPUTED_VALUE"""),1.0)</f>
        <v>1</v>
      </c>
      <c r="I1501" s="11">
        <f>IFERROR(__xludf.DUMMYFUNCTION("""COMPUTED_VALUE"""),425.0)</f>
        <v>425</v>
      </c>
      <c r="J1501" s="9" t="str">
        <f>IFERROR(__xludf.DUMMYFUNCTION("""COMPUTED_VALUE"""),"UK")</f>
        <v>UK</v>
      </c>
      <c r="K1501" s="8"/>
      <c r="L1501" s="12"/>
      <c r="M1501" s="13"/>
      <c r="N1501" s="13" t="str">
        <f>IFERROR(__xludf.DUMMYFUNCTION("IF(ISBLANK(M1501),"""",M1501*GOOGLEFINANCE(""USDGBP""))"),"")</f>
        <v/>
      </c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</row>
    <row r="1502">
      <c r="A1502" s="8" t="str">
        <f>IFERROR(__xludf.DUMMYFUNCTION("""COMPUTED_VALUE"""),"142674420120300750")</f>
        <v>142674420120300750</v>
      </c>
      <c r="B1502" s="9" t="str">
        <f>IFERROR(__xludf.DUMMYFUNCTION("""COMPUTED_VALUE"""),"United States")</f>
        <v>United States</v>
      </c>
      <c r="C1502" s="9" t="str">
        <f>IFERROR(__xludf.DUMMYFUNCTION("""COMPUTED_VALUE"""),"california")</f>
        <v>california</v>
      </c>
      <c r="D1502" s="9" t="str">
        <f>IFERROR(__xludf.DUMMYFUNCTION("""COMPUTED_VALUE"""),"Memento Mori, Cabernet Sauvignon, Napa Valley")</f>
        <v>Memento Mori, Cabernet Sauvignon, Napa Valley</v>
      </c>
      <c r="E1502" s="9">
        <f>IFERROR(__xludf.DUMMYFUNCTION("""COMPUTED_VALUE"""),2012.0)</f>
        <v>2012</v>
      </c>
      <c r="F1502" s="9">
        <f>IFERROR(__xludf.DUMMYFUNCTION("""COMPUTED_VALUE"""),750.0)</f>
        <v>750</v>
      </c>
      <c r="G1502" s="9">
        <f>IFERROR(__xludf.DUMMYFUNCTION("""COMPUTED_VALUE"""),3.0)</f>
        <v>3</v>
      </c>
      <c r="H1502" s="10">
        <f>IFERROR(__xludf.DUMMYFUNCTION("""COMPUTED_VALUE"""),2.0)</f>
        <v>2</v>
      </c>
      <c r="I1502" s="11">
        <f>IFERROR(__xludf.DUMMYFUNCTION("""COMPUTED_VALUE"""),685.0)</f>
        <v>685</v>
      </c>
      <c r="J1502" s="9" t="str">
        <f>IFERROR(__xludf.DUMMYFUNCTION("""COMPUTED_VALUE"""),"UK")</f>
        <v>UK</v>
      </c>
      <c r="K1502" s="8"/>
      <c r="L1502" s="12"/>
      <c r="M1502" s="13"/>
      <c r="N1502" s="13" t="str">
        <f>IFERROR(__xludf.DUMMYFUNCTION("IF(ISBLANK(M1502),"""",M1502*GOOGLEFINANCE(""USDGBP""))"),"")</f>
        <v/>
      </c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</row>
    <row r="1503">
      <c r="A1503" s="8" t="str">
        <f>IFERROR(__xludf.DUMMYFUNCTION("""COMPUTED_VALUE"""),"144741920121200750")</f>
        <v>144741920121200750</v>
      </c>
      <c r="B1503" s="9" t="str">
        <f>IFERROR(__xludf.DUMMYFUNCTION("""COMPUTED_VALUE"""),"United States")</f>
        <v>United States</v>
      </c>
      <c r="C1503" s="9" t="str">
        <f>IFERROR(__xludf.DUMMYFUNCTION("""COMPUTED_VALUE"""),"california")</f>
        <v>california</v>
      </c>
      <c r="D1503" s="9" t="str">
        <f>IFERROR(__xludf.DUMMYFUNCTION("""COMPUTED_VALUE"""),"Mount Eden Vineyards, Pinot Noir, Santa Cruz Mountains")</f>
        <v>Mount Eden Vineyards, Pinot Noir, Santa Cruz Mountains</v>
      </c>
      <c r="E1503" s="9">
        <f>IFERROR(__xludf.DUMMYFUNCTION("""COMPUTED_VALUE"""),2012.0)</f>
        <v>2012</v>
      </c>
      <c r="F1503" s="9">
        <f>IFERROR(__xludf.DUMMYFUNCTION("""COMPUTED_VALUE"""),750.0)</f>
        <v>750</v>
      </c>
      <c r="G1503" s="9">
        <f>IFERROR(__xludf.DUMMYFUNCTION("""COMPUTED_VALUE"""),12.0)</f>
        <v>12</v>
      </c>
      <c r="H1503" s="10">
        <f>IFERROR(__xludf.DUMMYFUNCTION("""COMPUTED_VALUE"""),1.0)</f>
        <v>1</v>
      </c>
      <c r="I1503" s="11">
        <f>IFERROR(__xludf.DUMMYFUNCTION("""COMPUTED_VALUE"""),1747.0)</f>
        <v>1747</v>
      </c>
      <c r="J1503" s="9" t="str">
        <f>IFERROR(__xludf.DUMMYFUNCTION("""COMPUTED_VALUE"""),"UK")</f>
        <v>UK</v>
      </c>
      <c r="K1503" s="8"/>
      <c r="L1503" s="12"/>
      <c r="M1503" s="13"/>
      <c r="N1503" s="13" t="str">
        <f>IFERROR(__xludf.DUMMYFUNCTION("IF(ISBLANK(M1503),"""",M1503*GOOGLEFINANCE(""USDGBP""))"),"")</f>
        <v/>
      </c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</row>
    <row r="1504">
      <c r="A1504" s="8" t="str">
        <f>IFERROR(__xludf.DUMMYFUNCTION("""COMPUTED_VALUE"""),"112266220090600750")</f>
        <v>112266220090600750</v>
      </c>
      <c r="B1504" s="9" t="str">
        <f>IFERROR(__xludf.DUMMYFUNCTION("""COMPUTED_VALUE"""),"United States")</f>
        <v>United States</v>
      </c>
      <c r="C1504" s="9" t="str">
        <f>IFERROR(__xludf.DUMMYFUNCTION("""COMPUTED_VALUE"""),"california")</f>
        <v>california</v>
      </c>
      <c r="D1504" s="9" t="str">
        <f>IFERROR(__xludf.DUMMYFUNCTION("""COMPUTED_VALUE"""),"Opus One, Napa Valley")</f>
        <v>Opus One, Napa Valley</v>
      </c>
      <c r="E1504" s="9">
        <f>IFERROR(__xludf.DUMMYFUNCTION("""COMPUTED_VALUE"""),2009.0)</f>
        <v>2009</v>
      </c>
      <c r="F1504" s="9">
        <f>IFERROR(__xludf.DUMMYFUNCTION("""COMPUTED_VALUE"""),750.0)</f>
        <v>750</v>
      </c>
      <c r="G1504" s="9">
        <f>IFERROR(__xludf.DUMMYFUNCTION("""COMPUTED_VALUE"""),6.0)</f>
        <v>6</v>
      </c>
      <c r="H1504" s="10">
        <f>IFERROR(__xludf.DUMMYFUNCTION("""COMPUTED_VALUE"""),1.0)</f>
        <v>1</v>
      </c>
      <c r="I1504" s="11">
        <f>IFERROR(__xludf.DUMMYFUNCTION("""COMPUTED_VALUE"""),2121.0)</f>
        <v>2121</v>
      </c>
      <c r="J1504" s="9" t="str">
        <f>IFERROR(__xludf.DUMMYFUNCTION("""COMPUTED_VALUE"""),"UK")</f>
        <v>UK</v>
      </c>
      <c r="K1504" s="8"/>
      <c r="L1504" s="12"/>
      <c r="M1504" s="13"/>
      <c r="N1504" s="13" t="str">
        <f>IFERROR(__xludf.DUMMYFUNCTION("IF(ISBLANK(M1504),"""",M1504*GOOGLEFINANCE(""USDGBP""))"),"")</f>
        <v/>
      </c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</row>
    <row r="1505">
      <c r="A1505" s="8" t="str">
        <f>IFERROR(__xludf.DUMMYFUNCTION("""COMPUTED_VALUE"""),"112266220150600750")</f>
        <v>112266220150600750</v>
      </c>
      <c r="B1505" s="9" t="str">
        <f>IFERROR(__xludf.DUMMYFUNCTION("""COMPUTED_VALUE"""),"United States")</f>
        <v>United States</v>
      </c>
      <c r="C1505" s="9" t="str">
        <f>IFERROR(__xludf.DUMMYFUNCTION("""COMPUTED_VALUE"""),"california")</f>
        <v>california</v>
      </c>
      <c r="D1505" s="9" t="str">
        <f>IFERROR(__xludf.DUMMYFUNCTION("""COMPUTED_VALUE"""),"Opus One, Napa Valley")</f>
        <v>Opus One, Napa Valley</v>
      </c>
      <c r="E1505" s="9">
        <f>IFERROR(__xludf.DUMMYFUNCTION("""COMPUTED_VALUE"""),2015.0)</f>
        <v>2015</v>
      </c>
      <c r="F1505" s="9">
        <f>IFERROR(__xludf.DUMMYFUNCTION("""COMPUTED_VALUE"""),750.0)</f>
        <v>750</v>
      </c>
      <c r="G1505" s="9">
        <f>IFERROR(__xludf.DUMMYFUNCTION("""COMPUTED_VALUE"""),6.0)</f>
        <v>6</v>
      </c>
      <c r="H1505" s="10">
        <f>IFERROR(__xludf.DUMMYFUNCTION("""COMPUTED_VALUE"""),2.0)</f>
        <v>2</v>
      </c>
      <c r="I1505" s="11">
        <f>IFERROR(__xludf.DUMMYFUNCTION("""COMPUTED_VALUE"""),1808.0)</f>
        <v>1808</v>
      </c>
      <c r="J1505" s="9" t="str">
        <f>IFERROR(__xludf.DUMMYFUNCTION("""COMPUTED_VALUE"""),"UK")</f>
        <v>UK</v>
      </c>
      <c r="K1505" s="8"/>
      <c r="L1505" s="12"/>
      <c r="M1505" s="13"/>
      <c r="N1505" s="13" t="str">
        <f>IFERROR(__xludf.DUMMYFUNCTION("IF(ISBLANK(M1505),"""",M1505*GOOGLEFINANCE(""USDGBP""))"),"")</f>
        <v/>
      </c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</row>
    <row r="1506">
      <c r="A1506" s="8" t="str">
        <f>IFERROR(__xludf.DUMMYFUNCTION("""COMPUTED_VALUE"""),"126080520150600750")</f>
        <v>126080520150600750</v>
      </c>
      <c r="B1506" s="9" t="str">
        <f>IFERROR(__xludf.DUMMYFUNCTION("""COMPUTED_VALUE"""),"United States")</f>
        <v>United States</v>
      </c>
      <c r="C1506" s="9" t="str">
        <f>IFERROR(__xludf.DUMMYFUNCTION("""COMPUTED_VALUE"""),"california")</f>
        <v>california</v>
      </c>
      <c r="D1506" s="9" t="str">
        <f>IFERROR(__xludf.DUMMYFUNCTION("""COMPUTED_VALUE"""),"Opus One, Overture, Napa Valley")</f>
        <v>Opus One, Overture, Napa Valley</v>
      </c>
      <c r="E1506" s="9">
        <f>IFERROR(__xludf.DUMMYFUNCTION("""COMPUTED_VALUE"""),2015.0)</f>
        <v>2015</v>
      </c>
      <c r="F1506" s="9">
        <f>IFERROR(__xludf.DUMMYFUNCTION("""COMPUTED_VALUE"""),750.0)</f>
        <v>750</v>
      </c>
      <c r="G1506" s="9">
        <f>IFERROR(__xludf.DUMMYFUNCTION("""COMPUTED_VALUE"""),6.0)</f>
        <v>6</v>
      </c>
      <c r="H1506" s="10">
        <f>IFERROR(__xludf.DUMMYFUNCTION("""COMPUTED_VALUE"""),1.0)</f>
        <v>1</v>
      </c>
      <c r="I1506" s="11">
        <f>IFERROR(__xludf.DUMMYFUNCTION("""COMPUTED_VALUE"""),1005.0)</f>
        <v>1005</v>
      </c>
      <c r="J1506" s="9" t="str">
        <f>IFERROR(__xludf.DUMMYFUNCTION("""COMPUTED_VALUE"""),"UK")</f>
        <v>UK</v>
      </c>
      <c r="K1506" s="8"/>
      <c r="L1506" s="12"/>
      <c r="M1506" s="13"/>
      <c r="N1506" s="13" t="str">
        <f>IFERROR(__xludf.DUMMYFUNCTION("IF(ISBLANK(M1506),"""",M1506*GOOGLEFINANCE(""USDGBP""))"),"")</f>
        <v/>
      </c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</row>
    <row r="1507">
      <c r="A1507" s="8" t="str">
        <f>IFERROR(__xludf.DUMMYFUNCTION("""COMPUTED_VALUE"""),"126080520180600750")</f>
        <v>126080520180600750</v>
      </c>
      <c r="B1507" s="9" t="str">
        <f>IFERROR(__xludf.DUMMYFUNCTION("""COMPUTED_VALUE"""),"United States")</f>
        <v>United States</v>
      </c>
      <c r="C1507" s="9" t="str">
        <f>IFERROR(__xludf.DUMMYFUNCTION("""COMPUTED_VALUE"""),"california")</f>
        <v>california</v>
      </c>
      <c r="D1507" s="9" t="str">
        <f>IFERROR(__xludf.DUMMYFUNCTION("""COMPUTED_VALUE"""),"Opus One, Overture, Napa Valley")</f>
        <v>Opus One, Overture, Napa Valley</v>
      </c>
      <c r="E1507" s="9">
        <f>IFERROR(__xludf.DUMMYFUNCTION("""COMPUTED_VALUE"""),2018.0)</f>
        <v>2018</v>
      </c>
      <c r="F1507" s="9">
        <f>IFERROR(__xludf.DUMMYFUNCTION("""COMPUTED_VALUE"""),750.0)</f>
        <v>750</v>
      </c>
      <c r="G1507" s="9">
        <f>IFERROR(__xludf.DUMMYFUNCTION("""COMPUTED_VALUE"""),6.0)</f>
        <v>6</v>
      </c>
      <c r="H1507" s="10">
        <f>IFERROR(__xludf.DUMMYFUNCTION("""COMPUTED_VALUE"""),2.0)</f>
        <v>2</v>
      </c>
      <c r="I1507" s="11">
        <f>IFERROR(__xludf.DUMMYFUNCTION("""COMPUTED_VALUE"""),770.0)</f>
        <v>770</v>
      </c>
      <c r="J1507" s="9" t="str">
        <f>IFERROR(__xludf.DUMMYFUNCTION("""COMPUTED_VALUE"""),"UK")</f>
        <v>UK</v>
      </c>
      <c r="K1507" s="8"/>
      <c r="L1507" s="12"/>
      <c r="M1507" s="13"/>
      <c r="N1507" s="13" t="str">
        <f>IFERROR(__xludf.DUMMYFUNCTION("IF(ISBLANK(M1507),"""",M1507*GOOGLEFINANCE(""USDGBP""))"),"")</f>
        <v/>
      </c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</row>
    <row r="1508">
      <c r="A1508" s="8" t="str">
        <f>IFERROR(__xludf.DUMMYFUNCTION("""COMPUTED_VALUE"""),"126080520190600750")</f>
        <v>126080520190600750</v>
      </c>
      <c r="B1508" s="9" t="str">
        <f>IFERROR(__xludf.DUMMYFUNCTION("""COMPUTED_VALUE"""),"United States")</f>
        <v>United States</v>
      </c>
      <c r="C1508" s="9" t="str">
        <f>IFERROR(__xludf.DUMMYFUNCTION("""COMPUTED_VALUE"""),"california")</f>
        <v>california</v>
      </c>
      <c r="D1508" s="9" t="str">
        <f>IFERROR(__xludf.DUMMYFUNCTION("""COMPUTED_VALUE"""),"Opus One, Overture, Napa Valley")</f>
        <v>Opus One, Overture, Napa Valley</v>
      </c>
      <c r="E1508" s="9">
        <f>IFERROR(__xludf.DUMMYFUNCTION("""COMPUTED_VALUE"""),2019.0)</f>
        <v>2019</v>
      </c>
      <c r="F1508" s="9">
        <f>IFERROR(__xludf.DUMMYFUNCTION("""COMPUTED_VALUE"""),750.0)</f>
        <v>750</v>
      </c>
      <c r="G1508" s="9">
        <f>IFERROR(__xludf.DUMMYFUNCTION("""COMPUTED_VALUE"""),6.0)</f>
        <v>6</v>
      </c>
      <c r="H1508" s="10">
        <f>IFERROR(__xludf.DUMMYFUNCTION("""COMPUTED_VALUE"""),12.0)</f>
        <v>12</v>
      </c>
      <c r="I1508" s="11">
        <f>IFERROR(__xludf.DUMMYFUNCTION("""COMPUTED_VALUE"""),759.0)</f>
        <v>759</v>
      </c>
      <c r="J1508" s="9" t="str">
        <f>IFERROR(__xludf.DUMMYFUNCTION("""COMPUTED_VALUE"""),"UK")</f>
        <v>UK</v>
      </c>
      <c r="K1508" s="8"/>
      <c r="L1508" s="12"/>
      <c r="M1508" s="13"/>
      <c r="N1508" s="13" t="str">
        <f>IFERROR(__xludf.DUMMYFUNCTION("IF(ISBLANK(M1508),"""",M1508*GOOGLEFINANCE(""USDGBP""))"),"")</f>
        <v/>
      </c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</row>
    <row r="1509">
      <c r="A1509" s="8" t="str">
        <f>IFERROR(__xludf.DUMMYFUNCTION("""COMPUTED_VALUE"""),"126080520200600750")</f>
        <v>126080520200600750</v>
      </c>
      <c r="B1509" s="9" t="str">
        <f>IFERROR(__xludf.DUMMYFUNCTION("""COMPUTED_VALUE"""),"United States")</f>
        <v>United States</v>
      </c>
      <c r="C1509" s="9" t="str">
        <f>IFERROR(__xludf.DUMMYFUNCTION("""COMPUTED_VALUE"""),"california")</f>
        <v>california</v>
      </c>
      <c r="D1509" s="9" t="str">
        <f>IFERROR(__xludf.DUMMYFUNCTION("""COMPUTED_VALUE"""),"Opus One, Overture, Napa Valley")</f>
        <v>Opus One, Overture, Napa Valley</v>
      </c>
      <c r="E1509" s="9">
        <f>IFERROR(__xludf.DUMMYFUNCTION("""COMPUTED_VALUE"""),2020.0)</f>
        <v>2020</v>
      </c>
      <c r="F1509" s="9">
        <f>IFERROR(__xludf.DUMMYFUNCTION("""COMPUTED_VALUE"""),750.0)</f>
        <v>750</v>
      </c>
      <c r="G1509" s="9">
        <f>IFERROR(__xludf.DUMMYFUNCTION("""COMPUTED_VALUE"""),6.0)</f>
        <v>6</v>
      </c>
      <c r="H1509" s="10">
        <f>IFERROR(__xludf.DUMMYFUNCTION("""COMPUTED_VALUE"""),2.0)</f>
        <v>2</v>
      </c>
      <c r="I1509" s="11">
        <f>IFERROR(__xludf.DUMMYFUNCTION("""COMPUTED_VALUE"""),822.0)</f>
        <v>822</v>
      </c>
      <c r="J1509" s="9" t="str">
        <f>IFERROR(__xludf.DUMMYFUNCTION("""COMPUTED_VALUE"""),"UK")</f>
        <v>UK</v>
      </c>
      <c r="K1509" s="8"/>
      <c r="L1509" s="12"/>
      <c r="M1509" s="13"/>
      <c r="N1509" s="13" t="str">
        <f>IFERROR(__xludf.DUMMYFUNCTION("IF(ISBLANK(M1509),"""",M1509*GOOGLEFINANCE(""USDGBP""))"),"")</f>
        <v/>
      </c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</row>
    <row r="1510">
      <c r="A1510" s="8" t="str">
        <f>IFERROR(__xludf.DUMMYFUNCTION("""COMPUTED_VALUE"""),"126080520210600750")</f>
        <v>126080520210600750</v>
      </c>
      <c r="B1510" s="9" t="str">
        <f>IFERROR(__xludf.DUMMYFUNCTION("""COMPUTED_VALUE"""),"United States")</f>
        <v>United States</v>
      </c>
      <c r="C1510" s="9" t="str">
        <f>IFERROR(__xludf.DUMMYFUNCTION("""COMPUTED_VALUE"""),"california")</f>
        <v>california</v>
      </c>
      <c r="D1510" s="9" t="str">
        <f>IFERROR(__xludf.DUMMYFUNCTION("""COMPUTED_VALUE"""),"Opus One, Overture, Napa Valley")</f>
        <v>Opus One, Overture, Napa Valley</v>
      </c>
      <c r="E1510" s="9">
        <f>IFERROR(__xludf.DUMMYFUNCTION("""COMPUTED_VALUE"""),2021.0)</f>
        <v>2021</v>
      </c>
      <c r="F1510" s="9">
        <f>IFERROR(__xludf.DUMMYFUNCTION("""COMPUTED_VALUE"""),750.0)</f>
        <v>750</v>
      </c>
      <c r="G1510" s="9">
        <f>IFERROR(__xludf.DUMMYFUNCTION("""COMPUTED_VALUE"""),6.0)</f>
        <v>6</v>
      </c>
      <c r="H1510" s="10">
        <f>IFERROR(__xludf.DUMMYFUNCTION("""COMPUTED_VALUE"""),2.0)</f>
        <v>2</v>
      </c>
      <c r="I1510" s="11">
        <f>IFERROR(__xludf.DUMMYFUNCTION("""COMPUTED_VALUE"""),770.0)</f>
        <v>770</v>
      </c>
      <c r="J1510" s="9" t="str">
        <f>IFERROR(__xludf.DUMMYFUNCTION("""COMPUTED_VALUE"""),"UK")</f>
        <v>UK</v>
      </c>
      <c r="K1510" s="8"/>
      <c r="L1510" s="12"/>
      <c r="M1510" s="13"/>
      <c r="N1510" s="13" t="str">
        <f>IFERROR(__xludf.DUMMYFUNCTION("IF(ISBLANK(M1510),"""",M1510*GOOGLEFINANCE(""USDGBP""))"),"")</f>
        <v/>
      </c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</row>
    <row r="1511">
      <c r="A1511" s="8" t="str">
        <f>IFERROR(__xludf.DUMMYFUNCTION("""COMPUTED_VALUE"""),"136674120140100750")</f>
        <v>136674120140100750</v>
      </c>
      <c r="B1511" s="9" t="str">
        <f>IFERROR(__xludf.DUMMYFUNCTION("""COMPUTED_VALUE"""),"United States")</f>
        <v>United States</v>
      </c>
      <c r="C1511" s="9" t="str">
        <f>IFERROR(__xludf.DUMMYFUNCTION("""COMPUTED_VALUE"""),"california")</f>
        <v>california</v>
      </c>
      <c r="D1511" s="9" t="str">
        <f>IFERROR(__xludf.DUMMYFUNCTION("""COMPUTED_VALUE"""),"Promontory, Napa Valley")</f>
        <v>Promontory, Napa Valley</v>
      </c>
      <c r="E1511" s="9">
        <f>IFERROR(__xludf.DUMMYFUNCTION("""COMPUTED_VALUE"""),2014.0)</f>
        <v>2014</v>
      </c>
      <c r="F1511" s="9">
        <f>IFERROR(__xludf.DUMMYFUNCTION("""COMPUTED_VALUE"""),750.0)</f>
        <v>750</v>
      </c>
      <c r="G1511" s="9">
        <f>IFERROR(__xludf.DUMMYFUNCTION("""COMPUTED_VALUE"""),1.0)</f>
        <v>1</v>
      </c>
      <c r="H1511" s="10">
        <f>IFERROR(__xludf.DUMMYFUNCTION("""COMPUTED_VALUE"""),6.0)</f>
        <v>6</v>
      </c>
      <c r="I1511" s="11">
        <f>IFERROR(__xludf.DUMMYFUNCTION("""COMPUTED_VALUE"""),660.0)</f>
        <v>660</v>
      </c>
      <c r="J1511" s="9" t="str">
        <f>IFERROR(__xludf.DUMMYFUNCTION("""COMPUTED_VALUE"""),"UK")</f>
        <v>UK</v>
      </c>
      <c r="K1511" s="8"/>
      <c r="L1511" s="12"/>
      <c r="M1511" s="13"/>
      <c r="N1511" s="13" t="str">
        <f>IFERROR(__xludf.DUMMYFUNCTION("IF(ISBLANK(M1511),"""",M1511*GOOGLEFINANCE(""USDGBP""))"),"")</f>
        <v/>
      </c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</row>
    <row r="1512">
      <c r="A1512" s="8" t="str">
        <f>IFERROR(__xludf.DUMMYFUNCTION("""COMPUTED_VALUE"""),"160307120190600750")</f>
        <v>160307120190600750</v>
      </c>
      <c r="B1512" s="9" t="str">
        <f>IFERROR(__xludf.DUMMYFUNCTION("""COMPUTED_VALUE"""),"United States")</f>
        <v>United States</v>
      </c>
      <c r="C1512" s="9" t="str">
        <f>IFERROR(__xludf.DUMMYFUNCTION("""COMPUTED_VALUE"""),"california")</f>
        <v>california</v>
      </c>
      <c r="D1512" s="9" t="str">
        <f>IFERROR(__xludf.DUMMYFUNCTION("""COMPUTED_VALUE"""),"Realm Cellars, Moonracer, Napa Valley")</f>
        <v>Realm Cellars, Moonracer, Napa Valley</v>
      </c>
      <c r="E1512" s="9">
        <f>IFERROR(__xludf.DUMMYFUNCTION("""COMPUTED_VALUE"""),2019.0)</f>
        <v>2019</v>
      </c>
      <c r="F1512" s="9">
        <f>IFERROR(__xludf.DUMMYFUNCTION("""COMPUTED_VALUE"""),750.0)</f>
        <v>750</v>
      </c>
      <c r="G1512" s="9">
        <f>IFERROR(__xludf.DUMMYFUNCTION("""COMPUTED_VALUE"""),6.0)</f>
        <v>6</v>
      </c>
      <c r="H1512" s="10">
        <f>IFERROR(__xludf.DUMMYFUNCTION("""COMPUTED_VALUE"""),2.0)</f>
        <v>2</v>
      </c>
      <c r="I1512" s="11">
        <f>IFERROR(__xludf.DUMMYFUNCTION("""COMPUTED_VALUE"""),1544.0)</f>
        <v>1544</v>
      </c>
      <c r="J1512" s="9" t="str">
        <f>IFERROR(__xludf.DUMMYFUNCTION("""COMPUTED_VALUE"""),"UK")</f>
        <v>UK</v>
      </c>
      <c r="K1512" s="8"/>
      <c r="L1512" s="12"/>
      <c r="M1512" s="13"/>
      <c r="N1512" s="13" t="str">
        <f>IFERROR(__xludf.DUMMYFUNCTION("IF(ISBLANK(M1512),"""",M1512*GOOGLEFINANCE(""USDGBP""))"),"")</f>
        <v/>
      </c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</row>
    <row r="1513">
      <c r="A1513" s="8" t="str">
        <f>IFERROR(__xludf.DUMMYFUNCTION("""COMPUTED_VALUE"""),"132152820140600750")</f>
        <v>132152820140600750</v>
      </c>
      <c r="B1513" s="9" t="str">
        <f>IFERROR(__xludf.DUMMYFUNCTION("""COMPUTED_VALUE"""),"United States")</f>
        <v>United States</v>
      </c>
      <c r="C1513" s="9" t="str">
        <f>IFERROR(__xludf.DUMMYFUNCTION("""COMPUTED_VALUE"""),"california")</f>
        <v>california</v>
      </c>
      <c r="D1513" s="9" t="str">
        <f>IFERROR(__xludf.DUMMYFUNCTION("""COMPUTED_VALUE"""),"Realm Cellars, The Bard, Napa Valley")</f>
        <v>Realm Cellars, The Bard, Napa Valley</v>
      </c>
      <c r="E1513" s="9">
        <f>IFERROR(__xludf.DUMMYFUNCTION("""COMPUTED_VALUE"""),2014.0)</f>
        <v>2014</v>
      </c>
      <c r="F1513" s="9">
        <f>IFERROR(__xludf.DUMMYFUNCTION("""COMPUTED_VALUE"""),750.0)</f>
        <v>750</v>
      </c>
      <c r="G1513" s="9">
        <f>IFERROR(__xludf.DUMMYFUNCTION("""COMPUTED_VALUE"""),6.0)</f>
        <v>6</v>
      </c>
      <c r="H1513" s="10">
        <f>IFERROR(__xludf.DUMMYFUNCTION("""COMPUTED_VALUE"""),1.0)</f>
        <v>1</v>
      </c>
      <c r="I1513" s="11">
        <f>IFERROR(__xludf.DUMMYFUNCTION("""COMPUTED_VALUE"""),854.0)</f>
        <v>854</v>
      </c>
      <c r="J1513" s="9" t="str">
        <f>IFERROR(__xludf.DUMMYFUNCTION("""COMPUTED_VALUE"""),"UK")</f>
        <v>UK</v>
      </c>
      <c r="K1513" s="8"/>
      <c r="L1513" s="12"/>
      <c r="M1513" s="13"/>
      <c r="N1513" s="13" t="str">
        <f>IFERROR(__xludf.DUMMYFUNCTION("IF(ISBLANK(M1513),"""",M1513*GOOGLEFINANCE(""USDGBP""))"),"")</f>
        <v/>
      </c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</row>
    <row r="1514">
      <c r="A1514" s="8" t="str">
        <f>IFERROR(__xludf.DUMMYFUNCTION("""COMPUTED_VALUE"""),"132152820150600750")</f>
        <v>132152820150600750</v>
      </c>
      <c r="B1514" s="9" t="str">
        <f>IFERROR(__xludf.DUMMYFUNCTION("""COMPUTED_VALUE"""),"United States")</f>
        <v>United States</v>
      </c>
      <c r="C1514" s="9" t="str">
        <f>IFERROR(__xludf.DUMMYFUNCTION("""COMPUTED_VALUE"""),"california")</f>
        <v>california</v>
      </c>
      <c r="D1514" s="9" t="str">
        <f>IFERROR(__xludf.DUMMYFUNCTION("""COMPUTED_VALUE"""),"Realm Cellars, The Bard, Napa Valley")</f>
        <v>Realm Cellars, The Bard, Napa Valley</v>
      </c>
      <c r="E1514" s="9">
        <f>IFERROR(__xludf.DUMMYFUNCTION("""COMPUTED_VALUE"""),2015.0)</f>
        <v>2015</v>
      </c>
      <c r="F1514" s="9">
        <f>IFERROR(__xludf.DUMMYFUNCTION("""COMPUTED_VALUE"""),750.0)</f>
        <v>750</v>
      </c>
      <c r="G1514" s="9">
        <f>IFERROR(__xludf.DUMMYFUNCTION("""COMPUTED_VALUE"""),6.0)</f>
        <v>6</v>
      </c>
      <c r="H1514" s="10">
        <f>IFERROR(__xludf.DUMMYFUNCTION("""COMPUTED_VALUE"""),7.0)</f>
        <v>7</v>
      </c>
      <c r="I1514" s="11">
        <f>IFERROR(__xludf.DUMMYFUNCTION("""COMPUTED_VALUE"""),851.0)</f>
        <v>851</v>
      </c>
      <c r="J1514" s="9" t="str">
        <f>IFERROR(__xludf.DUMMYFUNCTION("""COMPUTED_VALUE"""),"UK")</f>
        <v>UK</v>
      </c>
      <c r="K1514" s="8"/>
      <c r="L1514" s="12"/>
      <c r="M1514" s="13"/>
      <c r="N1514" s="13" t="str">
        <f>IFERROR(__xludf.DUMMYFUNCTION("IF(ISBLANK(M1514),"""",M1514*GOOGLEFINANCE(""USDGBP""))"),"")</f>
        <v/>
      </c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</row>
    <row r="1515">
      <c r="A1515" s="8" t="str">
        <f>IFERROR(__xludf.DUMMYFUNCTION("""COMPUTED_VALUE"""),"132152820160600750")</f>
        <v>132152820160600750</v>
      </c>
      <c r="B1515" s="9" t="str">
        <f>IFERROR(__xludf.DUMMYFUNCTION("""COMPUTED_VALUE"""),"United States")</f>
        <v>United States</v>
      </c>
      <c r="C1515" s="9" t="str">
        <f>IFERROR(__xludf.DUMMYFUNCTION("""COMPUTED_VALUE"""),"california")</f>
        <v>california</v>
      </c>
      <c r="D1515" s="9" t="str">
        <f>IFERROR(__xludf.DUMMYFUNCTION("""COMPUTED_VALUE"""),"Realm Cellars, The Bard, Napa Valley")</f>
        <v>Realm Cellars, The Bard, Napa Valley</v>
      </c>
      <c r="E1515" s="9">
        <f>IFERROR(__xludf.DUMMYFUNCTION("""COMPUTED_VALUE"""),2016.0)</f>
        <v>2016</v>
      </c>
      <c r="F1515" s="9">
        <f>IFERROR(__xludf.DUMMYFUNCTION("""COMPUTED_VALUE"""),750.0)</f>
        <v>750</v>
      </c>
      <c r="G1515" s="9">
        <f>IFERROR(__xludf.DUMMYFUNCTION("""COMPUTED_VALUE"""),6.0)</f>
        <v>6</v>
      </c>
      <c r="H1515" s="10">
        <f>IFERROR(__xludf.DUMMYFUNCTION("""COMPUTED_VALUE"""),5.0)</f>
        <v>5</v>
      </c>
      <c r="I1515" s="11">
        <f>IFERROR(__xludf.DUMMYFUNCTION("""COMPUTED_VALUE"""),1002.0)</f>
        <v>1002</v>
      </c>
      <c r="J1515" s="9" t="str">
        <f>IFERROR(__xludf.DUMMYFUNCTION("""COMPUTED_VALUE"""),"UK")</f>
        <v>UK</v>
      </c>
      <c r="K1515" s="8"/>
      <c r="L1515" s="12"/>
      <c r="M1515" s="13"/>
      <c r="N1515" s="13" t="str">
        <f>IFERROR(__xludf.DUMMYFUNCTION("IF(ISBLANK(M1515),"""",M1515*GOOGLEFINANCE(""USDGBP""))"),"")</f>
        <v/>
      </c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</row>
    <row r="1516">
      <c r="A1516" s="8" t="str">
        <f>IFERROR(__xludf.DUMMYFUNCTION("""COMPUTED_VALUE"""),"132152820170600750")</f>
        <v>132152820170600750</v>
      </c>
      <c r="B1516" s="9" t="str">
        <f>IFERROR(__xludf.DUMMYFUNCTION("""COMPUTED_VALUE"""),"United States")</f>
        <v>United States</v>
      </c>
      <c r="C1516" s="9" t="str">
        <f>IFERROR(__xludf.DUMMYFUNCTION("""COMPUTED_VALUE"""),"california")</f>
        <v>california</v>
      </c>
      <c r="D1516" s="9" t="str">
        <f>IFERROR(__xludf.DUMMYFUNCTION("""COMPUTED_VALUE"""),"Realm Cellars, The Bard, Napa Valley")</f>
        <v>Realm Cellars, The Bard, Napa Valley</v>
      </c>
      <c r="E1516" s="9">
        <f>IFERROR(__xludf.DUMMYFUNCTION("""COMPUTED_VALUE"""),2017.0)</f>
        <v>2017</v>
      </c>
      <c r="F1516" s="9">
        <f>IFERROR(__xludf.DUMMYFUNCTION("""COMPUTED_VALUE"""),750.0)</f>
        <v>750</v>
      </c>
      <c r="G1516" s="9">
        <f>IFERROR(__xludf.DUMMYFUNCTION("""COMPUTED_VALUE"""),6.0)</f>
        <v>6</v>
      </c>
      <c r="H1516" s="10">
        <f>IFERROR(__xludf.DUMMYFUNCTION("""COMPUTED_VALUE"""),16.0)</f>
        <v>16</v>
      </c>
      <c r="I1516" s="11">
        <f>IFERROR(__xludf.DUMMYFUNCTION("""COMPUTED_VALUE"""),692.0)</f>
        <v>692</v>
      </c>
      <c r="J1516" s="9" t="str">
        <f>IFERROR(__xludf.DUMMYFUNCTION("""COMPUTED_VALUE"""),"UK")</f>
        <v>UK</v>
      </c>
      <c r="K1516" s="8"/>
      <c r="L1516" s="12"/>
      <c r="M1516" s="13"/>
      <c r="N1516" s="13" t="str">
        <f>IFERROR(__xludf.DUMMYFUNCTION("IF(ISBLANK(M1516),"""",M1516*GOOGLEFINANCE(""USDGBP""))"),"")</f>
        <v/>
      </c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</row>
    <row r="1517">
      <c r="A1517" s="8" t="str">
        <f>IFERROR(__xludf.DUMMYFUNCTION("""COMPUTED_VALUE"""),"132152820180600750")</f>
        <v>132152820180600750</v>
      </c>
      <c r="B1517" s="9" t="str">
        <f>IFERROR(__xludf.DUMMYFUNCTION("""COMPUTED_VALUE"""),"United States")</f>
        <v>United States</v>
      </c>
      <c r="C1517" s="9" t="str">
        <f>IFERROR(__xludf.DUMMYFUNCTION("""COMPUTED_VALUE"""),"california")</f>
        <v>california</v>
      </c>
      <c r="D1517" s="9" t="str">
        <f>IFERROR(__xludf.DUMMYFUNCTION("""COMPUTED_VALUE"""),"Realm Cellars, The Bard, Napa Valley")</f>
        <v>Realm Cellars, The Bard, Napa Valley</v>
      </c>
      <c r="E1517" s="9">
        <f>IFERROR(__xludf.DUMMYFUNCTION("""COMPUTED_VALUE"""),2018.0)</f>
        <v>2018</v>
      </c>
      <c r="F1517" s="9">
        <f>IFERROR(__xludf.DUMMYFUNCTION("""COMPUTED_VALUE"""),750.0)</f>
        <v>750</v>
      </c>
      <c r="G1517" s="9">
        <f>IFERROR(__xludf.DUMMYFUNCTION("""COMPUTED_VALUE"""),6.0)</f>
        <v>6</v>
      </c>
      <c r="H1517" s="10">
        <f>IFERROR(__xludf.DUMMYFUNCTION("""COMPUTED_VALUE"""),26.0)</f>
        <v>26</v>
      </c>
      <c r="I1517" s="11">
        <f>IFERROR(__xludf.DUMMYFUNCTION("""COMPUTED_VALUE"""),800.0)</f>
        <v>800</v>
      </c>
      <c r="J1517" s="9" t="str">
        <f>IFERROR(__xludf.DUMMYFUNCTION("""COMPUTED_VALUE"""),"UK")</f>
        <v>UK</v>
      </c>
      <c r="K1517" s="8"/>
      <c r="L1517" s="12"/>
      <c r="M1517" s="13"/>
      <c r="N1517" s="13" t="str">
        <f>IFERROR(__xludf.DUMMYFUNCTION("IF(ISBLANK(M1517),"""",M1517*GOOGLEFINANCE(""USDGBP""))"),"")</f>
        <v/>
      </c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</row>
    <row r="1518">
      <c r="A1518" s="8" t="str">
        <f>IFERROR(__xludf.DUMMYFUNCTION("""COMPUTED_VALUE"""),"132152820190600750")</f>
        <v>132152820190600750</v>
      </c>
      <c r="B1518" s="9" t="str">
        <f>IFERROR(__xludf.DUMMYFUNCTION("""COMPUTED_VALUE"""),"United States")</f>
        <v>United States</v>
      </c>
      <c r="C1518" s="9" t="str">
        <f>IFERROR(__xludf.DUMMYFUNCTION("""COMPUTED_VALUE"""),"california")</f>
        <v>california</v>
      </c>
      <c r="D1518" s="9" t="str">
        <f>IFERROR(__xludf.DUMMYFUNCTION("""COMPUTED_VALUE"""),"Realm Cellars, The Bard, Napa Valley")</f>
        <v>Realm Cellars, The Bard, Napa Valley</v>
      </c>
      <c r="E1518" s="9">
        <f>IFERROR(__xludf.DUMMYFUNCTION("""COMPUTED_VALUE"""),2019.0)</f>
        <v>2019</v>
      </c>
      <c r="F1518" s="9">
        <f>IFERROR(__xludf.DUMMYFUNCTION("""COMPUTED_VALUE"""),750.0)</f>
        <v>750</v>
      </c>
      <c r="G1518" s="9">
        <f>IFERROR(__xludf.DUMMYFUNCTION("""COMPUTED_VALUE"""),6.0)</f>
        <v>6</v>
      </c>
      <c r="H1518" s="10">
        <f>IFERROR(__xludf.DUMMYFUNCTION("""COMPUTED_VALUE"""),12.0)</f>
        <v>12</v>
      </c>
      <c r="I1518" s="11">
        <f>IFERROR(__xludf.DUMMYFUNCTION("""COMPUTED_VALUE"""),672.0)</f>
        <v>672</v>
      </c>
      <c r="J1518" s="9" t="str">
        <f>IFERROR(__xludf.DUMMYFUNCTION("""COMPUTED_VALUE"""),"UK")</f>
        <v>UK</v>
      </c>
      <c r="K1518" s="8"/>
      <c r="L1518" s="12"/>
      <c r="M1518" s="13"/>
      <c r="N1518" s="13" t="str">
        <f>IFERROR(__xludf.DUMMYFUNCTION("IF(ISBLANK(M1518),"""",M1518*GOOGLEFINANCE(""USDGBP""))"),"")</f>
        <v/>
      </c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</row>
    <row r="1519">
      <c r="A1519" s="8" t="str">
        <f>IFERROR(__xludf.DUMMYFUNCTION("""COMPUTED_VALUE"""),"112316420120600750")</f>
        <v>112316420120600750</v>
      </c>
      <c r="B1519" s="9" t="str">
        <f>IFERROR(__xludf.DUMMYFUNCTION("""COMPUTED_VALUE"""),"United States")</f>
        <v>United States</v>
      </c>
      <c r="C1519" s="9" t="str">
        <f>IFERROR(__xludf.DUMMYFUNCTION("""COMPUTED_VALUE"""),"california")</f>
        <v>california</v>
      </c>
      <c r="D1519" s="9" t="str">
        <f>IFERROR(__xludf.DUMMYFUNCTION("""COMPUTED_VALUE"""),"Ridge, California Cabernet Sauvignon Monte Bello, Santa Cruz Mountains")</f>
        <v>Ridge, California Cabernet Sauvignon Monte Bello, Santa Cruz Mountains</v>
      </c>
      <c r="E1519" s="9">
        <f>IFERROR(__xludf.DUMMYFUNCTION("""COMPUTED_VALUE"""),2012.0)</f>
        <v>2012</v>
      </c>
      <c r="F1519" s="9">
        <f>IFERROR(__xludf.DUMMYFUNCTION("""COMPUTED_VALUE"""),750.0)</f>
        <v>750</v>
      </c>
      <c r="G1519" s="9">
        <f>IFERROR(__xludf.DUMMYFUNCTION("""COMPUTED_VALUE"""),6.0)</f>
        <v>6</v>
      </c>
      <c r="H1519" s="10">
        <f>IFERROR(__xludf.DUMMYFUNCTION("""COMPUTED_VALUE"""),1.0)</f>
        <v>1</v>
      </c>
      <c r="I1519" s="11">
        <f>IFERROR(__xludf.DUMMYFUNCTION("""COMPUTED_VALUE"""),1020.0)</f>
        <v>1020</v>
      </c>
      <c r="J1519" s="9" t="str">
        <f>IFERROR(__xludf.DUMMYFUNCTION("""COMPUTED_VALUE"""),"UK")</f>
        <v>UK</v>
      </c>
      <c r="K1519" s="8"/>
      <c r="L1519" s="12"/>
      <c r="M1519" s="13"/>
      <c r="N1519" s="13" t="str">
        <f>IFERROR(__xludf.DUMMYFUNCTION("IF(ISBLANK(M1519),"""",M1519*GOOGLEFINANCE(""USDGBP""))"),"")</f>
        <v/>
      </c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</row>
    <row r="1520">
      <c r="A1520" s="8" t="str">
        <f>IFERROR(__xludf.DUMMYFUNCTION("""COMPUTED_VALUE"""),"112316420170301500")</f>
        <v>112316420170301500</v>
      </c>
      <c r="B1520" s="9" t="str">
        <f>IFERROR(__xludf.DUMMYFUNCTION("""COMPUTED_VALUE"""),"United States")</f>
        <v>United States</v>
      </c>
      <c r="C1520" s="9" t="str">
        <f>IFERROR(__xludf.DUMMYFUNCTION("""COMPUTED_VALUE"""),"california")</f>
        <v>california</v>
      </c>
      <c r="D1520" s="9" t="str">
        <f>IFERROR(__xludf.DUMMYFUNCTION("""COMPUTED_VALUE"""),"Ridge, California Cabernet Sauvignon Monte Bello, Santa Cruz Mountains")</f>
        <v>Ridge, California Cabernet Sauvignon Monte Bello, Santa Cruz Mountains</v>
      </c>
      <c r="E1520" s="9">
        <f>IFERROR(__xludf.DUMMYFUNCTION("""COMPUTED_VALUE"""),2017.0)</f>
        <v>2017</v>
      </c>
      <c r="F1520" s="9">
        <f>IFERROR(__xludf.DUMMYFUNCTION("""COMPUTED_VALUE"""),1500.0)</f>
        <v>1500</v>
      </c>
      <c r="G1520" s="9">
        <f>IFERROR(__xludf.DUMMYFUNCTION("""COMPUTED_VALUE"""),3.0)</f>
        <v>3</v>
      </c>
      <c r="H1520" s="10">
        <f>IFERROR(__xludf.DUMMYFUNCTION("""COMPUTED_VALUE"""),1.0)</f>
        <v>1</v>
      </c>
      <c r="I1520" s="11">
        <f>IFERROR(__xludf.DUMMYFUNCTION("""COMPUTED_VALUE"""),1203.0)</f>
        <v>1203</v>
      </c>
      <c r="J1520" s="9" t="str">
        <f>IFERROR(__xludf.DUMMYFUNCTION("""COMPUTED_VALUE"""),"UK")</f>
        <v>UK</v>
      </c>
      <c r="K1520" s="8"/>
      <c r="L1520" s="12"/>
      <c r="M1520" s="13"/>
      <c r="N1520" s="13" t="str">
        <f>IFERROR(__xludf.DUMMYFUNCTION("IF(ISBLANK(M1520),"""",M1520*GOOGLEFINANCE(""USDGBP""))"),"")</f>
        <v/>
      </c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</row>
    <row r="1521">
      <c r="A1521" s="8" t="str">
        <f>IFERROR(__xludf.DUMMYFUNCTION("""COMPUTED_VALUE"""),"112316420180600750")</f>
        <v>112316420180600750</v>
      </c>
      <c r="B1521" s="9" t="str">
        <f>IFERROR(__xludf.DUMMYFUNCTION("""COMPUTED_VALUE"""),"United States")</f>
        <v>United States</v>
      </c>
      <c r="C1521" s="9" t="str">
        <f>IFERROR(__xludf.DUMMYFUNCTION("""COMPUTED_VALUE"""),"california")</f>
        <v>california</v>
      </c>
      <c r="D1521" s="9" t="str">
        <f>IFERROR(__xludf.DUMMYFUNCTION("""COMPUTED_VALUE"""),"Ridge, California Cabernet Sauvignon Monte Bello, Santa Cruz Mountains")</f>
        <v>Ridge, California Cabernet Sauvignon Monte Bello, Santa Cruz Mountains</v>
      </c>
      <c r="E1521" s="9">
        <f>IFERROR(__xludf.DUMMYFUNCTION("""COMPUTED_VALUE"""),2018.0)</f>
        <v>2018</v>
      </c>
      <c r="F1521" s="9">
        <f>IFERROR(__xludf.DUMMYFUNCTION("""COMPUTED_VALUE"""),750.0)</f>
        <v>750</v>
      </c>
      <c r="G1521" s="9">
        <f>IFERROR(__xludf.DUMMYFUNCTION("""COMPUTED_VALUE"""),6.0)</f>
        <v>6</v>
      </c>
      <c r="H1521" s="10">
        <f>IFERROR(__xludf.DUMMYFUNCTION("""COMPUTED_VALUE"""),3.0)</f>
        <v>3</v>
      </c>
      <c r="I1521" s="11">
        <f>IFERROR(__xludf.DUMMYFUNCTION("""COMPUTED_VALUE"""),1003.0)</f>
        <v>1003</v>
      </c>
      <c r="J1521" s="9" t="str">
        <f>IFERROR(__xludf.DUMMYFUNCTION("""COMPUTED_VALUE"""),"UK")</f>
        <v>UK</v>
      </c>
      <c r="K1521" s="8"/>
      <c r="L1521" s="12"/>
      <c r="M1521" s="13"/>
      <c r="N1521" s="13" t="str">
        <f>IFERROR(__xludf.DUMMYFUNCTION("IF(ISBLANK(M1521),"""",M1521*GOOGLEFINANCE(""USDGBP""))"),"")</f>
        <v/>
      </c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</row>
    <row r="1522">
      <c r="A1522" s="8" t="str">
        <f>IFERROR(__xludf.DUMMYFUNCTION("""COMPUTED_VALUE"""),"112316420180301500")</f>
        <v>112316420180301500</v>
      </c>
      <c r="B1522" s="9" t="str">
        <f>IFERROR(__xludf.DUMMYFUNCTION("""COMPUTED_VALUE"""),"United States")</f>
        <v>United States</v>
      </c>
      <c r="C1522" s="9" t="str">
        <f>IFERROR(__xludf.DUMMYFUNCTION("""COMPUTED_VALUE"""),"california")</f>
        <v>california</v>
      </c>
      <c r="D1522" s="9" t="str">
        <f>IFERROR(__xludf.DUMMYFUNCTION("""COMPUTED_VALUE"""),"Ridge, California Cabernet Sauvignon Monte Bello, Santa Cruz Mountains")</f>
        <v>Ridge, California Cabernet Sauvignon Monte Bello, Santa Cruz Mountains</v>
      </c>
      <c r="E1522" s="9">
        <f>IFERROR(__xludf.DUMMYFUNCTION("""COMPUTED_VALUE"""),2018.0)</f>
        <v>2018</v>
      </c>
      <c r="F1522" s="9">
        <f>IFERROR(__xludf.DUMMYFUNCTION("""COMPUTED_VALUE"""),1500.0)</f>
        <v>1500</v>
      </c>
      <c r="G1522" s="9">
        <f>IFERROR(__xludf.DUMMYFUNCTION("""COMPUTED_VALUE"""),3.0)</f>
        <v>3</v>
      </c>
      <c r="H1522" s="10">
        <f>IFERROR(__xludf.DUMMYFUNCTION("""COMPUTED_VALUE"""),1.0)</f>
        <v>1</v>
      </c>
      <c r="I1522" s="11">
        <f>IFERROR(__xludf.DUMMYFUNCTION("""COMPUTED_VALUE"""),1003.0)</f>
        <v>1003</v>
      </c>
      <c r="J1522" s="9" t="str">
        <f>IFERROR(__xludf.DUMMYFUNCTION("""COMPUTED_VALUE"""),"UK")</f>
        <v>UK</v>
      </c>
      <c r="K1522" s="8"/>
      <c r="L1522" s="12"/>
      <c r="M1522" s="13"/>
      <c r="N1522" s="13" t="str">
        <f>IFERROR(__xludf.DUMMYFUNCTION("IF(ISBLANK(M1522),"""",M1522*GOOGLEFINANCE(""USDGBP""))"),"")</f>
        <v/>
      </c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</row>
    <row r="1523">
      <c r="A1523" s="8" t="str">
        <f>IFERROR(__xludf.DUMMYFUNCTION("""COMPUTED_VALUE"""),"112316420200600750")</f>
        <v>112316420200600750</v>
      </c>
      <c r="B1523" s="9" t="str">
        <f>IFERROR(__xludf.DUMMYFUNCTION("""COMPUTED_VALUE"""),"United States")</f>
        <v>United States</v>
      </c>
      <c r="C1523" s="9" t="str">
        <f>IFERROR(__xludf.DUMMYFUNCTION("""COMPUTED_VALUE"""),"california")</f>
        <v>california</v>
      </c>
      <c r="D1523" s="9" t="str">
        <f>IFERROR(__xludf.DUMMYFUNCTION("""COMPUTED_VALUE"""),"Ridge, California Cabernet Sauvignon Monte Bello, Santa Cruz Mountains")</f>
        <v>Ridge, California Cabernet Sauvignon Monte Bello, Santa Cruz Mountains</v>
      </c>
      <c r="E1523" s="9">
        <f>IFERROR(__xludf.DUMMYFUNCTION("""COMPUTED_VALUE"""),2020.0)</f>
        <v>2020</v>
      </c>
      <c r="F1523" s="9">
        <f>IFERROR(__xludf.DUMMYFUNCTION("""COMPUTED_VALUE"""),750.0)</f>
        <v>750</v>
      </c>
      <c r="G1523" s="9">
        <f>IFERROR(__xludf.DUMMYFUNCTION("""COMPUTED_VALUE"""),6.0)</f>
        <v>6</v>
      </c>
      <c r="H1523" s="10">
        <f>IFERROR(__xludf.DUMMYFUNCTION("""COMPUTED_VALUE"""),1.0)</f>
        <v>1</v>
      </c>
      <c r="I1523" s="11">
        <f>IFERROR(__xludf.DUMMYFUNCTION("""COMPUTED_VALUE"""),1029.0)</f>
        <v>1029</v>
      </c>
      <c r="J1523" s="9" t="str">
        <f>IFERROR(__xludf.DUMMYFUNCTION("""COMPUTED_VALUE"""),"UK")</f>
        <v>UK</v>
      </c>
      <c r="K1523" s="8"/>
      <c r="L1523" s="12"/>
      <c r="M1523" s="13"/>
      <c r="N1523" s="13" t="str">
        <f>IFERROR(__xludf.DUMMYFUNCTION("IF(ISBLANK(M1523),"""",M1523*GOOGLEFINANCE(""USDGBP""))"),"")</f>
        <v/>
      </c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</row>
    <row r="1524">
      <c r="A1524" s="8" t="str">
        <f>IFERROR(__xludf.DUMMYFUNCTION("""COMPUTED_VALUE"""),"115115220161200750")</f>
        <v>115115220161200750</v>
      </c>
      <c r="B1524" s="9" t="str">
        <f>IFERROR(__xludf.DUMMYFUNCTION("""COMPUTED_VALUE"""),"United States")</f>
        <v>United States</v>
      </c>
      <c r="C1524" s="9" t="str">
        <f>IFERROR(__xludf.DUMMYFUNCTION("""COMPUTED_VALUE"""),"california")</f>
        <v>california</v>
      </c>
      <c r="D1524" s="9" t="str">
        <f>IFERROR(__xludf.DUMMYFUNCTION("""COMPUTED_VALUE"""),"Ridge, Estate Cabernet Sauvignon, Santa Cruz Mountains")</f>
        <v>Ridge, Estate Cabernet Sauvignon, Santa Cruz Mountains</v>
      </c>
      <c r="E1524" s="9">
        <f>IFERROR(__xludf.DUMMYFUNCTION("""COMPUTED_VALUE"""),2016.0)</f>
        <v>2016</v>
      </c>
      <c r="F1524" s="9">
        <f>IFERROR(__xludf.DUMMYFUNCTION("""COMPUTED_VALUE"""),750.0)</f>
        <v>750</v>
      </c>
      <c r="G1524" s="9">
        <f>IFERROR(__xludf.DUMMYFUNCTION("""COMPUTED_VALUE"""),12.0)</f>
        <v>12</v>
      </c>
      <c r="H1524" s="10">
        <f>IFERROR(__xludf.DUMMYFUNCTION("""COMPUTED_VALUE"""),1.0)</f>
        <v>1</v>
      </c>
      <c r="I1524" s="11">
        <f>IFERROR(__xludf.DUMMYFUNCTION("""COMPUTED_VALUE"""),772.0)</f>
        <v>772</v>
      </c>
      <c r="J1524" s="9" t="str">
        <f>IFERROR(__xludf.DUMMYFUNCTION("""COMPUTED_VALUE"""),"UK")</f>
        <v>UK</v>
      </c>
      <c r="K1524" s="8"/>
      <c r="L1524" s="12"/>
      <c r="M1524" s="13"/>
      <c r="N1524" s="13" t="str">
        <f>IFERROR(__xludf.DUMMYFUNCTION("IF(ISBLANK(M1524),"""",M1524*GOOGLEFINANCE(""USDGBP""))"),"")</f>
        <v/>
      </c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</row>
    <row r="1525">
      <c r="A1525" s="8" t="str">
        <f>IFERROR(__xludf.DUMMYFUNCTION("""COMPUTED_VALUE"""),"115115220171200750")</f>
        <v>115115220171200750</v>
      </c>
      <c r="B1525" s="9" t="str">
        <f>IFERROR(__xludf.DUMMYFUNCTION("""COMPUTED_VALUE"""),"United States")</f>
        <v>United States</v>
      </c>
      <c r="C1525" s="9" t="str">
        <f>IFERROR(__xludf.DUMMYFUNCTION("""COMPUTED_VALUE"""),"california")</f>
        <v>california</v>
      </c>
      <c r="D1525" s="9" t="str">
        <f>IFERROR(__xludf.DUMMYFUNCTION("""COMPUTED_VALUE"""),"Ridge, Estate Cabernet Sauvignon, Santa Cruz Mountains")</f>
        <v>Ridge, Estate Cabernet Sauvignon, Santa Cruz Mountains</v>
      </c>
      <c r="E1525" s="9">
        <f>IFERROR(__xludf.DUMMYFUNCTION("""COMPUTED_VALUE"""),2017.0)</f>
        <v>2017</v>
      </c>
      <c r="F1525" s="9">
        <f>IFERROR(__xludf.DUMMYFUNCTION("""COMPUTED_VALUE"""),750.0)</f>
        <v>750</v>
      </c>
      <c r="G1525" s="9">
        <f>IFERROR(__xludf.DUMMYFUNCTION("""COMPUTED_VALUE"""),12.0)</f>
        <v>12</v>
      </c>
      <c r="H1525" s="10">
        <f>IFERROR(__xludf.DUMMYFUNCTION("""COMPUTED_VALUE"""),1.0)</f>
        <v>1</v>
      </c>
      <c r="I1525" s="11">
        <f>IFERROR(__xludf.DUMMYFUNCTION("""COMPUTED_VALUE"""),772.0)</f>
        <v>772</v>
      </c>
      <c r="J1525" s="9" t="str">
        <f>IFERROR(__xludf.DUMMYFUNCTION("""COMPUTED_VALUE"""),"UK")</f>
        <v>UK</v>
      </c>
      <c r="K1525" s="8"/>
      <c r="L1525" s="12"/>
      <c r="M1525" s="13"/>
      <c r="N1525" s="13" t="str">
        <f>IFERROR(__xludf.DUMMYFUNCTION("IF(ISBLANK(M1525),"""",M1525*GOOGLEFINANCE(""USDGBP""))"),"")</f>
        <v/>
      </c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</row>
    <row r="1526">
      <c r="A1526" s="8" t="str">
        <f>IFERROR(__xludf.DUMMYFUNCTION("""COMPUTED_VALUE"""),"113582820071200750")</f>
        <v>113582820071200750</v>
      </c>
      <c r="B1526" s="9" t="str">
        <f>IFERROR(__xludf.DUMMYFUNCTION("""COMPUTED_VALUE"""),"United States")</f>
        <v>United States</v>
      </c>
      <c r="C1526" s="9" t="str">
        <f>IFERROR(__xludf.DUMMYFUNCTION("""COMPUTED_VALUE"""),"california")</f>
        <v>california</v>
      </c>
      <c r="D1526" s="9" t="str">
        <f>IFERROR(__xludf.DUMMYFUNCTION("""COMPUTED_VALUE"""),"Ridge, Lytton Springs, Dry Creek Valley")</f>
        <v>Ridge, Lytton Springs, Dry Creek Valley</v>
      </c>
      <c r="E1526" s="9">
        <f>IFERROR(__xludf.DUMMYFUNCTION("""COMPUTED_VALUE"""),2007.0)</f>
        <v>2007</v>
      </c>
      <c r="F1526" s="9">
        <f>IFERROR(__xludf.DUMMYFUNCTION("""COMPUTED_VALUE"""),750.0)</f>
        <v>750</v>
      </c>
      <c r="G1526" s="9">
        <f>IFERROR(__xludf.DUMMYFUNCTION("""COMPUTED_VALUE"""),12.0)</f>
        <v>12</v>
      </c>
      <c r="H1526" s="10">
        <f>IFERROR(__xludf.DUMMYFUNCTION("""COMPUTED_VALUE"""),1.0)</f>
        <v>1</v>
      </c>
      <c r="I1526" s="11">
        <f>IFERROR(__xludf.DUMMYFUNCTION("""COMPUTED_VALUE"""),560.0)</f>
        <v>560</v>
      </c>
      <c r="J1526" s="9" t="str">
        <f>IFERROR(__xludf.DUMMYFUNCTION("""COMPUTED_VALUE"""),"UK")</f>
        <v>UK</v>
      </c>
      <c r="K1526" s="8"/>
      <c r="L1526" s="12"/>
      <c r="M1526" s="13"/>
      <c r="N1526" s="13" t="str">
        <f>IFERROR(__xludf.DUMMYFUNCTION("IF(ISBLANK(M1526),"""",M1526*GOOGLEFINANCE(""USDGBP""))"),"")</f>
        <v/>
      </c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</row>
    <row r="1527">
      <c r="A1527" s="8" t="str">
        <f>IFERROR(__xludf.DUMMYFUNCTION("""COMPUTED_VALUE"""),"113582820081200750")</f>
        <v>113582820081200750</v>
      </c>
      <c r="B1527" s="9" t="str">
        <f>IFERROR(__xludf.DUMMYFUNCTION("""COMPUTED_VALUE"""),"United States")</f>
        <v>United States</v>
      </c>
      <c r="C1527" s="9" t="str">
        <f>IFERROR(__xludf.DUMMYFUNCTION("""COMPUTED_VALUE"""),"california")</f>
        <v>california</v>
      </c>
      <c r="D1527" s="9" t="str">
        <f>IFERROR(__xludf.DUMMYFUNCTION("""COMPUTED_VALUE"""),"Ridge, Lytton Springs, Dry Creek Valley")</f>
        <v>Ridge, Lytton Springs, Dry Creek Valley</v>
      </c>
      <c r="E1527" s="9">
        <f>IFERROR(__xludf.DUMMYFUNCTION("""COMPUTED_VALUE"""),2008.0)</f>
        <v>2008</v>
      </c>
      <c r="F1527" s="9">
        <f>IFERROR(__xludf.DUMMYFUNCTION("""COMPUTED_VALUE"""),750.0)</f>
        <v>750</v>
      </c>
      <c r="G1527" s="9">
        <f>IFERROR(__xludf.DUMMYFUNCTION("""COMPUTED_VALUE"""),12.0)</f>
        <v>12</v>
      </c>
      <c r="H1527" s="10">
        <f>IFERROR(__xludf.DUMMYFUNCTION("""COMPUTED_VALUE"""),1.0)</f>
        <v>1</v>
      </c>
      <c r="I1527" s="11">
        <f>IFERROR(__xludf.DUMMYFUNCTION("""COMPUTED_VALUE"""),840.0)</f>
        <v>840</v>
      </c>
      <c r="J1527" s="9" t="str">
        <f>IFERROR(__xludf.DUMMYFUNCTION("""COMPUTED_VALUE"""),"UK")</f>
        <v>UK</v>
      </c>
      <c r="K1527" s="8"/>
      <c r="L1527" s="12"/>
      <c r="M1527" s="13"/>
      <c r="N1527" s="13" t="str">
        <f>IFERROR(__xludf.DUMMYFUNCTION("IF(ISBLANK(M1527),"""",M1527*GOOGLEFINANCE(""USDGBP""))"),"")</f>
        <v/>
      </c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</row>
    <row r="1528">
      <c r="A1528" s="8" t="str">
        <f>IFERROR(__xludf.DUMMYFUNCTION("""COMPUTED_VALUE"""),"113582820111200750")</f>
        <v>113582820111200750</v>
      </c>
      <c r="B1528" s="9" t="str">
        <f>IFERROR(__xludf.DUMMYFUNCTION("""COMPUTED_VALUE"""),"United States")</f>
        <v>United States</v>
      </c>
      <c r="C1528" s="9" t="str">
        <f>IFERROR(__xludf.DUMMYFUNCTION("""COMPUTED_VALUE"""),"california")</f>
        <v>california</v>
      </c>
      <c r="D1528" s="9" t="str">
        <f>IFERROR(__xludf.DUMMYFUNCTION("""COMPUTED_VALUE"""),"Ridge, Lytton Springs, Dry Creek Valley")</f>
        <v>Ridge, Lytton Springs, Dry Creek Valley</v>
      </c>
      <c r="E1528" s="9">
        <f>IFERROR(__xludf.DUMMYFUNCTION("""COMPUTED_VALUE"""),2011.0)</f>
        <v>2011</v>
      </c>
      <c r="F1528" s="9">
        <f>IFERROR(__xludf.DUMMYFUNCTION("""COMPUTED_VALUE"""),750.0)</f>
        <v>750</v>
      </c>
      <c r="G1528" s="9">
        <f>IFERROR(__xludf.DUMMYFUNCTION("""COMPUTED_VALUE"""),12.0)</f>
        <v>12</v>
      </c>
      <c r="H1528" s="10">
        <f>IFERROR(__xludf.DUMMYFUNCTION("""COMPUTED_VALUE"""),1.0)</f>
        <v>1</v>
      </c>
      <c r="I1528" s="11">
        <f>IFERROR(__xludf.DUMMYFUNCTION("""COMPUTED_VALUE"""),571.0)</f>
        <v>571</v>
      </c>
      <c r="J1528" s="9" t="str">
        <f>IFERROR(__xludf.DUMMYFUNCTION("""COMPUTED_VALUE"""),"UK")</f>
        <v>UK</v>
      </c>
      <c r="K1528" s="8"/>
      <c r="L1528" s="12"/>
      <c r="M1528" s="13"/>
      <c r="N1528" s="13" t="str">
        <f>IFERROR(__xludf.DUMMYFUNCTION("IF(ISBLANK(M1528),"""",M1528*GOOGLEFINANCE(""USDGBP""))"),"")</f>
        <v/>
      </c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</row>
    <row r="1529">
      <c r="A1529" s="8" t="str">
        <f>IFERROR(__xludf.DUMMYFUNCTION("""COMPUTED_VALUE"""),"145342920131200750")</f>
        <v>145342920131200750</v>
      </c>
      <c r="B1529" s="9" t="str">
        <f>IFERROR(__xludf.DUMMYFUNCTION("""COMPUTED_VALUE"""),"United States")</f>
        <v>United States</v>
      </c>
      <c r="C1529" s="9" t="str">
        <f>IFERROR(__xludf.DUMMYFUNCTION("""COMPUTED_VALUE"""),"california")</f>
        <v>california</v>
      </c>
      <c r="D1529" s="9" t="str">
        <f>IFERROR(__xludf.DUMMYFUNCTION("""COMPUTED_VALUE"""),"Rivers-Marie, Gioia Pinot Noir, Sonoma Coast")</f>
        <v>Rivers-Marie, Gioia Pinot Noir, Sonoma Coast</v>
      </c>
      <c r="E1529" s="9">
        <f>IFERROR(__xludf.DUMMYFUNCTION("""COMPUTED_VALUE"""),2013.0)</f>
        <v>2013</v>
      </c>
      <c r="F1529" s="9">
        <f>IFERROR(__xludf.DUMMYFUNCTION("""COMPUTED_VALUE"""),750.0)</f>
        <v>750</v>
      </c>
      <c r="G1529" s="9">
        <f>IFERROR(__xludf.DUMMYFUNCTION("""COMPUTED_VALUE"""),12.0)</f>
        <v>12</v>
      </c>
      <c r="H1529" s="10">
        <f>IFERROR(__xludf.DUMMYFUNCTION("""COMPUTED_VALUE"""),1.0)</f>
        <v>1</v>
      </c>
      <c r="I1529" s="11">
        <f>IFERROR(__xludf.DUMMYFUNCTION("""COMPUTED_VALUE"""),840.0)</f>
        <v>840</v>
      </c>
      <c r="J1529" s="9" t="str">
        <f>IFERROR(__xludf.DUMMYFUNCTION("""COMPUTED_VALUE"""),"UK")</f>
        <v>UK</v>
      </c>
      <c r="K1529" s="8"/>
      <c r="L1529" s="12"/>
      <c r="M1529" s="13"/>
      <c r="N1529" s="13" t="str">
        <f>IFERROR(__xludf.DUMMYFUNCTION("IF(ISBLANK(M1529),"""",M1529*GOOGLEFINANCE(""USDGBP""))"),"")</f>
        <v/>
      </c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</row>
    <row r="1530">
      <c r="A1530" s="8" t="str">
        <f>IFERROR(__xludf.DUMMYFUNCTION("""COMPUTED_VALUE"""),"118660219970600750")</f>
        <v>118660219970600750</v>
      </c>
      <c r="B1530" s="9" t="str">
        <f>IFERROR(__xludf.DUMMYFUNCTION("""COMPUTED_VALUE"""),"United States")</f>
        <v>United States</v>
      </c>
      <c r="C1530" s="9" t="str">
        <f>IFERROR(__xludf.DUMMYFUNCTION("""COMPUTED_VALUE"""),"california")</f>
        <v>california</v>
      </c>
      <c r="D1530" s="9" t="str">
        <f>IFERROR(__xludf.DUMMYFUNCTION("""COMPUTED_VALUE"""),"Robert Mondavi Winery, The Estates Cabernet Sauvignon, Oakville")</f>
        <v>Robert Mondavi Winery, The Estates Cabernet Sauvignon, Oakville</v>
      </c>
      <c r="E1530" s="9">
        <f>IFERROR(__xludf.DUMMYFUNCTION("""COMPUTED_VALUE"""),1997.0)</f>
        <v>1997</v>
      </c>
      <c r="F1530" s="9">
        <f>IFERROR(__xludf.DUMMYFUNCTION("""COMPUTED_VALUE"""),750.0)</f>
        <v>750</v>
      </c>
      <c r="G1530" s="9">
        <f>IFERROR(__xludf.DUMMYFUNCTION("""COMPUTED_VALUE"""),6.0)</f>
        <v>6</v>
      </c>
      <c r="H1530" s="10">
        <f>IFERROR(__xludf.DUMMYFUNCTION("""COMPUTED_VALUE"""),3.0)</f>
        <v>3</v>
      </c>
      <c r="I1530" s="11">
        <f>IFERROR(__xludf.DUMMYFUNCTION("""COMPUTED_VALUE"""),476.0)</f>
        <v>476</v>
      </c>
      <c r="J1530" s="9" t="str">
        <f>IFERROR(__xludf.DUMMYFUNCTION("""COMPUTED_VALUE"""),"UK")</f>
        <v>UK</v>
      </c>
      <c r="K1530" s="8"/>
      <c r="L1530" s="12"/>
      <c r="M1530" s="13"/>
      <c r="N1530" s="13" t="str">
        <f>IFERROR(__xludf.DUMMYFUNCTION("IF(ISBLANK(M1530),"""",M1530*GOOGLEFINANCE(""USDGBP""))"),"")</f>
        <v/>
      </c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</row>
    <row r="1531">
      <c r="A1531" s="8" t="str">
        <f>IFERROR(__xludf.DUMMYFUNCTION("""COMPUTED_VALUE"""),"114134620090300750")</f>
        <v>114134620090300750</v>
      </c>
      <c r="B1531" s="9" t="str">
        <f>IFERROR(__xludf.DUMMYFUNCTION("""COMPUTED_VALUE"""),"United States")</f>
        <v>United States</v>
      </c>
      <c r="C1531" s="9" t="str">
        <f>IFERROR(__xludf.DUMMYFUNCTION("""COMPUTED_VALUE"""),"california")</f>
        <v>california</v>
      </c>
      <c r="D1531" s="9" t="str">
        <f>IFERROR(__xludf.DUMMYFUNCTION("""COMPUTED_VALUE"""),"Scarecrow, Cabernet Sauvignon, Rutherford")</f>
        <v>Scarecrow, Cabernet Sauvignon, Rutherford</v>
      </c>
      <c r="E1531" s="9">
        <f>IFERROR(__xludf.DUMMYFUNCTION("""COMPUTED_VALUE"""),2009.0)</f>
        <v>2009</v>
      </c>
      <c r="F1531" s="9">
        <f>IFERROR(__xludf.DUMMYFUNCTION("""COMPUTED_VALUE"""),750.0)</f>
        <v>750</v>
      </c>
      <c r="G1531" s="9">
        <f>IFERROR(__xludf.DUMMYFUNCTION("""COMPUTED_VALUE"""),3.0)</f>
        <v>3</v>
      </c>
      <c r="H1531" s="10">
        <f>IFERROR(__xludf.DUMMYFUNCTION("""COMPUTED_VALUE"""),1.0)</f>
        <v>1</v>
      </c>
      <c r="I1531" s="11">
        <f>IFERROR(__xludf.DUMMYFUNCTION("""COMPUTED_VALUE"""),1846.0)</f>
        <v>1846</v>
      </c>
      <c r="J1531" s="9" t="str">
        <f>IFERROR(__xludf.DUMMYFUNCTION("""COMPUTED_VALUE"""),"UK")</f>
        <v>UK</v>
      </c>
      <c r="K1531" s="8"/>
      <c r="L1531" s="12"/>
      <c r="M1531" s="13"/>
      <c r="N1531" s="13" t="str">
        <f>IFERROR(__xludf.DUMMYFUNCTION("IF(ISBLANK(M1531),"""",M1531*GOOGLEFINANCE(""USDGBP""))"),"")</f>
        <v/>
      </c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</row>
    <row r="1532">
      <c r="A1532" s="8" t="str">
        <f>IFERROR(__xludf.DUMMYFUNCTION("""COMPUTED_VALUE"""),"114134620120300750")</f>
        <v>114134620120300750</v>
      </c>
      <c r="B1532" s="9" t="str">
        <f>IFERROR(__xludf.DUMMYFUNCTION("""COMPUTED_VALUE"""),"United States")</f>
        <v>United States</v>
      </c>
      <c r="C1532" s="9" t="str">
        <f>IFERROR(__xludf.DUMMYFUNCTION("""COMPUTED_VALUE"""),"california")</f>
        <v>california</v>
      </c>
      <c r="D1532" s="9" t="str">
        <f>IFERROR(__xludf.DUMMYFUNCTION("""COMPUTED_VALUE"""),"Scarecrow, Cabernet Sauvignon, Rutherford")</f>
        <v>Scarecrow, Cabernet Sauvignon, Rutherford</v>
      </c>
      <c r="E1532" s="9">
        <f>IFERROR(__xludf.DUMMYFUNCTION("""COMPUTED_VALUE"""),2012.0)</f>
        <v>2012</v>
      </c>
      <c r="F1532" s="9">
        <f>IFERROR(__xludf.DUMMYFUNCTION("""COMPUTED_VALUE"""),750.0)</f>
        <v>750</v>
      </c>
      <c r="G1532" s="9">
        <f>IFERROR(__xludf.DUMMYFUNCTION("""COMPUTED_VALUE"""),3.0)</f>
        <v>3</v>
      </c>
      <c r="H1532" s="10">
        <f>IFERROR(__xludf.DUMMYFUNCTION("""COMPUTED_VALUE"""),1.0)</f>
        <v>1</v>
      </c>
      <c r="I1532" s="11">
        <f>IFERROR(__xludf.DUMMYFUNCTION("""COMPUTED_VALUE"""),1813.0)</f>
        <v>1813</v>
      </c>
      <c r="J1532" s="9" t="str">
        <f>IFERROR(__xludf.DUMMYFUNCTION("""COMPUTED_VALUE"""),"UK")</f>
        <v>UK</v>
      </c>
      <c r="K1532" s="8"/>
      <c r="L1532" s="12"/>
      <c r="M1532" s="13"/>
      <c r="N1532" s="13" t="str">
        <f>IFERROR(__xludf.DUMMYFUNCTION("IF(ISBLANK(M1532),"""",M1532*GOOGLEFINANCE(""USDGBP""))"),"")</f>
        <v/>
      </c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</row>
    <row r="1533">
      <c r="A1533" s="8" t="str">
        <f>IFERROR(__xludf.DUMMYFUNCTION("""COMPUTED_VALUE"""),"114134620140300750")</f>
        <v>114134620140300750</v>
      </c>
      <c r="B1533" s="9" t="str">
        <f>IFERROR(__xludf.DUMMYFUNCTION("""COMPUTED_VALUE"""),"United States")</f>
        <v>United States</v>
      </c>
      <c r="C1533" s="9" t="str">
        <f>IFERROR(__xludf.DUMMYFUNCTION("""COMPUTED_VALUE"""),"california")</f>
        <v>california</v>
      </c>
      <c r="D1533" s="9" t="str">
        <f>IFERROR(__xludf.DUMMYFUNCTION("""COMPUTED_VALUE"""),"Scarecrow, Cabernet Sauvignon, Rutherford")</f>
        <v>Scarecrow, Cabernet Sauvignon, Rutherford</v>
      </c>
      <c r="E1533" s="9">
        <f>IFERROR(__xludf.DUMMYFUNCTION("""COMPUTED_VALUE"""),2014.0)</f>
        <v>2014</v>
      </c>
      <c r="F1533" s="9">
        <f>IFERROR(__xludf.DUMMYFUNCTION("""COMPUTED_VALUE"""),750.0)</f>
        <v>750</v>
      </c>
      <c r="G1533" s="9">
        <f>IFERROR(__xludf.DUMMYFUNCTION("""COMPUTED_VALUE"""),3.0)</f>
        <v>3</v>
      </c>
      <c r="H1533" s="10">
        <f>IFERROR(__xludf.DUMMYFUNCTION("""COMPUTED_VALUE"""),1.0)</f>
        <v>1</v>
      </c>
      <c r="I1533" s="11">
        <f>IFERROR(__xludf.DUMMYFUNCTION("""COMPUTED_VALUE"""),2277.0)</f>
        <v>2277</v>
      </c>
      <c r="J1533" s="9" t="str">
        <f>IFERROR(__xludf.DUMMYFUNCTION("""COMPUTED_VALUE"""),"UK")</f>
        <v>UK</v>
      </c>
      <c r="K1533" s="8"/>
      <c r="L1533" s="12"/>
      <c r="M1533" s="13"/>
      <c r="N1533" s="13" t="str">
        <f>IFERROR(__xludf.DUMMYFUNCTION("IF(ISBLANK(M1533),"""",M1533*GOOGLEFINANCE(""USDGBP""))"),"")</f>
        <v/>
      </c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</row>
    <row r="1534">
      <c r="A1534" s="8" t="str">
        <f>IFERROR(__xludf.DUMMYFUNCTION("""COMPUTED_VALUE"""),"114134620160300750")</f>
        <v>114134620160300750</v>
      </c>
      <c r="B1534" s="9" t="str">
        <f>IFERROR(__xludf.DUMMYFUNCTION("""COMPUTED_VALUE"""),"United States")</f>
        <v>United States</v>
      </c>
      <c r="C1534" s="9" t="str">
        <f>IFERROR(__xludf.DUMMYFUNCTION("""COMPUTED_VALUE"""),"california")</f>
        <v>california</v>
      </c>
      <c r="D1534" s="9" t="str">
        <f>IFERROR(__xludf.DUMMYFUNCTION("""COMPUTED_VALUE"""),"Scarecrow, Cabernet Sauvignon, Rutherford")</f>
        <v>Scarecrow, Cabernet Sauvignon, Rutherford</v>
      </c>
      <c r="E1534" s="9">
        <f>IFERROR(__xludf.DUMMYFUNCTION("""COMPUTED_VALUE"""),2016.0)</f>
        <v>2016</v>
      </c>
      <c r="F1534" s="9">
        <f>IFERROR(__xludf.DUMMYFUNCTION("""COMPUTED_VALUE"""),750.0)</f>
        <v>750</v>
      </c>
      <c r="G1534" s="9">
        <f>IFERROR(__xludf.DUMMYFUNCTION("""COMPUTED_VALUE"""),3.0)</f>
        <v>3</v>
      </c>
      <c r="H1534" s="10">
        <f>IFERROR(__xludf.DUMMYFUNCTION("""COMPUTED_VALUE"""),1.0)</f>
        <v>1</v>
      </c>
      <c r="I1534" s="11">
        <f>IFERROR(__xludf.DUMMYFUNCTION("""COMPUTED_VALUE"""),2341.0)</f>
        <v>2341</v>
      </c>
      <c r="J1534" s="9" t="str">
        <f>IFERROR(__xludf.DUMMYFUNCTION("""COMPUTED_VALUE"""),"UK")</f>
        <v>UK</v>
      </c>
      <c r="K1534" s="8"/>
      <c r="L1534" s="12"/>
      <c r="M1534" s="13"/>
      <c r="N1534" s="13" t="str">
        <f>IFERROR(__xludf.DUMMYFUNCTION("IF(ISBLANK(M1534),"""",M1534*GOOGLEFINANCE(""USDGBP""))"),"")</f>
        <v/>
      </c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</row>
    <row r="1535">
      <c r="A1535" s="8" t="str">
        <f>IFERROR(__xludf.DUMMYFUNCTION("""COMPUTED_VALUE"""),"114134620180300750")</f>
        <v>114134620180300750</v>
      </c>
      <c r="B1535" s="9" t="str">
        <f>IFERROR(__xludf.DUMMYFUNCTION("""COMPUTED_VALUE"""),"United States")</f>
        <v>United States</v>
      </c>
      <c r="C1535" s="9" t="str">
        <f>IFERROR(__xludf.DUMMYFUNCTION("""COMPUTED_VALUE"""),"california")</f>
        <v>california</v>
      </c>
      <c r="D1535" s="9" t="str">
        <f>IFERROR(__xludf.DUMMYFUNCTION("""COMPUTED_VALUE"""),"Scarecrow, Cabernet Sauvignon, Rutherford")</f>
        <v>Scarecrow, Cabernet Sauvignon, Rutherford</v>
      </c>
      <c r="E1535" s="9">
        <f>IFERROR(__xludf.DUMMYFUNCTION("""COMPUTED_VALUE"""),2018.0)</f>
        <v>2018</v>
      </c>
      <c r="F1535" s="9">
        <f>IFERROR(__xludf.DUMMYFUNCTION("""COMPUTED_VALUE"""),750.0)</f>
        <v>750</v>
      </c>
      <c r="G1535" s="9">
        <f>IFERROR(__xludf.DUMMYFUNCTION("""COMPUTED_VALUE"""),3.0)</f>
        <v>3</v>
      </c>
      <c r="H1535" s="10">
        <f>IFERROR(__xludf.DUMMYFUNCTION("""COMPUTED_VALUE"""),1.0)</f>
        <v>1</v>
      </c>
      <c r="I1535" s="11">
        <f>IFERROR(__xludf.DUMMYFUNCTION("""COMPUTED_VALUE"""),2058.0)</f>
        <v>2058</v>
      </c>
      <c r="J1535" s="9" t="str">
        <f>IFERROR(__xludf.DUMMYFUNCTION("""COMPUTED_VALUE"""),"UK")</f>
        <v>UK</v>
      </c>
      <c r="K1535" s="8"/>
      <c r="L1535" s="12"/>
      <c r="M1535" s="13"/>
      <c r="N1535" s="13" t="str">
        <f>IFERROR(__xludf.DUMMYFUNCTION("IF(ISBLANK(M1535),"""",M1535*GOOGLEFINANCE(""USDGBP""))"),"")</f>
        <v/>
      </c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</row>
    <row r="1536">
      <c r="A1536" s="8" t="str">
        <f>IFERROR(__xludf.DUMMYFUNCTION("""COMPUTED_VALUE"""),"114134620180101500")</f>
        <v>114134620180101500</v>
      </c>
      <c r="B1536" s="9" t="str">
        <f>IFERROR(__xludf.DUMMYFUNCTION("""COMPUTED_VALUE"""),"United States")</f>
        <v>United States</v>
      </c>
      <c r="C1536" s="9" t="str">
        <f>IFERROR(__xludf.DUMMYFUNCTION("""COMPUTED_VALUE"""),"california")</f>
        <v>california</v>
      </c>
      <c r="D1536" s="9" t="str">
        <f>IFERROR(__xludf.DUMMYFUNCTION("""COMPUTED_VALUE"""),"Scarecrow, Cabernet Sauvignon, Rutherford")</f>
        <v>Scarecrow, Cabernet Sauvignon, Rutherford</v>
      </c>
      <c r="E1536" s="9">
        <f>IFERROR(__xludf.DUMMYFUNCTION("""COMPUTED_VALUE"""),2018.0)</f>
        <v>2018</v>
      </c>
      <c r="F1536" s="9">
        <f>IFERROR(__xludf.DUMMYFUNCTION("""COMPUTED_VALUE"""),1500.0)</f>
        <v>1500</v>
      </c>
      <c r="G1536" s="9">
        <f>IFERROR(__xludf.DUMMYFUNCTION("""COMPUTED_VALUE"""),1.0)</f>
        <v>1</v>
      </c>
      <c r="H1536" s="10">
        <f>IFERROR(__xludf.DUMMYFUNCTION("""COMPUTED_VALUE"""),1.0)</f>
        <v>1</v>
      </c>
      <c r="I1536" s="11">
        <f>IFERROR(__xludf.DUMMYFUNCTION("""COMPUTED_VALUE"""),1295.0)</f>
        <v>1295</v>
      </c>
      <c r="J1536" s="9" t="str">
        <f>IFERROR(__xludf.DUMMYFUNCTION("""COMPUTED_VALUE"""),"UK")</f>
        <v>UK</v>
      </c>
      <c r="K1536" s="8"/>
      <c r="L1536" s="12"/>
      <c r="M1536" s="13"/>
      <c r="N1536" s="13" t="str">
        <f>IFERROR(__xludf.DUMMYFUNCTION("IF(ISBLANK(M1536),"""",M1536*GOOGLEFINANCE(""USDGBP""))"),"")</f>
        <v/>
      </c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</row>
    <row r="1537">
      <c r="A1537" s="8" t="str">
        <f>IFERROR(__xludf.DUMMYFUNCTION("""COMPUTED_VALUE"""),"114134620190300750")</f>
        <v>114134620190300750</v>
      </c>
      <c r="B1537" s="9" t="str">
        <f>IFERROR(__xludf.DUMMYFUNCTION("""COMPUTED_VALUE"""),"United States")</f>
        <v>United States</v>
      </c>
      <c r="C1537" s="9" t="str">
        <f>IFERROR(__xludf.DUMMYFUNCTION("""COMPUTED_VALUE"""),"california")</f>
        <v>california</v>
      </c>
      <c r="D1537" s="9" t="str">
        <f>IFERROR(__xludf.DUMMYFUNCTION("""COMPUTED_VALUE"""),"Scarecrow, Cabernet Sauvignon, Rutherford")</f>
        <v>Scarecrow, Cabernet Sauvignon, Rutherford</v>
      </c>
      <c r="E1537" s="9">
        <f>IFERROR(__xludf.DUMMYFUNCTION("""COMPUTED_VALUE"""),2019.0)</f>
        <v>2019</v>
      </c>
      <c r="F1537" s="9">
        <f>IFERROR(__xludf.DUMMYFUNCTION("""COMPUTED_VALUE"""),750.0)</f>
        <v>750</v>
      </c>
      <c r="G1537" s="9">
        <f>IFERROR(__xludf.DUMMYFUNCTION("""COMPUTED_VALUE"""),3.0)</f>
        <v>3</v>
      </c>
      <c r="H1537" s="10">
        <f>IFERROR(__xludf.DUMMYFUNCTION("""COMPUTED_VALUE"""),2.0)</f>
        <v>2</v>
      </c>
      <c r="I1537" s="11">
        <f>IFERROR(__xludf.DUMMYFUNCTION("""COMPUTED_VALUE"""),2197.0)</f>
        <v>2197</v>
      </c>
      <c r="J1537" s="9" t="str">
        <f>IFERROR(__xludf.DUMMYFUNCTION("""COMPUTED_VALUE"""),"UK")</f>
        <v>UK</v>
      </c>
      <c r="K1537" s="8"/>
      <c r="L1537" s="12"/>
      <c r="M1537" s="13"/>
      <c r="N1537" s="13" t="str">
        <f>IFERROR(__xludf.DUMMYFUNCTION("IF(ISBLANK(M1537),"""",M1537*GOOGLEFINANCE(""USDGBP""))"),"")</f>
        <v/>
      </c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</row>
    <row r="1538">
      <c r="A1538" s="8" t="str">
        <f>IFERROR(__xludf.DUMMYFUNCTION("""COMPUTED_VALUE"""),"132186320100400750")</f>
        <v>132186320100400750</v>
      </c>
      <c r="B1538" s="9" t="str">
        <f>IFERROR(__xludf.DUMMYFUNCTION("""COMPUTED_VALUE"""),"United States")</f>
        <v>United States</v>
      </c>
      <c r="C1538" s="9" t="str">
        <f>IFERROR(__xludf.DUMMYFUNCTION("""COMPUTED_VALUE"""),"california")</f>
        <v>california</v>
      </c>
      <c r="D1538" s="9" t="str">
        <f>IFERROR(__xludf.DUMMYFUNCTION("""COMPUTED_VALUE"""),"Schrader, Assortment Case, California")</f>
        <v>Schrader, Assortment Case, California</v>
      </c>
      <c r="E1538" s="9">
        <f>IFERROR(__xludf.DUMMYFUNCTION("""COMPUTED_VALUE"""),2010.0)</f>
        <v>2010</v>
      </c>
      <c r="F1538" s="9">
        <f>IFERROR(__xludf.DUMMYFUNCTION("""COMPUTED_VALUE"""),750.0)</f>
        <v>750</v>
      </c>
      <c r="G1538" s="9">
        <f>IFERROR(__xludf.DUMMYFUNCTION("""COMPUTED_VALUE"""),4.0)</f>
        <v>4</v>
      </c>
      <c r="H1538" s="10">
        <f>IFERROR(__xludf.DUMMYFUNCTION("""COMPUTED_VALUE"""),1.0)</f>
        <v>1</v>
      </c>
      <c r="I1538" s="11">
        <f>IFERROR(__xludf.DUMMYFUNCTION("""COMPUTED_VALUE"""),1517.0)</f>
        <v>1517</v>
      </c>
      <c r="J1538" s="9" t="str">
        <f>IFERROR(__xludf.DUMMYFUNCTION("""COMPUTED_VALUE"""),"UK")</f>
        <v>UK</v>
      </c>
      <c r="K1538" s="8"/>
      <c r="L1538" s="12"/>
      <c r="M1538" s="13"/>
      <c r="N1538" s="13" t="str">
        <f>IFERROR(__xludf.DUMMYFUNCTION("IF(ISBLANK(M1538),"""",M1538*GOOGLEFINANCE(""USDGBP""))"),"")</f>
        <v/>
      </c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</row>
    <row r="1539">
      <c r="A1539" s="8" t="str">
        <f>IFERROR(__xludf.DUMMYFUNCTION("""COMPUTED_VALUE"""),"132186320120600750")</f>
        <v>132186320120600750</v>
      </c>
      <c r="B1539" s="9" t="str">
        <f>IFERROR(__xludf.DUMMYFUNCTION("""COMPUTED_VALUE"""),"United States")</f>
        <v>United States</v>
      </c>
      <c r="C1539" s="9" t="str">
        <f>IFERROR(__xludf.DUMMYFUNCTION("""COMPUTED_VALUE"""),"california")</f>
        <v>california</v>
      </c>
      <c r="D1539" s="9" t="str">
        <f>IFERROR(__xludf.DUMMYFUNCTION("""COMPUTED_VALUE"""),"Schrader, Assortment Case, California")</f>
        <v>Schrader, Assortment Case, California</v>
      </c>
      <c r="E1539" s="9">
        <f>IFERROR(__xludf.DUMMYFUNCTION("""COMPUTED_VALUE"""),2012.0)</f>
        <v>2012</v>
      </c>
      <c r="F1539" s="9">
        <f>IFERROR(__xludf.DUMMYFUNCTION("""COMPUTED_VALUE"""),750.0)</f>
        <v>750</v>
      </c>
      <c r="G1539" s="9">
        <f>IFERROR(__xludf.DUMMYFUNCTION("""COMPUTED_VALUE"""),6.0)</f>
        <v>6</v>
      </c>
      <c r="H1539" s="10">
        <f>IFERROR(__xludf.DUMMYFUNCTION("""COMPUTED_VALUE"""),2.0)</f>
        <v>2</v>
      </c>
      <c r="I1539" s="11">
        <f>IFERROR(__xludf.DUMMYFUNCTION("""COMPUTED_VALUE"""),1943.0)</f>
        <v>1943</v>
      </c>
      <c r="J1539" s="9" t="str">
        <f>IFERROR(__xludf.DUMMYFUNCTION("""COMPUTED_VALUE"""),"UK")</f>
        <v>UK</v>
      </c>
      <c r="K1539" s="8"/>
      <c r="L1539" s="12"/>
      <c r="M1539" s="13"/>
      <c r="N1539" s="13" t="str">
        <f>IFERROR(__xludf.DUMMYFUNCTION("IF(ISBLANK(M1539),"""",M1539*GOOGLEFINANCE(""USDGBP""))"),"")</f>
        <v/>
      </c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</row>
    <row r="1540">
      <c r="A1540" s="8" t="str">
        <f>IFERROR(__xludf.DUMMYFUNCTION("""COMPUTED_VALUE"""),"132186320130600750")</f>
        <v>132186320130600750</v>
      </c>
      <c r="B1540" s="9" t="str">
        <f>IFERROR(__xludf.DUMMYFUNCTION("""COMPUTED_VALUE"""),"United States")</f>
        <v>United States</v>
      </c>
      <c r="C1540" s="9" t="str">
        <f>IFERROR(__xludf.DUMMYFUNCTION("""COMPUTED_VALUE"""),"california")</f>
        <v>california</v>
      </c>
      <c r="D1540" s="9" t="str">
        <f>IFERROR(__xludf.DUMMYFUNCTION("""COMPUTED_VALUE"""),"Schrader, Assortment Case, California")</f>
        <v>Schrader, Assortment Case, California</v>
      </c>
      <c r="E1540" s="9">
        <f>IFERROR(__xludf.DUMMYFUNCTION("""COMPUTED_VALUE"""),2013.0)</f>
        <v>2013</v>
      </c>
      <c r="F1540" s="9">
        <f>IFERROR(__xludf.DUMMYFUNCTION("""COMPUTED_VALUE"""),750.0)</f>
        <v>750</v>
      </c>
      <c r="G1540" s="9">
        <f>IFERROR(__xludf.DUMMYFUNCTION("""COMPUTED_VALUE"""),6.0)</f>
        <v>6</v>
      </c>
      <c r="H1540" s="10">
        <f>IFERROR(__xludf.DUMMYFUNCTION("""COMPUTED_VALUE"""),2.0)</f>
        <v>2</v>
      </c>
      <c r="I1540" s="11">
        <f>IFERROR(__xludf.DUMMYFUNCTION("""COMPUTED_VALUE"""),3641.0)</f>
        <v>3641</v>
      </c>
      <c r="J1540" s="9" t="str">
        <f>IFERROR(__xludf.DUMMYFUNCTION("""COMPUTED_VALUE"""),"UK")</f>
        <v>UK</v>
      </c>
      <c r="K1540" s="8"/>
      <c r="L1540" s="12"/>
      <c r="M1540" s="13"/>
      <c r="N1540" s="13" t="str">
        <f>IFERROR(__xludf.DUMMYFUNCTION("IF(ISBLANK(M1540),"""",M1540*GOOGLEFINANCE(""USDGBP""))"),"")</f>
        <v/>
      </c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</row>
    <row r="1541">
      <c r="A1541" s="8" t="str">
        <f>IFERROR(__xludf.DUMMYFUNCTION("""COMPUTED_VALUE"""),"132186320140600750")</f>
        <v>132186320140600750</v>
      </c>
      <c r="B1541" s="9" t="str">
        <f>IFERROR(__xludf.DUMMYFUNCTION("""COMPUTED_VALUE"""),"United States")</f>
        <v>United States</v>
      </c>
      <c r="C1541" s="9" t="str">
        <f>IFERROR(__xludf.DUMMYFUNCTION("""COMPUTED_VALUE"""),"california")</f>
        <v>california</v>
      </c>
      <c r="D1541" s="9" t="str">
        <f>IFERROR(__xludf.DUMMYFUNCTION("""COMPUTED_VALUE"""),"Schrader, Assortment Case, California")</f>
        <v>Schrader, Assortment Case, California</v>
      </c>
      <c r="E1541" s="9">
        <f>IFERROR(__xludf.DUMMYFUNCTION("""COMPUTED_VALUE"""),2014.0)</f>
        <v>2014</v>
      </c>
      <c r="F1541" s="9">
        <f>IFERROR(__xludf.DUMMYFUNCTION("""COMPUTED_VALUE"""),750.0)</f>
        <v>750</v>
      </c>
      <c r="G1541" s="9">
        <f>IFERROR(__xludf.DUMMYFUNCTION("""COMPUTED_VALUE"""),6.0)</f>
        <v>6</v>
      </c>
      <c r="H1541" s="10">
        <f>IFERROR(__xludf.DUMMYFUNCTION("""COMPUTED_VALUE"""),3.0)</f>
        <v>3</v>
      </c>
      <c r="I1541" s="11">
        <f>IFERROR(__xludf.DUMMYFUNCTION("""COMPUTED_VALUE"""),1743.0)</f>
        <v>1743</v>
      </c>
      <c r="J1541" s="9" t="str">
        <f>IFERROR(__xludf.DUMMYFUNCTION("""COMPUTED_VALUE"""),"UK")</f>
        <v>UK</v>
      </c>
      <c r="K1541" s="8"/>
      <c r="L1541" s="12"/>
      <c r="M1541" s="13"/>
      <c r="N1541" s="13" t="str">
        <f>IFERROR(__xludf.DUMMYFUNCTION("IF(ISBLANK(M1541),"""",M1541*GOOGLEFINANCE(""USDGBP""))"),"")</f>
        <v/>
      </c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</row>
    <row r="1542">
      <c r="A1542" s="8" t="str">
        <f>IFERROR(__xludf.DUMMYFUNCTION("""COMPUTED_VALUE"""),"132186320150600750")</f>
        <v>132186320150600750</v>
      </c>
      <c r="B1542" s="9" t="str">
        <f>IFERROR(__xludf.DUMMYFUNCTION("""COMPUTED_VALUE"""),"United States")</f>
        <v>United States</v>
      </c>
      <c r="C1542" s="9" t="str">
        <f>IFERROR(__xludf.DUMMYFUNCTION("""COMPUTED_VALUE"""),"california")</f>
        <v>california</v>
      </c>
      <c r="D1542" s="9" t="str">
        <f>IFERROR(__xludf.DUMMYFUNCTION("""COMPUTED_VALUE"""),"Schrader, Assortment Case, California")</f>
        <v>Schrader, Assortment Case, California</v>
      </c>
      <c r="E1542" s="9">
        <f>IFERROR(__xludf.DUMMYFUNCTION("""COMPUTED_VALUE"""),2015.0)</f>
        <v>2015</v>
      </c>
      <c r="F1542" s="9">
        <f>IFERROR(__xludf.DUMMYFUNCTION("""COMPUTED_VALUE"""),750.0)</f>
        <v>750</v>
      </c>
      <c r="G1542" s="9">
        <f>IFERROR(__xludf.DUMMYFUNCTION("""COMPUTED_VALUE"""),6.0)</f>
        <v>6</v>
      </c>
      <c r="H1542" s="10">
        <f>IFERROR(__xludf.DUMMYFUNCTION("""COMPUTED_VALUE"""),1.0)</f>
        <v>1</v>
      </c>
      <c r="I1542" s="11">
        <f>IFERROR(__xludf.DUMMYFUNCTION("""COMPUTED_VALUE"""),2151.0)</f>
        <v>2151</v>
      </c>
      <c r="J1542" s="9" t="str">
        <f>IFERROR(__xludf.DUMMYFUNCTION("""COMPUTED_VALUE"""),"UK")</f>
        <v>UK</v>
      </c>
      <c r="K1542" s="8"/>
      <c r="L1542" s="12"/>
      <c r="M1542" s="13"/>
      <c r="N1542" s="13" t="str">
        <f>IFERROR(__xludf.DUMMYFUNCTION("IF(ISBLANK(M1542),"""",M1542*GOOGLEFINANCE(""USDGBP""))"),"")</f>
        <v/>
      </c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</row>
    <row r="1543">
      <c r="A1543" s="8" t="str">
        <f>IFERROR(__xludf.DUMMYFUNCTION("""COMPUTED_VALUE"""),"132186320160600750")</f>
        <v>132186320160600750</v>
      </c>
      <c r="B1543" s="9" t="str">
        <f>IFERROR(__xludf.DUMMYFUNCTION("""COMPUTED_VALUE"""),"United States")</f>
        <v>United States</v>
      </c>
      <c r="C1543" s="9" t="str">
        <f>IFERROR(__xludf.DUMMYFUNCTION("""COMPUTED_VALUE"""),"california")</f>
        <v>california</v>
      </c>
      <c r="D1543" s="9" t="str">
        <f>IFERROR(__xludf.DUMMYFUNCTION("""COMPUTED_VALUE"""),"Schrader, Assortment Case, California")</f>
        <v>Schrader, Assortment Case, California</v>
      </c>
      <c r="E1543" s="9">
        <f>IFERROR(__xludf.DUMMYFUNCTION("""COMPUTED_VALUE"""),2016.0)</f>
        <v>2016</v>
      </c>
      <c r="F1543" s="9">
        <f>IFERROR(__xludf.DUMMYFUNCTION("""COMPUTED_VALUE"""),750.0)</f>
        <v>750</v>
      </c>
      <c r="G1543" s="9">
        <f>IFERROR(__xludf.DUMMYFUNCTION("""COMPUTED_VALUE"""),6.0)</f>
        <v>6</v>
      </c>
      <c r="H1543" s="10">
        <f>IFERROR(__xludf.DUMMYFUNCTION("""COMPUTED_VALUE"""),1.0)</f>
        <v>1</v>
      </c>
      <c r="I1543" s="11">
        <f>IFERROR(__xludf.DUMMYFUNCTION("""COMPUTED_VALUE"""),2559.0)</f>
        <v>2559</v>
      </c>
      <c r="J1543" s="9" t="str">
        <f>IFERROR(__xludf.DUMMYFUNCTION("""COMPUTED_VALUE"""),"UK")</f>
        <v>UK</v>
      </c>
      <c r="K1543" s="8"/>
      <c r="L1543" s="12"/>
      <c r="M1543" s="13"/>
      <c r="N1543" s="13" t="str">
        <f>IFERROR(__xludf.DUMMYFUNCTION("IF(ISBLANK(M1543),"""",M1543*GOOGLEFINANCE(""USDGBP""))"),"")</f>
        <v/>
      </c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</row>
    <row r="1544">
      <c r="A1544" s="8" t="str">
        <f>IFERROR(__xludf.DUMMYFUNCTION("""COMPUTED_VALUE"""),"132186320180800750")</f>
        <v>132186320180800750</v>
      </c>
      <c r="B1544" s="9" t="str">
        <f>IFERROR(__xludf.DUMMYFUNCTION("""COMPUTED_VALUE"""),"United States")</f>
        <v>United States</v>
      </c>
      <c r="C1544" s="9" t="str">
        <f>IFERROR(__xludf.DUMMYFUNCTION("""COMPUTED_VALUE"""),"california")</f>
        <v>california</v>
      </c>
      <c r="D1544" s="9" t="str">
        <f>IFERROR(__xludf.DUMMYFUNCTION("""COMPUTED_VALUE"""),"Schrader, Assortment Case, California")</f>
        <v>Schrader, Assortment Case, California</v>
      </c>
      <c r="E1544" s="9">
        <f>IFERROR(__xludf.DUMMYFUNCTION("""COMPUTED_VALUE"""),2018.0)</f>
        <v>2018</v>
      </c>
      <c r="F1544" s="9">
        <f>IFERROR(__xludf.DUMMYFUNCTION("""COMPUTED_VALUE"""),750.0)</f>
        <v>750</v>
      </c>
      <c r="G1544" s="9">
        <f>IFERROR(__xludf.DUMMYFUNCTION("""COMPUTED_VALUE"""),8.0)</f>
        <v>8</v>
      </c>
      <c r="H1544" s="10">
        <f>IFERROR(__xludf.DUMMYFUNCTION("""COMPUTED_VALUE"""),1.0)</f>
        <v>1</v>
      </c>
      <c r="I1544" s="11">
        <f>IFERROR(__xludf.DUMMYFUNCTION("""COMPUTED_VALUE"""),3379.0)</f>
        <v>3379</v>
      </c>
      <c r="J1544" s="9" t="str">
        <f>IFERROR(__xludf.DUMMYFUNCTION("""COMPUTED_VALUE"""),"UK")</f>
        <v>UK</v>
      </c>
      <c r="K1544" s="8"/>
      <c r="L1544" s="12"/>
      <c r="M1544" s="13"/>
      <c r="N1544" s="13" t="str">
        <f>IFERROR(__xludf.DUMMYFUNCTION("IF(ISBLANK(M1544),"""",M1544*GOOGLEFINANCE(""USDGBP""))"),"")</f>
        <v/>
      </c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</row>
    <row r="1545">
      <c r="A1545" s="8" t="str">
        <f>IFERROR(__xludf.DUMMYFUNCTION("""COMPUTED_VALUE"""),"132186320180700750")</f>
        <v>132186320180700750</v>
      </c>
      <c r="B1545" s="9" t="str">
        <f>IFERROR(__xludf.DUMMYFUNCTION("""COMPUTED_VALUE"""),"United States")</f>
        <v>United States</v>
      </c>
      <c r="C1545" s="9" t="str">
        <f>IFERROR(__xludf.DUMMYFUNCTION("""COMPUTED_VALUE"""),"california")</f>
        <v>california</v>
      </c>
      <c r="D1545" s="9" t="str">
        <f>IFERROR(__xludf.DUMMYFUNCTION("""COMPUTED_VALUE"""),"Schrader, Assortment Case, California")</f>
        <v>Schrader, Assortment Case, California</v>
      </c>
      <c r="E1545" s="9">
        <f>IFERROR(__xludf.DUMMYFUNCTION("""COMPUTED_VALUE"""),2018.0)</f>
        <v>2018</v>
      </c>
      <c r="F1545" s="9">
        <f>IFERROR(__xludf.DUMMYFUNCTION("""COMPUTED_VALUE"""),750.0)</f>
        <v>750</v>
      </c>
      <c r="G1545" s="9">
        <f>IFERROR(__xludf.DUMMYFUNCTION("""COMPUTED_VALUE"""),7.0)</f>
        <v>7</v>
      </c>
      <c r="H1545" s="10">
        <f>IFERROR(__xludf.DUMMYFUNCTION("""COMPUTED_VALUE"""),1.0)</f>
        <v>1</v>
      </c>
      <c r="I1545" s="11">
        <f>IFERROR(__xludf.DUMMYFUNCTION("""COMPUTED_VALUE"""),2956.0)</f>
        <v>2956</v>
      </c>
      <c r="J1545" s="9" t="str">
        <f>IFERROR(__xludf.DUMMYFUNCTION("""COMPUTED_VALUE"""),"UK")</f>
        <v>UK</v>
      </c>
      <c r="K1545" s="8"/>
      <c r="L1545" s="12"/>
      <c r="M1545" s="13"/>
      <c r="N1545" s="13" t="str">
        <f>IFERROR(__xludf.DUMMYFUNCTION("IF(ISBLANK(M1545),"""",M1545*GOOGLEFINANCE(""USDGBP""))"),"")</f>
        <v/>
      </c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</row>
    <row r="1546">
      <c r="A1546" s="8" t="str">
        <f>IFERROR(__xludf.DUMMYFUNCTION("""COMPUTED_VALUE"""),"126752720180600750")</f>
        <v>126752720180600750</v>
      </c>
      <c r="B1546" s="9" t="str">
        <f>IFERROR(__xludf.DUMMYFUNCTION("""COMPUTED_VALUE"""),"United States")</f>
        <v>United States</v>
      </c>
      <c r="C1546" s="9" t="str">
        <f>IFERROR(__xludf.DUMMYFUNCTION("""COMPUTED_VALUE"""),"california")</f>
        <v>california</v>
      </c>
      <c r="D1546" s="9" t="str">
        <f>IFERROR(__xludf.DUMMYFUNCTION("""COMPUTED_VALUE"""),"Schrader, CCS Beckstoffer To Kalon Vineyard Cabernet Sauvignon, Napa Valley")</f>
        <v>Schrader, CCS Beckstoffer To Kalon Vineyard Cabernet Sauvignon, Napa Valley</v>
      </c>
      <c r="E1546" s="9">
        <f>IFERROR(__xludf.DUMMYFUNCTION("""COMPUTED_VALUE"""),2018.0)</f>
        <v>2018</v>
      </c>
      <c r="F1546" s="9">
        <f>IFERROR(__xludf.DUMMYFUNCTION("""COMPUTED_VALUE"""),750.0)</f>
        <v>750</v>
      </c>
      <c r="G1546" s="9">
        <f>IFERROR(__xludf.DUMMYFUNCTION("""COMPUTED_VALUE"""),6.0)</f>
        <v>6</v>
      </c>
      <c r="H1546" s="10">
        <f>IFERROR(__xludf.DUMMYFUNCTION("""COMPUTED_VALUE"""),1.0)</f>
        <v>1</v>
      </c>
      <c r="I1546" s="11">
        <f>IFERROR(__xludf.DUMMYFUNCTION("""COMPUTED_VALUE"""),1601.0)</f>
        <v>1601</v>
      </c>
      <c r="J1546" s="9" t="str">
        <f>IFERROR(__xludf.DUMMYFUNCTION("""COMPUTED_VALUE"""),"UK")</f>
        <v>UK</v>
      </c>
      <c r="K1546" s="8"/>
      <c r="L1546" s="12"/>
      <c r="M1546" s="13"/>
      <c r="N1546" s="13" t="str">
        <f>IFERROR(__xludf.DUMMYFUNCTION("IF(ISBLANK(M1546),"""",M1546*GOOGLEFINANCE(""USDGBP""))"),"")</f>
        <v/>
      </c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</row>
    <row r="1547">
      <c r="A1547" s="8" t="str">
        <f>IFERROR(__xludf.DUMMYFUNCTION("""COMPUTED_VALUE"""),"133349720180101500")</f>
        <v>133349720180101500</v>
      </c>
      <c r="B1547" s="9" t="str">
        <f>IFERROR(__xludf.DUMMYFUNCTION("""COMPUTED_VALUE"""),"United States")</f>
        <v>United States</v>
      </c>
      <c r="C1547" s="9" t="str">
        <f>IFERROR(__xludf.DUMMYFUNCTION("""COMPUTED_VALUE"""),"california")</f>
        <v>california</v>
      </c>
      <c r="D1547" s="9" t="str">
        <f>IFERROR(__xludf.DUMMYFUNCTION("""COMPUTED_VALUE"""),"Schrader, Colesworthy Beckstoffer Las Piedras Vineyard Cabernet Sauvignon, Napa Valley")</f>
        <v>Schrader, Colesworthy Beckstoffer Las Piedras Vineyard Cabernet Sauvignon, Napa Valley</v>
      </c>
      <c r="E1547" s="9">
        <f>IFERROR(__xludf.DUMMYFUNCTION("""COMPUTED_VALUE"""),2018.0)</f>
        <v>2018</v>
      </c>
      <c r="F1547" s="9">
        <f>IFERROR(__xludf.DUMMYFUNCTION("""COMPUTED_VALUE"""),1500.0)</f>
        <v>1500</v>
      </c>
      <c r="G1547" s="9">
        <f>IFERROR(__xludf.DUMMYFUNCTION("""COMPUTED_VALUE"""),1.0)</f>
        <v>1</v>
      </c>
      <c r="H1547" s="10">
        <f>IFERROR(__xludf.DUMMYFUNCTION("""COMPUTED_VALUE"""),5.0)</f>
        <v>5</v>
      </c>
      <c r="I1547" s="11">
        <f>IFERROR(__xludf.DUMMYFUNCTION("""COMPUTED_VALUE"""),821.0)</f>
        <v>821</v>
      </c>
      <c r="J1547" s="9" t="str">
        <f>IFERROR(__xludf.DUMMYFUNCTION("""COMPUTED_VALUE"""),"UK")</f>
        <v>UK</v>
      </c>
      <c r="K1547" s="8"/>
      <c r="L1547" s="12"/>
      <c r="M1547" s="13"/>
      <c r="N1547" s="13" t="str">
        <f>IFERROR(__xludf.DUMMYFUNCTION("IF(ISBLANK(M1547),"""",M1547*GOOGLEFINANCE(""USDGBP""))"),"")</f>
        <v/>
      </c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</row>
    <row r="1548">
      <c r="A1548" s="8" t="str">
        <f>IFERROR(__xludf.DUMMYFUNCTION("""COMPUTED_VALUE"""),"131656020150600750")</f>
        <v>131656020150600750</v>
      </c>
      <c r="B1548" s="9" t="str">
        <f>IFERROR(__xludf.DUMMYFUNCTION("""COMPUTED_VALUE"""),"United States")</f>
        <v>United States</v>
      </c>
      <c r="C1548" s="9" t="str">
        <f>IFERROR(__xludf.DUMMYFUNCTION("""COMPUTED_VALUE"""),"california")</f>
        <v>california</v>
      </c>
      <c r="D1548" s="9" t="str">
        <f>IFERROR(__xludf.DUMMYFUNCTION("""COMPUTED_VALUE"""),"Schrader, GIII Beckstoffer Georges III Vineyard Cabernet Sauvignon, Rutherford")</f>
        <v>Schrader, GIII Beckstoffer Georges III Vineyard Cabernet Sauvignon, Rutherford</v>
      </c>
      <c r="E1548" s="9">
        <f>IFERROR(__xludf.DUMMYFUNCTION("""COMPUTED_VALUE"""),2015.0)</f>
        <v>2015</v>
      </c>
      <c r="F1548" s="9">
        <f>IFERROR(__xludf.DUMMYFUNCTION("""COMPUTED_VALUE"""),750.0)</f>
        <v>750</v>
      </c>
      <c r="G1548" s="9">
        <f>IFERROR(__xludf.DUMMYFUNCTION("""COMPUTED_VALUE"""),6.0)</f>
        <v>6</v>
      </c>
      <c r="H1548" s="10">
        <f>IFERROR(__xludf.DUMMYFUNCTION("""COMPUTED_VALUE"""),1.0)</f>
        <v>1</v>
      </c>
      <c r="I1548" s="11">
        <f>IFERROR(__xludf.DUMMYFUNCTION("""COMPUTED_VALUE"""),1717.0)</f>
        <v>1717</v>
      </c>
      <c r="J1548" s="9" t="str">
        <f>IFERROR(__xludf.DUMMYFUNCTION("""COMPUTED_VALUE"""),"UK")</f>
        <v>UK</v>
      </c>
      <c r="K1548" s="8"/>
      <c r="L1548" s="12"/>
      <c r="M1548" s="13"/>
      <c r="N1548" s="13" t="str">
        <f>IFERROR(__xludf.DUMMYFUNCTION("IF(ISBLANK(M1548),"""",M1548*GOOGLEFINANCE(""USDGBP""))"),"")</f>
        <v/>
      </c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</row>
    <row r="1549">
      <c r="A1549" s="8" t="str">
        <f>IFERROR(__xludf.DUMMYFUNCTION("""COMPUTED_VALUE"""),"133939820180600750")</f>
        <v>133939820180600750</v>
      </c>
      <c r="B1549" s="9" t="str">
        <f>IFERROR(__xludf.DUMMYFUNCTION("""COMPUTED_VALUE"""),"United States")</f>
        <v>United States</v>
      </c>
      <c r="C1549" s="9" t="str">
        <f>IFERROR(__xludf.DUMMYFUNCTION("""COMPUTED_VALUE"""),"california")</f>
        <v>california</v>
      </c>
      <c r="D1549" s="9" t="str">
        <f>IFERROR(__xludf.DUMMYFUNCTION("""COMPUTED_VALUE"""),"Schrader, LPV Beckstoffer Las Piedras Vineyard Cabernet Sauvignon, Napa Valley")</f>
        <v>Schrader, LPV Beckstoffer Las Piedras Vineyard Cabernet Sauvignon, Napa Valley</v>
      </c>
      <c r="E1549" s="9">
        <f>IFERROR(__xludf.DUMMYFUNCTION("""COMPUTED_VALUE"""),2018.0)</f>
        <v>2018</v>
      </c>
      <c r="F1549" s="9">
        <f>IFERROR(__xludf.DUMMYFUNCTION("""COMPUTED_VALUE"""),750.0)</f>
        <v>750</v>
      </c>
      <c r="G1549" s="9">
        <f>IFERROR(__xludf.DUMMYFUNCTION("""COMPUTED_VALUE"""),6.0)</f>
        <v>6</v>
      </c>
      <c r="H1549" s="10">
        <f>IFERROR(__xludf.DUMMYFUNCTION("""COMPUTED_VALUE"""),1.0)</f>
        <v>1</v>
      </c>
      <c r="I1549" s="11">
        <f>IFERROR(__xludf.DUMMYFUNCTION("""COMPUTED_VALUE"""),1388.0)</f>
        <v>1388</v>
      </c>
      <c r="J1549" s="9" t="str">
        <f>IFERROR(__xludf.DUMMYFUNCTION("""COMPUTED_VALUE"""),"UK")</f>
        <v>UK</v>
      </c>
      <c r="K1549" s="8"/>
      <c r="L1549" s="12"/>
      <c r="M1549" s="13"/>
      <c r="N1549" s="13" t="str">
        <f>IFERROR(__xludf.DUMMYFUNCTION("IF(ISBLANK(M1549),"""",M1549*GOOGLEFINANCE(""USDGBP""))"),"")</f>
        <v/>
      </c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</row>
    <row r="1550">
      <c r="A1550" s="8" t="str">
        <f>IFERROR(__xludf.DUMMYFUNCTION("""COMPUTED_VALUE"""),"133939820190600750")</f>
        <v>133939820190600750</v>
      </c>
      <c r="B1550" s="9" t="str">
        <f>IFERROR(__xludf.DUMMYFUNCTION("""COMPUTED_VALUE"""),"United States")</f>
        <v>United States</v>
      </c>
      <c r="C1550" s="9" t="str">
        <f>IFERROR(__xludf.DUMMYFUNCTION("""COMPUTED_VALUE"""),"california")</f>
        <v>california</v>
      </c>
      <c r="D1550" s="9" t="str">
        <f>IFERROR(__xludf.DUMMYFUNCTION("""COMPUTED_VALUE"""),"Schrader, LPV Beckstoffer Las Piedras Vineyard Cabernet Sauvignon, Napa Valley")</f>
        <v>Schrader, LPV Beckstoffer Las Piedras Vineyard Cabernet Sauvignon, Napa Valley</v>
      </c>
      <c r="E1550" s="9">
        <f>IFERROR(__xludf.DUMMYFUNCTION("""COMPUTED_VALUE"""),2019.0)</f>
        <v>2019</v>
      </c>
      <c r="F1550" s="9">
        <f>IFERROR(__xludf.DUMMYFUNCTION("""COMPUTED_VALUE"""),750.0)</f>
        <v>750</v>
      </c>
      <c r="G1550" s="9">
        <f>IFERROR(__xludf.DUMMYFUNCTION("""COMPUTED_VALUE"""),6.0)</f>
        <v>6</v>
      </c>
      <c r="H1550" s="10">
        <f>IFERROR(__xludf.DUMMYFUNCTION("""COMPUTED_VALUE"""),2.0)</f>
        <v>2</v>
      </c>
      <c r="I1550" s="11">
        <f>IFERROR(__xludf.DUMMYFUNCTION("""COMPUTED_VALUE"""),1494.0)</f>
        <v>1494</v>
      </c>
      <c r="J1550" s="9" t="str">
        <f>IFERROR(__xludf.DUMMYFUNCTION("""COMPUTED_VALUE"""),"UK")</f>
        <v>UK</v>
      </c>
      <c r="K1550" s="8"/>
      <c r="L1550" s="12"/>
      <c r="M1550" s="13"/>
      <c r="N1550" s="13" t="str">
        <f>IFERROR(__xludf.DUMMYFUNCTION("IF(ISBLANK(M1550),"""",M1550*GOOGLEFINANCE(""USDGBP""))"),"")</f>
        <v/>
      </c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</row>
    <row r="1551">
      <c r="A1551" s="8" t="str">
        <f>IFERROR(__xludf.DUMMYFUNCTION("""COMPUTED_VALUE"""),"131654420180600750")</f>
        <v>131654420180600750</v>
      </c>
      <c r="B1551" s="9" t="str">
        <f>IFERROR(__xludf.DUMMYFUNCTION("""COMPUTED_VALUE"""),"United States")</f>
        <v>United States</v>
      </c>
      <c r="C1551" s="9" t="str">
        <f>IFERROR(__xludf.DUMMYFUNCTION("""COMPUTED_VALUE"""),"california")</f>
        <v>california</v>
      </c>
      <c r="D1551" s="9" t="str">
        <f>IFERROR(__xludf.DUMMYFUNCTION("""COMPUTED_VALUE"""),"Schrader, RBS Beckstoffer To Kalon Vineyard Cabernet Sauvignon, Oakville")</f>
        <v>Schrader, RBS Beckstoffer To Kalon Vineyard Cabernet Sauvignon, Oakville</v>
      </c>
      <c r="E1551" s="9">
        <f>IFERROR(__xludf.DUMMYFUNCTION("""COMPUTED_VALUE"""),2018.0)</f>
        <v>2018</v>
      </c>
      <c r="F1551" s="9">
        <f>IFERROR(__xludf.DUMMYFUNCTION("""COMPUTED_VALUE"""),750.0)</f>
        <v>750</v>
      </c>
      <c r="G1551" s="9">
        <f>IFERROR(__xludf.DUMMYFUNCTION("""COMPUTED_VALUE"""),6.0)</f>
        <v>6</v>
      </c>
      <c r="H1551" s="10">
        <f>IFERROR(__xludf.DUMMYFUNCTION("""COMPUTED_VALUE"""),5.0)</f>
        <v>5</v>
      </c>
      <c r="I1551" s="11">
        <f>IFERROR(__xludf.DUMMYFUNCTION("""COMPUTED_VALUE"""),1671.0)</f>
        <v>1671</v>
      </c>
      <c r="J1551" s="9" t="str">
        <f>IFERROR(__xludf.DUMMYFUNCTION("""COMPUTED_VALUE"""),"UK")</f>
        <v>UK</v>
      </c>
      <c r="K1551" s="8"/>
      <c r="L1551" s="12"/>
      <c r="M1551" s="13"/>
      <c r="N1551" s="13" t="str">
        <f>IFERROR(__xludf.DUMMYFUNCTION("IF(ISBLANK(M1551),"""",M1551*GOOGLEFINANCE(""USDGBP""))"),"")</f>
        <v/>
      </c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</row>
    <row r="1552">
      <c r="A1552" s="8" t="str">
        <f>IFERROR(__xludf.DUMMYFUNCTION("""COMPUTED_VALUE"""),"131654420190600750")</f>
        <v>131654420190600750</v>
      </c>
      <c r="B1552" s="9" t="str">
        <f>IFERROR(__xludf.DUMMYFUNCTION("""COMPUTED_VALUE"""),"United States")</f>
        <v>United States</v>
      </c>
      <c r="C1552" s="9" t="str">
        <f>IFERROR(__xludf.DUMMYFUNCTION("""COMPUTED_VALUE"""),"california")</f>
        <v>california</v>
      </c>
      <c r="D1552" s="9" t="str">
        <f>IFERROR(__xludf.DUMMYFUNCTION("""COMPUTED_VALUE"""),"Schrader, RBS Beckstoffer To Kalon Vineyard Cabernet Sauvignon, Oakville")</f>
        <v>Schrader, RBS Beckstoffer To Kalon Vineyard Cabernet Sauvignon, Oakville</v>
      </c>
      <c r="E1552" s="9">
        <f>IFERROR(__xludf.DUMMYFUNCTION("""COMPUTED_VALUE"""),2019.0)</f>
        <v>2019</v>
      </c>
      <c r="F1552" s="9">
        <f>IFERROR(__xludf.DUMMYFUNCTION("""COMPUTED_VALUE"""),750.0)</f>
        <v>750</v>
      </c>
      <c r="G1552" s="9">
        <f>IFERROR(__xludf.DUMMYFUNCTION("""COMPUTED_VALUE"""),6.0)</f>
        <v>6</v>
      </c>
      <c r="H1552" s="10">
        <f>IFERROR(__xludf.DUMMYFUNCTION("""COMPUTED_VALUE"""),1.0)</f>
        <v>1</v>
      </c>
      <c r="I1552" s="11">
        <f>IFERROR(__xludf.DUMMYFUNCTION("""COMPUTED_VALUE"""),1517.0)</f>
        <v>1517</v>
      </c>
      <c r="J1552" s="9" t="str">
        <f>IFERROR(__xludf.DUMMYFUNCTION("""COMPUTED_VALUE"""),"UK")</f>
        <v>UK</v>
      </c>
      <c r="K1552" s="8"/>
      <c r="L1552" s="12"/>
      <c r="M1552" s="13"/>
      <c r="N1552" s="13" t="str">
        <f>IFERROR(__xludf.DUMMYFUNCTION("IF(ISBLANK(M1552),"""",M1552*GOOGLEFINANCE(""USDGBP""))"),"")</f>
        <v/>
      </c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</row>
    <row r="1553">
      <c r="A1553" s="8" t="str">
        <f>IFERROR(__xludf.DUMMYFUNCTION("""COMPUTED_VALUE"""),"169621120150300750")</f>
        <v>169621120150300750</v>
      </c>
      <c r="B1553" s="9" t="str">
        <f>IFERROR(__xludf.DUMMYFUNCTION("""COMPUTED_VALUE"""),"United States")</f>
        <v>United States</v>
      </c>
      <c r="C1553" s="9" t="str">
        <f>IFERROR(__xludf.DUMMYFUNCTION("""COMPUTED_VALUE"""),"california")</f>
        <v>california</v>
      </c>
      <c r="D1553" s="9" t="str">
        <f>IFERROR(__xludf.DUMMYFUNCTION("""COMPUTED_VALUE"""),"Screaming Eagle, Cabernet Sauvignon, Oakville")</f>
        <v>Screaming Eagle, Cabernet Sauvignon, Oakville</v>
      </c>
      <c r="E1553" s="9">
        <f>IFERROR(__xludf.DUMMYFUNCTION("""COMPUTED_VALUE"""),2015.0)</f>
        <v>2015</v>
      </c>
      <c r="F1553" s="9">
        <f>IFERROR(__xludf.DUMMYFUNCTION("""COMPUTED_VALUE"""),750.0)</f>
        <v>750</v>
      </c>
      <c r="G1553" s="9">
        <f>IFERROR(__xludf.DUMMYFUNCTION("""COMPUTED_VALUE"""),3.0)</f>
        <v>3</v>
      </c>
      <c r="H1553" s="10">
        <f>IFERROR(__xludf.DUMMYFUNCTION("""COMPUTED_VALUE"""),2.0)</f>
        <v>2</v>
      </c>
      <c r="I1553" s="11">
        <f>IFERROR(__xludf.DUMMYFUNCTION("""COMPUTED_VALUE"""),10186.0)</f>
        <v>10186</v>
      </c>
      <c r="J1553" s="9" t="str">
        <f>IFERROR(__xludf.DUMMYFUNCTION("""COMPUTED_VALUE"""),"UK")</f>
        <v>UK</v>
      </c>
      <c r="K1553" s="8"/>
      <c r="L1553" s="12"/>
      <c r="M1553" s="13"/>
      <c r="N1553" s="13" t="str">
        <f>IFERROR(__xludf.DUMMYFUNCTION("IF(ISBLANK(M1553),"""",M1553*GOOGLEFINANCE(""USDGBP""))"),"")</f>
        <v/>
      </c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</row>
    <row r="1554">
      <c r="A1554" s="8" t="str">
        <f>IFERROR(__xludf.DUMMYFUNCTION("""COMPUTED_VALUE"""),"169621120180300750")</f>
        <v>169621120180300750</v>
      </c>
      <c r="B1554" s="9" t="str">
        <f>IFERROR(__xludf.DUMMYFUNCTION("""COMPUTED_VALUE"""),"United States")</f>
        <v>United States</v>
      </c>
      <c r="C1554" s="9" t="str">
        <f>IFERROR(__xludf.DUMMYFUNCTION("""COMPUTED_VALUE"""),"california")</f>
        <v>california</v>
      </c>
      <c r="D1554" s="9" t="str">
        <f>IFERROR(__xludf.DUMMYFUNCTION("""COMPUTED_VALUE"""),"Screaming Eagle, Cabernet Sauvignon, Oakville")</f>
        <v>Screaming Eagle, Cabernet Sauvignon, Oakville</v>
      </c>
      <c r="E1554" s="9">
        <f>IFERROR(__xludf.DUMMYFUNCTION("""COMPUTED_VALUE"""),2018.0)</f>
        <v>2018</v>
      </c>
      <c r="F1554" s="9">
        <f>IFERROR(__xludf.DUMMYFUNCTION("""COMPUTED_VALUE"""),750.0)</f>
        <v>750</v>
      </c>
      <c r="G1554" s="9">
        <f>IFERROR(__xludf.DUMMYFUNCTION("""COMPUTED_VALUE"""),3.0)</f>
        <v>3</v>
      </c>
      <c r="H1554" s="10">
        <f>IFERROR(__xludf.DUMMYFUNCTION("""COMPUTED_VALUE"""),1.0)</f>
        <v>1</v>
      </c>
      <c r="I1554" s="11">
        <f>IFERROR(__xludf.DUMMYFUNCTION("""COMPUTED_VALUE"""),8833.0)</f>
        <v>8833</v>
      </c>
      <c r="J1554" s="9" t="str">
        <f>IFERROR(__xludf.DUMMYFUNCTION("""COMPUTED_VALUE"""),"UK")</f>
        <v>UK</v>
      </c>
      <c r="K1554" s="8"/>
      <c r="L1554" s="12"/>
      <c r="M1554" s="13"/>
      <c r="N1554" s="13" t="str">
        <f>IFERROR(__xludf.DUMMYFUNCTION("IF(ISBLANK(M1554),"""",M1554*GOOGLEFINANCE(""USDGBP""))"),"")</f>
        <v/>
      </c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</row>
    <row r="1555">
      <c r="A1555" s="8" t="str">
        <f>IFERROR(__xludf.DUMMYFUNCTION("""COMPUTED_VALUE"""),"169621120190300750")</f>
        <v>169621120190300750</v>
      </c>
      <c r="B1555" s="9" t="str">
        <f>IFERROR(__xludf.DUMMYFUNCTION("""COMPUTED_VALUE"""),"United States")</f>
        <v>United States</v>
      </c>
      <c r="C1555" s="9" t="str">
        <f>IFERROR(__xludf.DUMMYFUNCTION("""COMPUTED_VALUE"""),"california")</f>
        <v>california</v>
      </c>
      <c r="D1555" s="9" t="str">
        <f>IFERROR(__xludf.DUMMYFUNCTION("""COMPUTED_VALUE"""),"Screaming Eagle, Cabernet Sauvignon, Oakville")</f>
        <v>Screaming Eagle, Cabernet Sauvignon, Oakville</v>
      </c>
      <c r="E1555" s="9">
        <f>IFERROR(__xludf.DUMMYFUNCTION("""COMPUTED_VALUE"""),2019.0)</f>
        <v>2019</v>
      </c>
      <c r="F1555" s="9">
        <f>IFERROR(__xludf.DUMMYFUNCTION("""COMPUTED_VALUE"""),750.0)</f>
        <v>750</v>
      </c>
      <c r="G1555" s="9">
        <f>IFERROR(__xludf.DUMMYFUNCTION("""COMPUTED_VALUE"""),3.0)</f>
        <v>3</v>
      </c>
      <c r="H1555" s="10">
        <f>IFERROR(__xludf.DUMMYFUNCTION("""COMPUTED_VALUE"""),2.0)</f>
        <v>2</v>
      </c>
      <c r="I1555" s="11">
        <f>IFERROR(__xludf.DUMMYFUNCTION("""COMPUTED_VALUE"""),8636.0)</f>
        <v>8636</v>
      </c>
      <c r="J1555" s="9" t="str">
        <f>IFERROR(__xludf.DUMMYFUNCTION("""COMPUTED_VALUE"""),"UK")</f>
        <v>UK</v>
      </c>
      <c r="K1555" s="8"/>
      <c r="L1555" s="12"/>
      <c r="M1555" s="13"/>
      <c r="N1555" s="13" t="str">
        <f>IFERROR(__xludf.DUMMYFUNCTION("IF(ISBLANK(M1555),"""",M1555*GOOGLEFINANCE(""USDGBP""))"),"")</f>
        <v/>
      </c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</row>
    <row r="1556">
      <c r="A1556" s="8" t="str">
        <f>IFERROR(__xludf.DUMMYFUNCTION("""COMPUTED_VALUE"""),"179574120140600750")</f>
        <v>179574120140600750</v>
      </c>
      <c r="B1556" s="9" t="str">
        <f>IFERROR(__xludf.DUMMYFUNCTION("""COMPUTED_VALUE"""),"United States")</f>
        <v>United States</v>
      </c>
      <c r="C1556" s="9" t="str">
        <f>IFERROR(__xludf.DUMMYFUNCTION("""COMPUTED_VALUE"""),"california")</f>
        <v>california</v>
      </c>
      <c r="D1556" s="9" t="str">
        <f>IFERROR(__xludf.DUMMYFUNCTION("""COMPUTED_VALUE"""),"Screaming Eagle, The Flight, Oakville")</f>
        <v>Screaming Eagle, The Flight, Oakville</v>
      </c>
      <c r="E1556" s="9">
        <f>IFERROR(__xludf.DUMMYFUNCTION("""COMPUTED_VALUE"""),2014.0)</f>
        <v>2014</v>
      </c>
      <c r="F1556" s="9">
        <f>IFERROR(__xludf.DUMMYFUNCTION("""COMPUTED_VALUE"""),750.0)</f>
        <v>750</v>
      </c>
      <c r="G1556" s="9">
        <f>IFERROR(__xludf.DUMMYFUNCTION("""COMPUTED_VALUE"""),6.0)</f>
        <v>6</v>
      </c>
      <c r="H1556" s="10">
        <f>IFERROR(__xludf.DUMMYFUNCTION("""COMPUTED_VALUE"""),1.0)</f>
        <v>1</v>
      </c>
      <c r="I1556" s="11">
        <f>IFERROR(__xludf.DUMMYFUNCTION("""COMPUTED_VALUE"""),3940.0)</f>
        <v>3940</v>
      </c>
      <c r="J1556" s="9" t="str">
        <f>IFERROR(__xludf.DUMMYFUNCTION("""COMPUTED_VALUE"""),"UK")</f>
        <v>UK</v>
      </c>
      <c r="K1556" s="8"/>
      <c r="L1556" s="12"/>
      <c r="M1556" s="13"/>
      <c r="N1556" s="13" t="str">
        <f>IFERROR(__xludf.DUMMYFUNCTION("IF(ISBLANK(M1556),"""",M1556*GOOGLEFINANCE(""USDGBP""))"),"")</f>
        <v/>
      </c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</row>
    <row r="1557">
      <c r="A1557" s="8" t="str">
        <f>IFERROR(__xludf.DUMMYFUNCTION("""COMPUTED_VALUE"""),"179574120150300750")</f>
        <v>179574120150300750</v>
      </c>
      <c r="B1557" s="9" t="str">
        <f>IFERROR(__xludf.DUMMYFUNCTION("""COMPUTED_VALUE"""),"United States")</f>
        <v>United States</v>
      </c>
      <c r="C1557" s="9" t="str">
        <f>IFERROR(__xludf.DUMMYFUNCTION("""COMPUTED_VALUE"""),"california")</f>
        <v>california</v>
      </c>
      <c r="D1557" s="9" t="str">
        <f>IFERROR(__xludf.DUMMYFUNCTION("""COMPUTED_VALUE"""),"Screaming Eagle, The Flight, Oakville")</f>
        <v>Screaming Eagle, The Flight, Oakville</v>
      </c>
      <c r="E1557" s="9">
        <f>IFERROR(__xludf.DUMMYFUNCTION("""COMPUTED_VALUE"""),2015.0)</f>
        <v>2015</v>
      </c>
      <c r="F1557" s="9">
        <f>IFERROR(__xludf.DUMMYFUNCTION("""COMPUTED_VALUE"""),750.0)</f>
        <v>750</v>
      </c>
      <c r="G1557" s="9">
        <f>IFERROR(__xludf.DUMMYFUNCTION("""COMPUTED_VALUE"""),3.0)</f>
        <v>3</v>
      </c>
      <c r="H1557" s="10">
        <f>IFERROR(__xludf.DUMMYFUNCTION("""COMPUTED_VALUE"""),4.0)</f>
        <v>4</v>
      </c>
      <c r="I1557" s="11">
        <f>IFERROR(__xludf.DUMMYFUNCTION("""COMPUTED_VALUE"""),1895.0)</f>
        <v>1895</v>
      </c>
      <c r="J1557" s="9" t="str">
        <f>IFERROR(__xludf.DUMMYFUNCTION("""COMPUTED_VALUE"""),"UK")</f>
        <v>UK</v>
      </c>
      <c r="K1557" s="8"/>
      <c r="L1557" s="12"/>
      <c r="M1557" s="13"/>
      <c r="N1557" s="13" t="str">
        <f>IFERROR(__xludf.DUMMYFUNCTION("IF(ISBLANK(M1557),"""",M1557*GOOGLEFINANCE(""USDGBP""))"),"")</f>
        <v/>
      </c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</row>
    <row r="1558">
      <c r="A1558" s="8" t="str">
        <f>IFERROR(__xludf.DUMMYFUNCTION("""COMPUTED_VALUE"""),"179574120160300750")</f>
        <v>179574120160300750</v>
      </c>
      <c r="B1558" s="9" t="str">
        <f>IFERROR(__xludf.DUMMYFUNCTION("""COMPUTED_VALUE"""),"United States")</f>
        <v>United States</v>
      </c>
      <c r="C1558" s="9" t="str">
        <f>IFERROR(__xludf.DUMMYFUNCTION("""COMPUTED_VALUE"""),"california")</f>
        <v>california</v>
      </c>
      <c r="D1558" s="9" t="str">
        <f>IFERROR(__xludf.DUMMYFUNCTION("""COMPUTED_VALUE"""),"Screaming Eagle, The Flight, Oakville")</f>
        <v>Screaming Eagle, The Flight, Oakville</v>
      </c>
      <c r="E1558" s="9">
        <f>IFERROR(__xludf.DUMMYFUNCTION("""COMPUTED_VALUE"""),2016.0)</f>
        <v>2016</v>
      </c>
      <c r="F1558" s="9">
        <f>IFERROR(__xludf.DUMMYFUNCTION("""COMPUTED_VALUE"""),750.0)</f>
        <v>750</v>
      </c>
      <c r="G1558" s="9">
        <f>IFERROR(__xludf.DUMMYFUNCTION("""COMPUTED_VALUE"""),3.0)</f>
        <v>3</v>
      </c>
      <c r="H1558" s="10">
        <f>IFERROR(__xludf.DUMMYFUNCTION("""COMPUTED_VALUE"""),1.0)</f>
        <v>1</v>
      </c>
      <c r="I1558" s="11">
        <f>IFERROR(__xludf.DUMMYFUNCTION("""COMPUTED_VALUE"""),2580.0)</f>
        <v>2580</v>
      </c>
      <c r="J1558" s="9" t="str">
        <f>IFERROR(__xludf.DUMMYFUNCTION("""COMPUTED_VALUE"""),"UK")</f>
        <v>UK</v>
      </c>
      <c r="K1558" s="8"/>
      <c r="L1558" s="12"/>
      <c r="M1558" s="13"/>
      <c r="N1558" s="13" t="str">
        <f>IFERROR(__xludf.DUMMYFUNCTION("IF(ISBLANK(M1558),"""",M1558*GOOGLEFINANCE(""USDGBP""))"),"")</f>
        <v/>
      </c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</row>
    <row r="1559">
      <c r="A1559" s="8" t="str">
        <f>IFERROR(__xludf.DUMMYFUNCTION("""COMPUTED_VALUE"""),"179574120180300750")</f>
        <v>179574120180300750</v>
      </c>
      <c r="B1559" s="9" t="str">
        <f>IFERROR(__xludf.DUMMYFUNCTION("""COMPUTED_VALUE"""),"United States")</f>
        <v>United States</v>
      </c>
      <c r="C1559" s="9" t="str">
        <f>IFERROR(__xludf.DUMMYFUNCTION("""COMPUTED_VALUE"""),"california")</f>
        <v>california</v>
      </c>
      <c r="D1559" s="9" t="str">
        <f>IFERROR(__xludf.DUMMYFUNCTION("""COMPUTED_VALUE"""),"Screaming Eagle, The Flight, Oakville")</f>
        <v>Screaming Eagle, The Flight, Oakville</v>
      </c>
      <c r="E1559" s="9">
        <f>IFERROR(__xludf.DUMMYFUNCTION("""COMPUTED_VALUE"""),2018.0)</f>
        <v>2018</v>
      </c>
      <c r="F1559" s="9">
        <f>IFERROR(__xludf.DUMMYFUNCTION("""COMPUTED_VALUE"""),750.0)</f>
        <v>750</v>
      </c>
      <c r="G1559" s="9">
        <f>IFERROR(__xludf.DUMMYFUNCTION("""COMPUTED_VALUE"""),3.0)</f>
        <v>3</v>
      </c>
      <c r="H1559" s="10">
        <f>IFERROR(__xludf.DUMMYFUNCTION("""COMPUTED_VALUE"""),3.0)</f>
        <v>3</v>
      </c>
      <c r="I1559" s="11">
        <f>IFERROR(__xludf.DUMMYFUNCTION("""COMPUTED_VALUE"""),2594.0)</f>
        <v>2594</v>
      </c>
      <c r="J1559" s="9" t="str">
        <f>IFERROR(__xludf.DUMMYFUNCTION("""COMPUTED_VALUE"""),"UK")</f>
        <v>UK</v>
      </c>
      <c r="K1559" s="8"/>
      <c r="L1559" s="12"/>
      <c r="M1559" s="13"/>
      <c r="N1559" s="13" t="str">
        <f>IFERROR(__xludf.DUMMYFUNCTION("IF(ISBLANK(M1559),"""",M1559*GOOGLEFINANCE(""USDGBP""))"),"")</f>
        <v/>
      </c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</row>
    <row r="1560">
      <c r="A1560" s="8" t="str">
        <f>IFERROR(__xludf.DUMMYFUNCTION("""COMPUTED_VALUE"""),"150774420151200750")</f>
        <v>150774420151200750</v>
      </c>
      <c r="B1560" s="9" t="str">
        <f>IFERROR(__xludf.DUMMYFUNCTION("""COMPUTED_VALUE"""),"United States")</f>
        <v>United States</v>
      </c>
      <c r="C1560" s="9" t="str">
        <f>IFERROR(__xludf.DUMMYFUNCTION("""COMPUTED_VALUE"""),"california")</f>
        <v>california</v>
      </c>
      <c r="D1560" s="9" t="str">
        <f>IFERROR(__xludf.DUMMYFUNCTION("""COMPUTED_VALUE"""),"Shafer, TD-9, Napa Valley")</f>
        <v>Shafer, TD-9, Napa Valley</v>
      </c>
      <c r="E1560" s="9">
        <f>IFERROR(__xludf.DUMMYFUNCTION("""COMPUTED_VALUE"""),2015.0)</f>
        <v>2015</v>
      </c>
      <c r="F1560" s="9">
        <f>IFERROR(__xludf.DUMMYFUNCTION("""COMPUTED_VALUE"""),750.0)</f>
        <v>750</v>
      </c>
      <c r="G1560" s="9">
        <f>IFERROR(__xludf.DUMMYFUNCTION("""COMPUTED_VALUE"""),12.0)</f>
        <v>12</v>
      </c>
      <c r="H1560" s="10">
        <f>IFERROR(__xludf.DUMMYFUNCTION("""COMPUTED_VALUE"""),1.0)</f>
        <v>1</v>
      </c>
      <c r="I1560" s="11">
        <f>IFERROR(__xludf.DUMMYFUNCTION("""COMPUTED_VALUE"""),592.0)</f>
        <v>592</v>
      </c>
      <c r="J1560" s="9" t="str">
        <f>IFERROR(__xludf.DUMMYFUNCTION("""COMPUTED_VALUE"""),"UK")</f>
        <v>UK</v>
      </c>
      <c r="K1560" s="8"/>
      <c r="L1560" s="12"/>
      <c r="M1560" s="13"/>
      <c r="N1560" s="13" t="str">
        <f>IFERROR(__xludf.DUMMYFUNCTION("IF(ISBLANK(M1560),"""",M1560*GOOGLEFINANCE(""USDGBP""))"),"")</f>
        <v/>
      </c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</row>
    <row r="1561">
      <c r="A1561" s="8" t="str">
        <f>IFERROR(__xludf.DUMMYFUNCTION("""COMPUTED_VALUE"""),"150774420171200750")</f>
        <v>150774420171200750</v>
      </c>
      <c r="B1561" s="9" t="str">
        <f>IFERROR(__xludf.DUMMYFUNCTION("""COMPUTED_VALUE"""),"United States")</f>
        <v>United States</v>
      </c>
      <c r="C1561" s="9" t="str">
        <f>IFERROR(__xludf.DUMMYFUNCTION("""COMPUTED_VALUE"""),"california")</f>
        <v>california</v>
      </c>
      <c r="D1561" s="9" t="str">
        <f>IFERROR(__xludf.DUMMYFUNCTION("""COMPUTED_VALUE"""),"Shafer, TD-9, Napa Valley")</f>
        <v>Shafer, TD-9, Napa Valley</v>
      </c>
      <c r="E1561" s="9">
        <f>IFERROR(__xludf.DUMMYFUNCTION("""COMPUTED_VALUE"""),2017.0)</f>
        <v>2017</v>
      </c>
      <c r="F1561" s="9">
        <f>IFERROR(__xludf.DUMMYFUNCTION("""COMPUTED_VALUE"""),750.0)</f>
        <v>750</v>
      </c>
      <c r="G1561" s="9">
        <f>IFERROR(__xludf.DUMMYFUNCTION("""COMPUTED_VALUE"""),12.0)</f>
        <v>12</v>
      </c>
      <c r="H1561" s="10">
        <f>IFERROR(__xludf.DUMMYFUNCTION("""COMPUTED_VALUE"""),1.0)</f>
        <v>1</v>
      </c>
      <c r="I1561" s="11">
        <f>IFERROR(__xludf.DUMMYFUNCTION("""COMPUTED_VALUE"""),571.0)</f>
        <v>571</v>
      </c>
      <c r="J1561" s="9" t="str">
        <f>IFERROR(__xludf.DUMMYFUNCTION("""COMPUTED_VALUE"""),"UK")</f>
        <v>UK</v>
      </c>
      <c r="K1561" s="8"/>
      <c r="L1561" s="12"/>
      <c r="M1561" s="13"/>
      <c r="N1561" s="13" t="str">
        <f>IFERROR(__xludf.DUMMYFUNCTION("IF(ISBLANK(M1561),"""",M1561*GOOGLEFINANCE(""USDGBP""))"),"")</f>
        <v/>
      </c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  <c r="GG1561" s="8"/>
      <c r="GH1561" s="8"/>
      <c r="GI1561" s="8"/>
      <c r="GJ1561" s="8"/>
      <c r="GK1561" s="8"/>
      <c r="GL1561" s="8"/>
      <c r="GM1561" s="8"/>
      <c r="GN1561" s="8"/>
      <c r="GO1561" s="8"/>
      <c r="GP1561" s="8"/>
      <c r="GQ1561" s="8"/>
      <c r="GR1561" s="8"/>
      <c r="GS1561" s="8"/>
      <c r="GT1561" s="8"/>
      <c r="GU1561" s="8"/>
      <c r="GV1561" s="8"/>
      <c r="GW1561" s="8"/>
      <c r="GX1561" s="8"/>
    </row>
    <row r="1562">
      <c r="A1562" s="8" t="str">
        <f>IFERROR(__xludf.DUMMYFUNCTION("""COMPUTED_VALUE"""),"119667820040600750")</f>
        <v>119667820040600750</v>
      </c>
      <c r="B1562" s="9" t="str">
        <f>IFERROR(__xludf.DUMMYFUNCTION("""COMPUTED_VALUE"""),"United States")</f>
        <v>United States</v>
      </c>
      <c r="C1562" s="9" t="str">
        <f>IFERROR(__xludf.DUMMYFUNCTION("""COMPUTED_VALUE"""),"california")</f>
        <v>california</v>
      </c>
      <c r="D1562" s="9" t="str">
        <f>IFERROR(__xludf.DUMMYFUNCTION("""COMPUTED_VALUE"""),"Sine Qua Non, Eleven Confessions Collectors Case, Sta. Rita Hills")</f>
        <v>Sine Qua Non, Eleven Confessions Collectors Case, Sta. Rita Hills</v>
      </c>
      <c r="E1562" s="9">
        <f>IFERROR(__xludf.DUMMYFUNCTION("""COMPUTED_VALUE"""),2004.0)</f>
        <v>2004</v>
      </c>
      <c r="F1562" s="9">
        <f>IFERROR(__xludf.DUMMYFUNCTION("""COMPUTED_VALUE"""),750.0)</f>
        <v>750</v>
      </c>
      <c r="G1562" s="9">
        <f>IFERROR(__xludf.DUMMYFUNCTION("""COMPUTED_VALUE"""),6.0)</f>
        <v>6</v>
      </c>
      <c r="H1562" s="10">
        <f>IFERROR(__xludf.DUMMYFUNCTION("""COMPUTED_VALUE"""),1.0)</f>
        <v>1</v>
      </c>
      <c r="I1562" s="11">
        <f>IFERROR(__xludf.DUMMYFUNCTION("""COMPUTED_VALUE"""),5220.0)</f>
        <v>5220</v>
      </c>
      <c r="J1562" s="9" t="str">
        <f>IFERROR(__xludf.DUMMYFUNCTION("""COMPUTED_VALUE"""),"UK")</f>
        <v>UK</v>
      </c>
      <c r="K1562" s="8"/>
      <c r="L1562" s="12"/>
      <c r="M1562" s="13"/>
      <c r="N1562" s="13" t="str">
        <f>IFERROR(__xludf.DUMMYFUNCTION("IF(ISBLANK(M1562),"""",M1562*GOOGLEFINANCE(""USDGBP""))"),"")</f>
        <v/>
      </c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  <c r="GA1562" s="8"/>
      <c r="GB1562" s="8"/>
      <c r="GC1562" s="8"/>
      <c r="GD1562" s="8"/>
      <c r="GE1562" s="8"/>
      <c r="GF1562" s="8"/>
      <c r="GG1562" s="8"/>
      <c r="GH1562" s="8"/>
      <c r="GI1562" s="8"/>
      <c r="GJ1562" s="8"/>
      <c r="GK1562" s="8"/>
      <c r="GL1562" s="8"/>
      <c r="GM1562" s="8"/>
      <c r="GN1562" s="8"/>
      <c r="GO1562" s="8"/>
      <c r="GP1562" s="8"/>
      <c r="GQ1562" s="8"/>
      <c r="GR1562" s="8"/>
      <c r="GS1562" s="8"/>
      <c r="GT1562" s="8"/>
      <c r="GU1562" s="8"/>
      <c r="GV1562" s="8"/>
      <c r="GW1562" s="8"/>
      <c r="GX1562" s="8"/>
    </row>
    <row r="1563">
      <c r="A1563" s="8" t="str">
        <f>IFERROR(__xludf.DUMMYFUNCTION("""COMPUTED_VALUE"""),"119667820080201500")</f>
        <v>119667820080201500</v>
      </c>
      <c r="B1563" s="9" t="str">
        <f>IFERROR(__xludf.DUMMYFUNCTION("""COMPUTED_VALUE"""),"United States")</f>
        <v>United States</v>
      </c>
      <c r="C1563" s="9" t="str">
        <f>IFERROR(__xludf.DUMMYFUNCTION("""COMPUTED_VALUE"""),"california")</f>
        <v>california</v>
      </c>
      <c r="D1563" s="9" t="str">
        <f>IFERROR(__xludf.DUMMYFUNCTION("""COMPUTED_VALUE"""),"Sine Qua Non, Eleven Confessions Collectors Case, Sta. Rita Hills")</f>
        <v>Sine Qua Non, Eleven Confessions Collectors Case, Sta. Rita Hills</v>
      </c>
      <c r="E1563" s="9">
        <f>IFERROR(__xludf.DUMMYFUNCTION("""COMPUTED_VALUE"""),2008.0)</f>
        <v>2008</v>
      </c>
      <c r="F1563" s="9">
        <f>IFERROR(__xludf.DUMMYFUNCTION("""COMPUTED_VALUE"""),1500.0)</f>
        <v>1500</v>
      </c>
      <c r="G1563" s="9">
        <f>IFERROR(__xludf.DUMMYFUNCTION("""COMPUTED_VALUE"""),2.0)</f>
        <v>2</v>
      </c>
      <c r="H1563" s="10">
        <f>IFERROR(__xludf.DUMMYFUNCTION("""COMPUTED_VALUE"""),1.0)</f>
        <v>1</v>
      </c>
      <c r="I1563" s="11">
        <f>IFERROR(__xludf.DUMMYFUNCTION("""COMPUTED_VALUE"""),2177.0)</f>
        <v>2177</v>
      </c>
      <c r="J1563" s="9" t="str">
        <f>IFERROR(__xludf.DUMMYFUNCTION("""COMPUTED_VALUE"""),"UK")</f>
        <v>UK</v>
      </c>
      <c r="K1563" s="8"/>
      <c r="L1563" s="12"/>
      <c r="M1563" s="13"/>
      <c r="N1563" s="13" t="str">
        <f>IFERROR(__xludf.DUMMYFUNCTION("IF(ISBLANK(M1563),"""",M1563*GOOGLEFINANCE(""USDGBP""))"),"")</f>
        <v/>
      </c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  <c r="GG1563" s="8"/>
      <c r="GH1563" s="8"/>
      <c r="GI1563" s="8"/>
      <c r="GJ1563" s="8"/>
      <c r="GK1563" s="8"/>
      <c r="GL1563" s="8"/>
      <c r="GM1563" s="8"/>
      <c r="GN1563" s="8"/>
      <c r="GO1563" s="8"/>
      <c r="GP1563" s="8"/>
      <c r="GQ1563" s="8"/>
      <c r="GR1563" s="8"/>
      <c r="GS1563" s="8"/>
      <c r="GT1563" s="8"/>
      <c r="GU1563" s="8"/>
      <c r="GV1563" s="8"/>
      <c r="GW1563" s="8"/>
      <c r="GX1563" s="8"/>
    </row>
    <row r="1564">
      <c r="A1564" s="8" t="str">
        <f>IFERROR(__xludf.DUMMYFUNCTION("""COMPUTED_VALUE"""),"119667820100600750")</f>
        <v>119667820100600750</v>
      </c>
      <c r="B1564" s="9" t="str">
        <f>IFERROR(__xludf.DUMMYFUNCTION("""COMPUTED_VALUE"""),"United States")</f>
        <v>United States</v>
      </c>
      <c r="C1564" s="9" t="str">
        <f>IFERROR(__xludf.DUMMYFUNCTION("""COMPUTED_VALUE"""),"california")</f>
        <v>california</v>
      </c>
      <c r="D1564" s="9" t="str">
        <f>IFERROR(__xludf.DUMMYFUNCTION("""COMPUTED_VALUE"""),"Sine Qua Non, Eleven Confessions Collectors Case, Sta. Rita Hills")</f>
        <v>Sine Qua Non, Eleven Confessions Collectors Case, Sta. Rita Hills</v>
      </c>
      <c r="E1564" s="9">
        <f>IFERROR(__xludf.DUMMYFUNCTION("""COMPUTED_VALUE"""),2010.0)</f>
        <v>2010</v>
      </c>
      <c r="F1564" s="9">
        <f>IFERROR(__xludf.DUMMYFUNCTION("""COMPUTED_VALUE"""),750.0)</f>
        <v>750</v>
      </c>
      <c r="G1564" s="9">
        <f>IFERROR(__xludf.DUMMYFUNCTION("""COMPUTED_VALUE"""),6.0)</f>
        <v>6</v>
      </c>
      <c r="H1564" s="10">
        <f>IFERROR(__xludf.DUMMYFUNCTION("""COMPUTED_VALUE"""),1.0)</f>
        <v>1</v>
      </c>
      <c r="I1564" s="11">
        <f>IFERROR(__xludf.DUMMYFUNCTION("""COMPUTED_VALUE"""),6019.0)</f>
        <v>6019</v>
      </c>
      <c r="J1564" s="9" t="str">
        <f>IFERROR(__xludf.DUMMYFUNCTION("""COMPUTED_VALUE"""),"UK")</f>
        <v>UK</v>
      </c>
      <c r="K1564" s="8"/>
      <c r="L1564" s="12"/>
      <c r="M1564" s="13"/>
      <c r="N1564" s="13" t="str">
        <f>IFERROR(__xludf.DUMMYFUNCTION("IF(ISBLANK(M1564),"""",M1564*GOOGLEFINANCE(""USDGBP""))"),"")</f>
        <v/>
      </c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</row>
    <row r="1565">
      <c r="A1565" s="8" t="str">
        <f>IFERROR(__xludf.DUMMYFUNCTION("""COMPUTED_VALUE"""),"119667820120600750")</f>
        <v>119667820120600750</v>
      </c>
      <c r="B1565" s="9" t="str">
        <f>IFERROR(__xludf.DUMMYFUNCTION("""COMPUTED_VALUE"""),"United States")</f>
        <v>United States</v>
      </c>
      <c r="C1565" s="9" t="str">
        <f>IFERROR(__xludf.DUMMYFUNCTION("""COMPUTED_VALUE"""),"california")</f>
        <v>california</v>
      </c>
      <c r="D1565" s="9" t="str">
        <f>IFERROR(__xludf.DUMMYFUNCTION("""COMPUTED_VALUE"""),"Sine Qua Non, Eleven Confessions Collectors Case, Sta. Rita Hills")</f>
        <v>Sine Qua Non, Eleven Confessions Collectors Case, Sta. Rita Hills</v>
      </c>
      <c r="E1565" s="9">
        <f>IFERROR(__xludf.DUMMYFUNCTION("""COMPUTED_VALUE"""),2012.0)</f>
        <v>2012</v>
      </c>
      <c r="F1565" s="9">
        <f>IFERROR(__xludf.DUMMYFUNCTION("""COMPUTED_VALUE"""),750.0)</f>
        <v>750</v>
      </c>
      <c r="G1565" s="9">
        <f>IFERROR(__xludf.DUMMYFUNCTION("""COMPUTED_VALUE"""),6.0)</f>
        <v>6</v>
      </c>
      <c r="H1565" s="10">
        <f>IFERROR(__xludf.DUMMYFUNCTION("""COMPUTED_VALUE"""),2.0)</f>
        <v>2</v>
      </c>
      <c r="I1565" s="11">
        <f>IFERROR(__xludf.DUMMYFUNCTION("""COMPUTED_VALUE"""),2879.0)</f>
        <v>2879</v>
      </c>
      <c r="J1565" s="9" t="str">
        <f>IFERROR(__xludf.DUMMYFUNCTION("""COMPUTED_VALUE"""),"UK")</f>
        <v>UK</v>
      </c>
      <c r="K1565" s="8"/>
      <c r="L1565" s="12"/>
      <c r="M1565" s="13"/>
      <c r="N1565" s="13" t="str">
        <f>IFERROR(__xludf.DUMMYFUNCTION("IF(ISBLANK(M1565),"""",M1565*GOOGLEFINANCE(""USDGBP""))"),"")</f>
        <v/>
      </c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</row>
    <row r="1566">
      <c r="A1566" s="8" t="str">
        <f>IFERROR(__xludf.DUMMYFUNCTION("""COMPUTED_VALUE"""),"119667820130600750")</f>
        <v>119667820130600750</v>
      </c>
      <c r="B1566" s="9" t="str">
        <f>IFERROR(__xludf.DUMMYFUNCTION("""COMPUTED_VALUE"""),"United States")</f>
        <v>United States</v>
      </c>
      <c r="C1566" s="9" t="str">
        <f>IFERROR(__xludf.DUMMYFUNCTION("""COMPUTED_VALUE"""),"california")</f>
        <v>california</v>
      </c>
      <c r="D1566" s="9" t="str">
        <f>IFERROR(__xludf.DUMMYFUNCTION("""COMPUTED_VALUE"""),"Sine Qua Non, Eleven Confessions Collectors Case, Sta. Rita Hills")</f>
        <v>Sine Qua Non, Eleven Confessions Collectors Case, Sta. Rita Hills</v>
      </c>
      <c r="E1566" s="9">
        <f>IFERROR(__xludf.DUMMYFUNCTION("""COMPUTED_VALUE"""),2013.0)</f>
        <v>2013</v>
      </c>
      <c r="F1566" s="9">
        <f>IFERROR(__xludf.DUMMYFUNCTION("""COMPUTED_VALUE"""),750.0)</f>
        <v>750</v>
      </c>
      <c r="G1566" s="9">
        <f>IFERROR(__xludf.DUMMYFUNCTION("""COMPUTED_VALUE"""),6.0)</f>
        <v>6</v>
      </c>
      <c r="H1566" s="10">
        <f>IFERROR(__xludf.DUMMYFUNCTION("""COMPUTED_VALUE"""),1.0)</f>
        <v>1</v>
      </c>
      <c r="I1566" s="11">
        <f>IFERROR(__xludf.DUMMYFUNCTION("""COMPUTED_VALUE"""),2867.0)</f>
        <v>2867</v>
      </c>
      <c r="J1566" s="9" t="str">
        <f>IFERROR(__xludf.DUMMYFUNCTION("""COMPUTED_VALUE"""),"UK")</f>
        <v>UK</v>
      </c>
      <c r="K1566" s="8"/>
      <c r="L1566" s="12"/>
      <c r="M1566" s="13"/>
      <c r="N1566" s="13" t="str">
        <f>IFERROR(__xludf.DUMMYFUNCTION("IF(ISBLANK(M1566),"""",M1566*GOOGLEFINANCE(""USDGBP""))"),"")</f>
        <v/>
      </c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</row>
    <row r="1567">
      <c r="A1567" s="8" t="str">
        <f>IFERROR(__xludf.DUMMYFUNCTION("""COMPUTED_VALUE"""),"119667820150600750")</f>
        <v>119667820150600750</v>
      </c>
      <c r="B1567" s="9" t="str">
        <f>IFERROR(__xludf.DUMMYFUNCTION("""COMPUTED_VALUE"""),"United States")</f>
        <v>United States</v>
      </c>
      <c r="C1567" s="9" t="str">
        <f>IFERROR(__xludf.DUMMYFUNCTION("""COMPUTED_VALUE"""),"california")</f>
        <v>california</v>
      </c>
      <c r="D1567" s="9" t="str">
        <f>IFERROR(__xludf.DUMMYFUNCTION("""COMPUTED_VALUE"""),"Sine Qua Non, Eleven Confessions Collectors Case, Sta. Rita Hills")</f>
        <v>Sine Qua Non, Eleven Confessions Collectors Case, Sta. Rita Hills</v>
      </c>
      <c r="E1567" s="9">
        <f>IFERROR(__xludf.DUMMYFUNCTION("""COMPUTED_VALUE"""),2015.0)</f>
        <v>2015</v>
      </c>
      <c r="F1567" s="9">
        <f>IFERROR(__xludf.DUMMYFUNCTION("""COMPUTED_VALUE"""),750.0)</f>
        <v>750</v>
      </c>
      <c r="G1567" s="9">
        <f>IFERROR(__xludf.DUMMYFUNCTION("""COMPUTED_VALUE"""),6.0)</f>
        <v>6</v>
      </c>
      <c r="H1567" s="10">
        <f>IFERROR(__xludf.DUMMYFUNCTION("""COMPUTED_VALUE"""),1.0)</f>
        <v>1</v>
      </c>
      <c r="I1567" s="11">
        <f>IFERROR(__xludf.DUMMYFUNCTION("""COMPUTED_VALUE"""),2630.0)</f>
        <v>2630</v>
      </c>
      <c r="J1567" s="9" t="str">
        <f>IFERROR(__xludf.DUMMYFUNCTION("""COMPUTED_VALUE"""),"UK")</f>
        <v>UK</v>
      </c>
      <c r="K1567" s="8"/>
      <c r="L1567" s="12"/>
      <c r="M1567" s="13"/>
      <c r="N1567" s="13" t="str">
        <f>IFERROR(__xludf.DUMMYFUNCTION("IF(ISBLANK(M1567),"""",M1567*GOOGLEFINANCE(""USDGBP""))"),"")</f>
        <v/>
      </c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</row>
    <row r="1568">
      <c r="A1568" s="8" t="str">
        <f>IFERROR(__xludf.DUMMYFUNCTION("""COMPUTED_VALUE"""),"171517420130600750")</f>
        <v>171517420130600750</v>
      </c>
      <c r="B1568" s="9" t="str">
        <f>IFERROR(__xludf.DUMMYFUNCTION("""COMPUTED_VALUE"""),"United States")</f>
        <v>United States</v>
      </c>
      <c r="C1568" s="9" t="str">
        <f>IFERROR(__xludf.DUMMYFUNCTION("""COMPUTED_VALUE"""),"california")</f>
        <v>california</v>
      </c>
      <c r="D1568" s="9" t="str">
        <f>IFERROR(__xludf.DUMMYFUNCTION("""COMPUTED_VALUE"""),"Sine Qua Non, Le Coeur Gagne Assortment Case, Sta. Rita Hills")</f>
        <v>Sine Qua Non, Le Coeur Gagne Assortment Case, Sta. Rita Hills</v>
      </c>
      <c r="E1568" s="9">
        <f>IFERROR(__xludf.DUMMYFUNCTION("""COMPUTED_VALUE"""),2013.0)</f>
        <v>2013</v>
      </c>
      <c r="F1568" s="9">
        <f>IFERROR(__xludf.DUMMYFUNCTION("""COMPUTED_VALUE"""),750.0)</f>
        <v>750</v>
      </c>
      <c r="G1568" s="9">
        <f>IFERROR(__xludf.DUMMYFUNCTION("""COMPUTED_VALUE"""),6.0)</f>
        <v>6</v>
      </c>
      <c r="H1568" s="10">
        <f>IFERROR(__xludf.DUMMYFUNCTION("""COMPUTED_VALUE"""),1.0)</f>
        <v>1</v>
      </c>
      <c r="I1568" s="11">
        <f>IFERROR(__xludf.DUMMYFUNCTION("""COMPUTED_VALUE"""),2730.0)</f>
        <v>2730</v>
      </c>
      <c r="J1568" s="9" t="str">
        <f>IFERROR(__xludf.DUMMYFUNCTION("""COMPUTED_VALUE"""),"UK")</f>
        <v>UK</v>
      </c>
      <c r="K1568" s="8"/>
      <c r="L1568" s="12"/>
      <c r="M1568" s="13"/>
      <c r="N1568" s="13" t="str">
        <f>IFERROR(__xludf.DUMMYFUNCTION("IF(ISBLANK(M1568),"""",M1568*GOOGLEFINANCE(""USDGBP""))"),"")</f>
        <v/>
      </c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  <c r="GG1568" s="8"/>
      <c r="GH1568" s="8"/>
      <c r="GI1568" s="8"/>
      <c r="GJ1568" s="8"/>
      <c r="GK1568" s="8"/>
      <c r="GL1568" s="8"/>
      <c r="GM1568" s="8"/>
      <c r="GN1568" s="8"/>
      <c r="GO1568" s="8"/>
      <c r="GP1568" s="8"/>
      <c r="GQ1568" s="8"/>
      <c r="GR1568" s="8"/>
      <c r="GS1568" s="8"/>
      <c r="GT1568" s="8"/>
      <c r="GU1568" s="8"/>
      <c r="GV1568" s="8"/>
      <c r="GW1568" s="8"/>
      <c r="GX1568" s="8"/>
    </row>
    <row r="1569">
      <c r="A1569" s="8" t="str">
        <f>IFERROR(__xludf.DUMMYFUNCTION("""COMPUTED_VALUE"""),"190494720180300750")</f>
        <v>190494720180300750</v>
      </c>
      <c r="B1569" s="9" t="str">
        <f>IFERROR(__xludf.DUMMYFUNCTION("""COMPUTED_VALUE"""),"United States")</f>
        <v>United States</v>
      </c>
      <c r="C1569" s="9" t="str">
        <f>IFERROR(__xludf.DUMMYFUNCTION("""COMPUTED_VALUE"""),"california")</f>
        <v>california</v>
      </c>
      <c r="D1569" s="9" t="str">
        <f>IFERROR(__xludf.DUMMYFUNCTION("""COMPUTED_VALUE"""),"Sine Qua Non, Profuga Grenache, Central Coast")</f>
        <v>Sine Qua Non, Profuga Grenache, Central Coast</v>
      </c>
      <c r="E1569" s="9">
        <f>IFERROR(__xludf.DUMMYFUNCTION("""COMPUTED_VALUE"""),2018.0)</f>
        <v>2018</v>
      </c>
      <c r="F1569" s="9">
        <f>IFERROR(__xludf.DUMMYFUNCTION("""COMPUTED_VALUE"""),750.0)</f>
        <v>750</v>
      </c>
      <c r="G1569" s="9">
        <f>IFERROR(__xludf.DUMMYFUNCTION("""COMPUTED_VALUE"""),3.0)</f>
        <v>3</v>
      </c>
      <c r="H1569" s="10">
        <f>IFERROR(__xludf.DUMMYFUNCTION("""COMPUTED_VALUE"""),1.0)</f>
        <v>1</v>
      </c>
      <c r="I1569" s="11">
        <f>IFERROR(__xludf.DUMMYFUNCTION("""COMPUTED_VALUE"""),794.0)</f>
        <v>794</v>
      </c>
      <c r="J1569" s="9" t="str">
        <f>IFERROR(__xludf.DUMMYFUNCTION("""COMPUTED_VALUE"""),"UK")</f>
        <v>UK</v>
      </c>
      <c r="K1569" s="8"/>
      <c r="L1569" s="12"/>
      <c r="M1569" s="13"/>
      <c r="N1569" s="13" t="str">
        <f>IFERROR(__xludf.DUMMYFUNCTION("IF(ISBLANK(M1569),"""",M1569*GOOGLEFINANCE(""USDGBP""))"),"")</f>
        <v/>
      </c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</row>
    <row r="1570">
      <c r="A1570" s="8" t="str">
        <f>IFERROR(__xludf.DUMMYFUNCTION("""COMPUTED_VALUE"""),"176671420161200750")</f>
        <v>176671420161200750</v>
      </c>
      <c r="B1570" s="9" t="str">
        <f>IFERROR(__xludf.DUMMYFUNCTION("""COMPUTED_VALUE"""),"United States")</f>
        <v>United States</v>
      </c>
      <c r="C1570" s="9" t="str">
        <f>IFERROR(__xludf.DUMMYFUNCTION("""COMPUTED_VALUE"""),"california")</f>
        <v>california</v>
      </c>
      <c r="D1570" s="9" t="str">
        <f>IFERROR(__xludf.DUMMYFUNCTION("""COMPUTED_VALUE"""),"Sine Qua Non, Ratsel 16, California")</f>
        <v>Sine Qua Non, Ratsel 16, California</v>
      </c>
      <c r="E1570" s="9">
        <f>IFERROR(__xludf.DUMMYFUNCTION("""COMPUTED_VALUE"""),2016.0)</f>
        <v>2016</v>
      </c>
      <c r="F1570" s="9">
        <f>IFERROR(__xludf.DUMMYFUNCTION("""COMPUTED_VALUE"""),750.0)</f>
        <v>750</v>
      </c>
      <c r="G1570" s="9">
        <f>IFERROR(__xludf.DUMMYFUNCTION("""COMPUTED_VALUE"""),12.0)</f>
        <v>12</v>
      </c>
      <c r="H1570" s="10">
        <f>IFERROR(__xludf.DUMMYFUNCTION("""COMPUTED_VALUE"""),1.0)</f>
        <v>1</v>
      </c>
      <c r="I1570" s="11">
        <f>IFERROR(__xludf.DUMMYFUNCTION("""COMPUTED_VALUE"""),3250.0)</f>
        <v>3250</v>
      </c>
      <c r="J1570" s="9" t="str">
        <f>IFERROR(__xludf.DUMMYFUNCTION("""COMPUTED_VALUE"""),"UK")</f>
        <v>UK</v>
      </c>
      <c r="K1570" s="8"/>
      <c r="L1570" s="12"/>
      <c r="M1570" s="13"/>
      <c r="N1570" s="13" t="str">
        <f>IFERROR(__xludf.DUMMYFUNCTION("IF(ISBLANK(M1570),"""",M1570*GOOGLEFINANCE(""USDGBP""))"),"")</f>
        <v/>
      </c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</row>
    <row r="1571">
      <c r="A1571" s="8" t="str">
        <f>IFERROR(__xludf.DUMMYFUNCTION("""COMPUTED_VALUE"""),"148758120120201500")</f>
        <v>148758120120201500</v>
      </c>
      <c r="B1571" s="9" t="str">
        <f>IFERROR(__xludf.DUMMYFUNCTION("""COMPUTED_VALUE"""),"United States")</f>
        <v>United States</v>
      </c>
      <c r="C1571" s="9" t="str">
        <f>IFERROR(__xludf.DUMMYFUNCTION("""COMPUTED_VALUE"""),"california")</f>
        <v>california</v>
      </c>
      <c r="D1571" s="9" t="str">
        <f>IFERROR(__xludf.DUMMYFUNCTION("""COMPUTED_VALUE"""),"Sine Qua Non, Stock &amp; Stein Assortment Case, California")</f>
        <v>Sine Qua Non, Stock &amp; Stein Assortment Case, California</v>
      </c>
      <c r="E1571" s="9">
        <f>IFERROR(__xludf.DUMMYFUNCTION("""COMPUTED_VALUE"""),2012.0)</f>
        <v>2012</v>
      </c>
      <c r="F1571" s="9">
        <f>IFERROR(__xludf.DUMMYFUNCTION("""COMPUTED_VALUE"""),1500.0)</f>
        <v>1500</v>
      </c>
      <c r="G1571" s="9">
        <f>IFERROR(__xludf.DUMMYFUNCTION("""COMPUTED_VALUE"""),2.0)</f>
        <v>2</v>
      </c>
      <c r="H1571" s="10">
        <f>IFERROR(__xludf.DUMMYFUNCTION("""COMPUTED_VALUE"""),1.0)</f>
        <v>1</v>
      </c>
      <c r="I1571" s="11">
        <f>IFERROR(__xludf.DUMMYFUNCTION("""COMPUTED_VALUE"""),1231.0)</f>
        <v>1231</v>
      </c>
      <c r="J1571" s="9" t="str">
        <f>IFERROR(__xludf.DUMMYFUNCTION("""COMPUTED_VALUE"""),"UK")</f>
        <v>UK</v>
      </c>
      <c r="K1571" s="8"/>
      <c r="L1571" s="12"/>
      <c r="M1571" s="13"/>
      <c r="N1571" s="13" t="str">
        <f>IFERROR(__xludf.DUMMYFUNCTION("IF(ISBLANK(M1571),"""",M1571*GOOGLEFINANCE(""USDGBP""))"),"")</f>
        <v/>
      </c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  <c r="GG1571" s="8"/>
      <c r="GH1571" s="8"/>
      <c r="GI1571" s="8"/>
      <c r="GJ1571" s="8"/>
      <c r="GK1571" s="8"/>
      <c r="GL1571" s="8"/>
      <c r="GM1571" s="8"/>
      <c r="GN1571" s="8"/>
      <c r="GO1571" s="8"/>
      <c r="GP1571" s="8"/>
      <c r="GQ1571" s="8"/>
      <c r="GR1571" s="8"/>
      <c r="GS1571" s="8"/>
      <c r="GT1571" s="8"/>
      <c r="GU1571" s="8"/>
      <c r="GV1571" s="8"/>
      <c r="GW1571" s="8"/>
      <c r="GX1571" s="8"/>
    </row>
    <row r="1572">
      <c r="A1572" s="8" t="str">
        <f>IFERROR(__xludf.DUMMYFUNCTION("""COMPUTED_VALUE"""),"134228020151200750")</f>
        <v>134228020151200750</v>
      </c>
      <c r="B1572" s="9" t="str">
        <f>IFERROR(__xludf.DUMMYFUNCTION("""COMPUTED_VALUE"""),"United States")</f>
        <v>United States</v>
      </c>
      <c r="C1572" s="9" t="str">
        <f>IFERROR(__xludf.DUMMYFUNCTION("""COMPUTED_VALUE"""),"california")</f>
        <v>california</v>
      </c>
      <c r="D1572" s="9" t="str">
        <f>IFERROR(__xludf.DUMMYFUNCTION("""COMPUTED_VALUE"""),"Spottswoode, Lyndenhurst Cabernet Sauvignon, Napa Valley")</f>
        <v>Spottswoode, Lyndenhurst Cabernet Sauvignon, Napa Valley</v>
      </c>
      <c r="E1572" s="9">
        <f>IFERROR(__xludf.DUMMYFUNCTION("""COMPUTED_VALUE"""),2015.0)</f>
        <v>2015</v>
      </c>
      <c r="F1572" s="9">
        <f>IFERROR(__xludf.DUMMYFUNCTION("""COMPUTED_VALUE"""),750.0)</f>
        <v>750</v>
      </c>
      <c r="G1572" s="9">
        <f>IFERROR(__xludf.DUMMYFUNCTION("""COMPUTED_VALUE"""),12.0)</f>
        <v>12</v>
      </c>
      <c r="H1572" s="10">
        <f>IFERROR(__xludf.DUMMYFUNCTION("""COMPUTED_VALUE"""),1.0)</f>
        <v>1</v>
      </c>
      <c r="I1572" s="11">
        <f>IFERROR(__xludf.DUMMYFUNCTION("""COMPUTED_VALUE"""),649.0)</f>
        <v>649</v>
      </c>
      <c r="J1572" s="9" t="str">
        <f>IFERROR(__xludf.DUMMYFUNCTION("""COMPUTED_VALUE"""),"UK")</f>
        <v>UK</v>
      </c>
      <c r="K1572" s="8"/>
      <c r="L1572" s="12"/>
      <c r="M1572" s="13"/>
      <c r="N1572" s="13" t="str">
        <f>IFERROR(__xludf.DUMMYFUNCTION("IF(ISBLANK(M1572),"""",M1572*GOOGLEFINANCE(""USDGBP""))"),"")</f>
        <v/>
      </c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  <c r="GA1572" s="8"/>
      <c r="GB1572" s="8"/>
      <c r="GC1572" s="8"/>
      <c r="GD1572" s="8"/>
      <c r="GE1572" s="8"/>
      <c r="GF1572" s="8"/>
      <c r="GG1572" s="8"/>
      <c r="GH1572" s="8"/>
      <c r="GI1572" s="8"/>
      <c r="GJ1572" s="8"/>
      <c r="GK1572" s="8"/>
      <c r="GL1572" s="8"/>
      <c r="GM1572" s="8"/>
      <c r="GN1572" s="8"/>
      <c r="GO1572" s="8"/>
      <c r="GP1572" s="8"/>
      <c r="GQ1572" s="8"/>
      <c r="GR1572" s="8"/>
      <c r="GS1572" s="8"/>
      <c r="GT1572" s="8"/>
      <c r="GU1572" s="8"/>
      <c r="GV1572" s="8"/>
      <c r="GW1572" s="8"/>
      <c r="GX1572" s="8"/>
    </row>
    <row r="1573">
      <c r="A1573" s="8" t="str">
        <f>IFERROR(__xludf.DUMMYFUNCTION("""COMPUTED_VALUE"""),"134228020161200750")</f>
        <v>134228020161200750</v>
      </c>
      <c r="B1573" s="9" t="str">
        <f>IFERROR(__xludf.DUMMYFUNCTION("""COMPUTED_VALUE"""),"United States")</f>
        <v>United States</v>
      </c>
      <c r="C1573" s="9" t="str">
        <f>IFERROR(__xludf.DUMMYFUNCTION("""COMPUTED_VALUE"""),"california")</f>
        <v>california</v>
      </c>
      <c r="D1573" s="9" t="str">
        <f>IFERROR(__xludf.DUMMYFUNCTION("""COMPUTED_VALUE"""),"Spottswoode, Lyndenhurst Cabernet Sauvignon, Napa Valley")</f>
        <v>Spottswoode, Lyndenhurst Cabernet Sauvignon, Napa Valley</v>
      </c>
      <c r="E1573" s="9">
        <f>IFERROR(__xludf.DUMMYFUNCTION("""COMPUTED_VALUE"""),2016.0)</f>
        <v>2016</v>
      </c>
      <c r="F1573" s="9">
        <f>IFERROR(__xludf.DUMMYFUNCTION("""COMPUTED_VALUE"""),750.0)</f>
        <v>750</v>
      </c>
      <c r="G1573" s="9">
        <f>IFERROR(__xludf.DUMMYFUNCTION("""COMPUTED_VALUE"""),12.0)</f>
        <v>12</v>
      </c>
      <c r="H1573" s="10">
        <f>IFERROR(__xludf.DUMMYFUNCTION("""COMPUTED_VALUE"""),2.0)</f>
        <v>2</v>
      </c>
      <c r="I1573" s="11">
        <f>IFERROR(__xludf.DUMMYFUNCTION("""COMPUTED_VALUE"""),801.0)</f>
        <v>801</v>
      </c>
      <c r="J1573" s="9" t="str">
        <f>IFERROR(__xludf.DUMMYFUNCTION("""COMPUTED_VALUE"""),"UK")</f>
        <v>UK</v>
      </c>
      <c r="K1573" s="8"/>
      <c r="L1573" s="12"/>
      <c r="M1573" s="13"/>
      <c r="N1573" s="13" t="str">
        <f>IFERROR(__xludf.DUMMYFUNCTION("IF(ISBLANK(M1573),"""",M1573*GOOGLEFINANCE(""USDGBP""))"),"")</f>
        <v/>
      </c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8"/>
      <c r="FV1573" s="8"/>
      <c r="FW1573" s="8"/>
      <c r="FX1573" s="8"/>
      <c r="FY1573" s="8"/>
      <c r="FZ1573" s="8"/>
      <c r="GA1573" s="8"/>
      <c r="GB1573" s="8"/>
      <c r="GC1573" s="8"/>
      <c r="GD1573" s="8"/>
      <c r="GE1573" s="8"/>
      <c r="GF1573" s="8"/>
      <c r="GG1573" s="8"/>
      <c r="GH1573" s="8"/>
      <c r="GI1573" s="8"/>
      <c r="GJ1573" s="8"/>
      <c r="GK1573" s="8"/>
      <c r="GL1573" s="8"/>
      <c r="GM1573" s="8"/>
      <c r="GN1573" s="8"/>
      <c r="GO1573" s="8"/>
      <c r="GP1573" s="8"/>
      <c r="GQ1573" s="8"/>
      <c r="GR1573" s="8"/>
      <c r="GS1573" s="8"/>
      <c r="GT1573" s="8"/>
      <c r="GU1573" s="8"/>
      <c r="GV1573" s="8"/>
      <c r="GW1573" s="8"/>
      <c r="GX1573" s="8"/>
    </row>
    <row r="1574">
      <c r="A1574" s="8" t="str">
        <f>IFERROR(__xludf.DUMMYFUNCTION("""COMPUTED_VALUE"""),"134228020171200750")</f>
        <v>134228020171200750</v>
      </c>
      <c r="B1574" s="9" t="str">
        <f>IFERROR(__xludf.DUMMYFUNCTION("""COMPUTED_VALUE"""),"United States")</f>
        <v>United States</v>
      </c>
      <c r="C1574" s="9" t="str">
        <f>IFERROR(__xludf.DUMMYFUNCTION("""COMPUTED_VALUE"""),"california")</f>
        <v>california</v>
      </c>
      <c r="D1574" s="9" t="str">
        <f>IFERROR(__xludf.DUMMYFUNCTION("""COMPUTED_VALUE"""),"Spottswoode, Lyndenhurst Cabernet Sauvignon, Napa Valley")</f>
        <v>Spottswoode, Lyndenhurst Cabernet Sauvignon, Napa Valley</v>
      </c>
      <c r="E1574" s="9">
        <f>IFERROR(__xludf.DUMMYFUNCTION("""COMPUTED_VALUE"""),2017.0)</f>
        <v>2017</v>
      </c>
      <c r="F1574" s="9">
        <f>IFERROR(__xludf.DUMMYFUNCTION("""COMPUTED_VALUE"""),750.0)</f>
        <v>750</v>
      </c>
      <c r="G1574" s="9">
        <f>IFERROR(__xludf.DUMMYFUNCTION("""COMPUTED_VALUE"""),12.0)</f>
        <v>12</v>
      </c>
      <c r="H1574" s="10">
        <f>IFERROR(__xludf.DUMMYFUNCTION("""COMPUTED_VALUE"""),2.0)</f>
        <v>2</v>
      </c>
      <c r="I1574" s="11">
        <f>IFERROR(__xludf.DUMMYFUNCTION("""COMPUTED_VALUE"""),672.0)</f>
        <v>672</v>
      </c>
      <c r="J1574" s="9" t="str">
        <f>IFERROR(__xludf.DUMMYFUNCTION("""COMPUTED_VALUE"""),"UK")</f>
        <v>UK</v>
      </c>
      <c r="K1574" s="8"/>
      <c r="L1574" s="12"/>
      <c r="M1574" s="13"/>
      <c r="N1574" s="13" t="str">
        <f>IFERROR(__xludf.DUMMYFUNCTION("IF(ISBLANK(M1574),"""",M1574*GOOGLEFINANCE(""USDGBP""))"),"")</f>
        <v/>
      </c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  <c r="GA1574" s="8"/>
      <c r="GB1574" s="8"/>
      <c r="GC1574" s="8"/>
      <c r="GD1574" s="8"/>
      <c r="GE1574" s="8"/>
      <c r="GF1574" s="8"/>
      <c r="GG1574" s="8"/>
      <c r="GH1574" s="8"/>
      <c r="GI1574" s="8"/>
      <c r="GJ1574" s="8"/>
      <c r="GK1574" s="8"/>
      <c r="GL1574" s="8"/>
      <c r="GM1574" s="8"/>
      <c r="GN1574" s="8"/>
      <c r="GO1574" s="8"/>
      <c r="GP1574" s="8"/>
      <c r="GQ1574" s="8"/>
      <c r="GR1574" s="8"/>
      <c r="GS1574" s="8"/>
      <c r="GT1574" s="8"/>
      <c r="GU1574" s="8"/>
      <c r="GV1574" s="8"/>
      <c r="GW1574" s="8"/>
      <c r="GX1574" s="8"/>
    </row>
    <row r="1575">
      <c r="A1575" s="8" t="str">
        <f>IFERROR(__xludf.DUMMYFUNCTION("""COMPUTED_VALUE"""),"134228020181200750")</f>
        <v>134228020181200750</v>
      </c>
      <c r="B1575" s="9" t="str">
        <f>IFERROR(__xludf.DUMMYFUNCTION("""COMPUTED_VALUE"""),"United States")</f>
        <v>United States</v>
      </c>
      <c r="C1575" s="9" t="str">
        <f>IFERROR(__xludf.DUMMYFUNCTION("""COMPUTED_VALUE"""),"california")</f>
        <v>california</v>
      </c>
      <c r="D1575" s="9" t="str">
        <f>IFERROR(__xludf.DUMMYFUNCTION("""COMPUTED_VALUE"""),"Spottswoode, Lyndenhurst Cabernet Sauvignon, Napa Valley")</f>
        <v>Spottswoode, Lyndenhurst Cabernet Sauvignon, Napa Valley</v>
      </c>
      <c r="E1575" s="9">
        <f>IFERROR(__xludf.DUMMYFUNCTION("""COMPUTED_VALUE"""),2018.0)</f>
        <v>2018</v>
      </c>
      <c r="F1575" s="9">
        <f>IFERROR(__xludf.DUMMYFUNCTION("""COMPUTED_VALUE"""),750.0)</f>
        <v>750</v>
      </c>
      <c r="G1575" s="9">
        <f>IFERROR(__xludf.DUMMYFUNCTION("""COMPUTED_VALUE"""),12.0)</f>
        <v>12</v>
      </c>
      <c r="H1575" s="10">
        <f>IFERROR(__xludf.DUMMYFUNCTION("""COMPUTED_VALUE"""),3.0)</f>
        <v>3</v>
      </c>
      <c r="I1575" s="11">
        <f>IFERROR(__xludf.DUMMYFUNCTION("""COMPUTED_VALUE"""),682.0)</f>
        <v>682</v>
      </c>
      <c r="J1575" s="9" t="str">
        <f>IFERROR(__xludf.DUMMYFUNCTION("""COMPUTED_VALUE"""),"UK")</f>
        <v>UK</v>
      </c>
      <c r="K1575" s="8"/>
      <c r="L1575" s="12"/>
      <c r="M1575" s="13"/>
      <c r="N1575" s="13" t="str">
        <f>IFERROR(__xludf.DUMMYFUNCTION("IF(ISBLANK(M1575),"""",M1575*GOOGLEFINANCE(""USDGBP""))"),"")</f>
        <v/>
      </c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8"/>
      <c r="FV1575" s="8"/>
      <c r="FW1575" s="8"/>
      <c r="FX1575" s="8"/>
      <c r="FY1575" s="8"/>
      <c r="FZ1575" s="8"/>
      <c r="GA1575" s="8"/>
      <c r="GB1575" s="8"/>
      <c r="GC1575" s="8"/>
      <c r="GD1575" s="8"/>
      <c r="GE1575" s="8"/>
      <c r="GF1575" s="8"/>
      <c r="GG1575" s="8"/>
      <c r="GH1575" s="8"/>
      <c r="GI1575" s="8"/>
      <c r="GJ1575" s="8"/>
      <c r="GK1575" s="8"/>
      <c r="GL1575" s="8"/>
      <c r="GM1575" s="8"/>
      <c r="GN1575" s="8"/>
      <c r="GO1575" s="8"/>
      <c r="GP1575" s="8"/>
      <c r="GQ1575" s="8"/>
      <c r="GR1575" s="8"/>
      <c r="GS1575" s="8"/>
      <c r="GT1575" s="8"/>
      <c r="GU1575" s="8"/>
      <c r="GV1575" s="8"/>
      <c r="GW1575" s="8"/>
      <c r="GX1575" s="8"/>
    </row>
    <row r="1576">
      <c r="A1576" s="8" t="str">
        <f>IFERROR(__xludf.DUMMYFUNCTION("""COMPUTED_VALUE"""),"112340920160600750")</f>
        <v>112340920160600750</v>
      </c>
      <c r="B1576" s="9" t="str">
        <f>IFERROR(__xludf.DUMMYFUNCTION("""COMPUTED_VALUE"""),"United States")</f>
        <v>United States</v>
      </c>
      <c r="C1576" s="9" t="str">
        <f>IFERROR(__xludf.DUMMYFUNCTION("""COMPUTED_VALUE"""),"california")</f>
        <v>california</v>
      </c>
      <c r="D1576" s="9" t="str">
        <f>IFERROR(__xludf.DUMMYFUNCTION("""COMPUTED_VALUE"""),"Stag's Leap Wine Cellars, Cask 23, Napa Valley")</f>
        <v>Stag's Leap Wine Cellars, Cask 23, Napa Valley</v>
      </c>
      <c r="E1576" s="9">
        <f>IFERROR(__xludf.DUMMYFUNCTION("""COMPUTED_VALUE"""),2016.0)</f>
        <v>2016</v>
      </c>
      <c r="F1576" s="9">
        <f>IFERROR(__xludf.DUMMYFUNCTION("""COMPUTED_VALUE"""),750.0)</f>
        <v>750</v>
      </c>
      <c r="G1576" s="9">
        <f>IFERROR(__xludf.DUMMYFUNCTION("""COMPUTED_VALUE"""),6.0)</f>
        <v>6</v>
      </c>
      <c r="H1576" s="10">
        <f>IFERROR(__xludf.DUMMYFUNCTION("""COMPUTED_VALUE"""),2.0)</f>
        <v>2</v>
      </c>
      <c r="I1576" s="11">
        <f>IFERROR(__xludf.DUMMYFUNCTION("""COMPUTED_VALUE"""),1332.0)</f>
        <v>1332</v>
      </c>
      <c r="J1576" s="9" t="str">
        <f>IFERROR(__xludf.DUMMYFUNCTION("""COMPUTED_VALUE"""),"UK")</f>
        <v>UK</v>
      </c>
      <c r="K1576" s="8"/>
      <c r="L1576" s="12"/>
      <c r="M1576" s="13"/>
      <c r="N1576" s="13" t="str">
        <f>IFERROR(__xludf.DUMMYFUNCTION("IF(ISBLANK(M1576),"""",M1576*GOOGLEFINANCE(""USDGBP""))"),"")</f>
        <v/>
      </c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8"/>
      <c r="FJ1576" s="8"/>
      <c r="FK1576" s="8"/>
      <c r="FL1576" s="8"/>
      <c r="FM1576" s="8"/>
      <c r="FN1576" s="8"/>
      <c r="FO1576" s="8"/>
      <c r="FP1576" s="8"/>
      <c r="FQ1576" s="8"/>
      <c r="FR1576" s="8"/>
      <c r="FS1576" s="8"/>
      <c r="FT1576" s="8"/>
      <c r="FU1576" s="8"/>
      <c r="FV1576" s="8"/>
      <c r="FW1576" s="8"/>
      <c r="FX1576" s="8"/>
      <c r="FY1576" s="8"/>
      <c r="FZ1576" s="8"/>
      <c r="GA1576" s="8"/>
      <c r="GB1576" s="8"/>
      <c r="GC1576" s="8"/>
      <c r="GD1576" s="8"/>
      <c r="GE1576" s="8"/>
      <c r="GF1576" s="8"/>
      <c r="GG1576" s="8"/>
      <c r="GH1576" s="8"/>
      <c r="GI1576" s="8"/>
      <c r="GJ1576" s="8"/>
      <c r="GK1576" s="8"/>
      <c r="GL1576" s="8"/>
      <c r="GM1576" s="8"/>
      <c r="GN1576" s="8"/>
      <c r="GO1576" s="8"/>
      <c r="GP1576" s="8"/>
      <c r="GQ1576" s="8"/>
      <c r="GR1576" s="8"/>
      <c r="GS1576" s="8"/>
      <c r="GT1576" s="8"/>
      <c r="GU1576" s="8"/>
      <c r="GV1576" s="8"/>
      <c r="GW1576" s="8"/>
      <c r="GX1576" s="8"/>
    </row>
    <row r="1577">
      <c r="A1577" s="8" t="str">
        <f>IFERROR(__xludf.DUMMYFUNCTION("""COMPUTED_VALUE"""),"112345420130600750")</f>
        <v>112345420130600750</v>
      </c>
      <c r="B1577" s="9" t="str">
        <f>IFERROR(__xludf.DUMMYFUNCTION("""COMPUTED_VALUE"""),"United States")</f>
        <v>United States</v>
      </c>
      <c r="C1577" s="9" t="str">
        <f>IFERROR(__xludf.DUMMYFUNCTION("""COMPUTED_VALUE"""),"california")</f>
        <v>california</v>
      </c>
      <c r="D1577" s="9" t="str">
        <f>IFERROR(__xludf.DUMMYFUNCTION("""COMPUTED_VALUE"""),"Staglin, Estate Cabernet Sauvignon, Napa Valley")</f>
        <v>Staglin, Estate Cabernet Sauvignon, Napa Valley</v>
      </c>
      <c r="E1577" s="9">
        <f>IFERROR(__xludf.DUMMYFUNCTION("""COMPUTED_VALUE"""),2013.0)</f>
        <v>2013</v>
      </c>
      <c r="F1577" s="9">
        <f>IFERROR(__xludf.DUMMYFUNCTION("""COMPUTED_VALUE"""),750.0)</f>
        <v>750</v>
      </c>
      <c r="G1577" s="9">
        <f>IFERROR(__xludf.DUMMYFUNCTION("""COMPUTED_VALUE"""),6.0)</f>
        <v>6</v>
      </c>
      <c r="H1577" s="10">
        <f>IFERROR(__xludf.DUMMYFUNCTION("""COMPUTED_VALUE"""),1.0)</f>
        <v>1</v>
      </c>
      <c r="I1577" s="11">
        <f>IFERROR(__xludf.DUMMYFUNCTION("""COMPUTED_VALUE"""),1107.0)</f>
        <v>1107</v>
      </c>
      <c r="J1577" s="9" t="str">
        <f>IFERROR(__xludf.DUMMYFUNCTION("""COMPUTED_VALUE"""),"UK")</f>
        <v>UK</v>
      </c>
      <c r="K1577" s="8"/>
      <c r="L1577" s="12"/>
      <c r="M1577" s="13"/>
      <c r="N1577" s="13" t="str">
        <f>IFERROR(__xludf.DUMMYFUNCTION("IF(ISBLANK(M1577),"""",M1577*GOOGLEFINANCE(""USDGBP""))"),"")</f>
        <v/>
      </c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8"/>
      <c r="FV1577" s="8"/>
      <c r="FW1577" s="8"/>
      <c r="FX1577" s="8"/>
      <c r="FY1577" s="8"/>
      <c r="FZ1577" s="8"/>
      <c r="GA1577" s="8"/>
      <c r="GB1577" s="8"/>
      <c r="GC1577" s="8"/>
      <c r="GD1577" s="8"/>
      <c r="GE1577" s="8"/>
      <c r="GF1577" s="8"/>
      <c r="GG1577" s="8"/>
      <c r="GH1577" s="8"/>
      <c r="GI1577" s="8"/>
      <c r="GJ1577" s="8"/>
      <c r="GK1577" s="8"/>
      <c r="GL1577" s="8"/>
      <c r="GM1577" s="8"/>
      <c r="GN1577" s="8"/>
      <c r="GO1577" s="8"/>
      <c r="GP1577" s="8"/>
      <c r="GQ1577" s="8"/>
      <c r="GR1577" s="8"/>
      <c r="GS1577" s="8"/>
      <c r="GT1577" s="8"/>
      <c r="GU1577" s="8"/>
      <c r="GV1577" s="8"/>
      <c r="GW1577" s="8"/>
      <c r="GX1577" s="8"/>
    </row>
    <row r="1578">
      <c r="A1578" s="8" t="str">
        <f>IFERROR(__xludf.DUMMYFUNCTION("""COMPUTED_VALUE"""),"112345420150600750")</f>
        <v>112345420150600750</v>
      </c>
      <c r="B1578" s="9" t="str">
        <f>IFERROR(__xludf.DUMMYFUNCTION("""COMPUTED_VALUE"""),"United States")</f>
        <v>United States</v>
      </c>
      <c r="C1578" s="9" t="str">
        <f>IFERROR(__xludf.DUMMYFUNCTION("""COMPUTED_VALUE"""),"california")</f>
        <v>california</v>
      </c>
      <c r="D1578" s="9" t="str">
        <f>IFERROR(__xludf.DUMMYFUNCTION("""COMPUTED_VALUE"""),"Staglin, Estate Cabernet Sauvignon, Napa Valley")</f>
        <v>Staglin, Estate Cabernet Sauvignon, Napa Valley</v>
      </c>
      <c r="E1578" s="9">
        <f>IFERROR(__xludf.DUMMYFUNCTION("""COMPUTED_VALUE"""),2015.0)</f>
        <v>2015</v>
      </c>
      <c r="F1578" s="9">
        <f>IFERROR(__xludf.DUMMYFUNCTION("""COMPUTED_VALUE"""),750.0)</f>
        <v>750</v>
      </c>
      <c r="G1578" s="9">
        <f>IFERROR(__xludf.DUMMYFUNCTION("""COMPUTED_VALUE"""),6.0)</f>
        <v>6</v>
      </c>
      <c r="H1578" s="10">
        <f>IFERROR(__xludf.DUMMYFUNCTION("""COMPUTED_VALUE"""),1.0)</f>
        <v>1</v>
      </c>
      <c r="I1578" s="11">
        <f>IFERROR(__xludf.DUMMYFUNCTION("""COMPUTED_VALUE"""),1257.0)</f>
        <v>1257</v>
      </c>
      <c r="J1578" s="9" t="str">
        <f>IFERROR(__xludf.DUMMYFUNCTION("""COMPUTED_VALUE"""),"UK")</f>
        <v>UK</v>
      </c>
      <c r="K1578" s="8"/>
      <c r="L1578" s="12"/>
      <c r="M1578" s="13"/>
      <c r="N1578" s="13" t="str">
        <f>IFERROR(__xludf.DUMMYFUNCTION("IF(ISBLANK(M1578),"""",M1578*GOOGLEFINANCE(""USDGBP""))"),"")</f>
        <v/>
      </c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  <c r="GA1578" s="8"/>
      <c r="GB1578" s="8"/>
      <c r="GC1578" s="8"/>
      <c r="GD1578" s="8"/>
      <c r="GE1578" s="8"/>
      <c r="GF1578" s="8"/>
      <c r="GG1578" s="8"/>
      <c r="GH1578" s="8"/>
      <c r="GI1578" s="8"/>
      <c r="GJ1578" s="8"/>
      <c r="GK1578" s="8"/>
      <c r="GL1578" s="8"/>
      <c r="GM1578" s="8"/>
      <c r="GN1578" s="8"/>
      <c r="GO1578" s="8"/>
      <c r="GP1578" s="8"/>
      <c r="GQ1578" s="8"/>
      <c r="GR1578" s="8"/>
      <c r="GS1578" s="8"/>
      <c r="GT1578" s="8"/>
      <c r="GU1578" s="8"/>
      <c r="GV1578" s="8"/>
      <c r="GW1578" s="8"/>
      <c r="GX1578" s="8"/>
    </row>
    <row r="1579">
      <c r="A1579" s="8" t="str">
        <f>IFERROR(__xludf.DUMMYFUNCTION("""COMPUTED_VALUE"""),"112345420160600750")</f>
        <v>112345420160600750</v>
      </c>
      <c r="B1579" s="9" t="str">
        <f>IFERROR(__xludf.DUMMYFUNCTION("""COMPUTED_VALUE"""),"United States")</f>
        <v>United States</v>
      </c>
      <c r="C1579" s="9" t="str">
        <f>IFERROR(__xludf.DUMMYFUNCTION("""COMPUTED_VALUE"""),"california")</f>
        <v>california</v>
      </c>
      <c r="D1579" s="9" t="str">
        <f>IFERROR(__xludf.DUMMYFUNCTION("""COMPUTED_VALUE"""),"Staglin, Estate Cabernet Sauvignon, Napa Valley")</f>
        <v>Staglin, Estate Cabernet Sauvignon, Napa Valley</v>
      </c>
      <c r="E1579" s="9">
        <f>IFERROR(__xludf.DUMMYFUNCTION("""COMPUTED_VALUE"""),2016.0)</f>
        <v>2016</v>
      </c>
      <c r="F1579" s="9">
        <f>IFERROR(__xludf.DUMMYFUNCTION("""COMPUTED_VALUE"""),750.0)</f>
        <v>750</v>
      </c>
      <c r="G1579" s="9">
        <f>IFERROR(__xludf.DUMMYFUNCTION("""COMPUTED_VALUE"""),6.0)</f>
        <v>6</v>
      </c>
      <c r="H1579" s="10">
        <f>IFERROR(__xludf.DUMMYFUNCTION("""COMPUTED_VALUE"""),2.0)</f>
        <v>2</v>
      </c>
      <c r="I1579" s="11">
        <f>IFERROR(__xludf.DUMMYFUNCTION("""COMPUTED_VALUE"""),1427.0)</f>
        <v>1427</v>
      </c>
      <c r="J1579" s="9" t="str">
        <f>IFERROR(__xludf.DUMMYFUNCTION("""COMPUTED_VALUE"""),"UK")</f>
        <v>UK</v>
      </c>
      <c r="K1579" s="8"/>
      <c r="L1579" s="12"/>
      <c r="M1579" s="13"/>
      <c r="N1579" s="13" t="str">
        <f>IFERROR(__xludf.DUMMYFUNCTION("IF(ISBLANK(M1579),"""",M1579*GOOGLEFINANCE(""USDGBP""))"),"")</f>
        <v/>
      </c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8"/>
      <c r="FV1579" s="8"/>
      <c r="FW1579" s="8"/>
      <c r="FX1579" s="8"/>
      <c r="FY1579" s="8"/>
      <c r="FZ1579" s="8"/>
      <c r="GA1579" s="8"/>
      <c r="GB1579" s="8"/>
      <c r="GC1579" s="8"/>
      <c r="GD1579" s="8"/>
      <c r="GE1579" s="8"/>
      <c r="GF1579" s="8"/>
      <c r="GG1579" s="8"/>
      <c r="GH1579" s="8"/>
      <c r="GI1579" s="8"/>
      <c r="GJ1579" s="8"/>
      <c r="GK1579" s="8"/>
      <c r="GL1579" s="8"/>
      <c r="GM1579" s="8"/>
      <c r="GN1579" s="8"/>
      <c r="GO1579" s="8"/>
      <c r="GP1579" s="8"/>
      <c r="GQ1579" s="8"/>
      <c r="GR1579" s="8"/>
      <c r="GS1579" s="8"/>
      <c r="GT1579" s="8"/>
      <c r="GU1579" s="8"/>
      <c r="GV1579" s="8"/>
      <c r="GW1579" s="8"/>
      <c r="GX1579" s="8"/>
    </row>
    <row r="1580">
      <c r="A1580" s="8" t="str">
        <f>IFERROR(__xludf.DUMMYFUNCTION("""COMPUTED_VALUE"""),"135923920160600750")</f>
        <v>135923920160600750</v>
      </c>
      <c r="B1580" s="9" t="str">
        <f>IFERROR(__xludf.DUMMYFUNCTION("""COMPUTED_VALUE"""),"United States")</f>
        <v>United States</v>
      </c>
      <c r="C1580" s="9" t="str">
        <f>IFERROR(__xludf.DUMMYFUNCTION("""COMPUTED_VALUE"""),"california")</f>
        <v>california</v>
      </c>
      <c r="D1580" s="9" t="str">
        <f>IFERROR(__xludf.DUMMYFUNCTION("""COMPUTED_VALUE"""),"The Mascot, Cabernet Sauvignon, Napa Valley")</f>
        <v>The Mascot, Cabernet Sauvignon, Napa Valley</v>
      </c>
      <c r="E1580" s="9">
        <f>IFERROR(__xludf.DUMMYFUNCTION("""COMPUTED_VALUE"""),2016.0)</f>
        <v>2016</v>
      </c>
      <c r="F1580" s="9">
        <f>IFERROR(__xludf.DUMMYFUNCTION("""COMPUTED_VALUE"""),750.0)</f>
        <v>750</v>
      </c>
      <c r="G1580" s="9">
        <f>IFERROR(__xludf.DUMMYFUNCTION("""COMPUTED_VALUE"""),6.0)</f>
        <v>6</v>
      </c>
      <c r="H1580" s="10">
        <f>IFERROR(__xludf.DUMMYFUNCTION("""COMPUTED_VALUE"""),2.0)</f>
        <v>2</v>
      </c>
      <c r="I1580" s="11">
        <f>IFERROR(__xludf.DUMMYFUNCTION("""COMPUTED_VALUE"""),823.0)</f>
        <v>823</v>
      </c>
      <c r="J1580" s="9" t="str">
        <f>IFERROR(__xludf.DUMMYFUNCTION("""COMPUTED_VALUE"""),"UK")</f>
        <v>UK</v>
      </c>
      <c r="K1580" s="8"/>
      <c r="L1580" s="12"/>
      <c r="M1580" s="13"/>
      <c r="N1580" s="13" t="str">
        <f>IFERROR(__xludf.DUMMYFUNCTION("IF(ISBLANK(M1580),"""",M1580*GOOGLEFINANCE(""USDGBP""))"),"")</f>
        <v/>
      </c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  <c r="GA1580" s="8"/>
      <c r="GB1580" s="8"/>
      <c r="GC1580" s="8"/>
      <c r="GD1580" s="8"/>
      <c r="GE1580" s="8"/>
      <c r="GF1580" s="8"/>
      <c r="GG1580" s="8"/>
      <c r="GH1580" s="8"/>
      <c r="GI1580" s="8"/>
      <c r="GJ1580" s="8"/>
      <c r="GK1580" s="8"/>
      <c r="GL1580" s="8"/>
      <c r="GM1580" s="8"/>
      <c r="GN1580" s="8"/>
      <c r="GO1580" s="8"/>
      <c r="GP1580" s="8"/>
      <c r="GQ1580" s="8"/>
      <c r="GR1580" s="8"/>
      <c r="GS1580" s="8"/>
      <c r="GT1580" s="8"/>
      <c r="GU1580" s="8"/>
      <c r="GV1580" s="8"/>
      <c r="GW1580" s="8"/>
      <c r="GX1580" s="8"/>
    </row>
    <row r="1581">
      <c r="A1581" s="8" t="str">
        <f>IFERROR(__xludf.DUMMYFUNCTION("""COMPUTED_VALUE"""),"135923920170600750")</f>
        <v>135923920170600750</v>
      </c>
      <c r="B1581" s="9" t="str">
        <f>IFERROR(__xludf.DUMMYFUNCTION("""COMPUTED_VALUE"""),"United States")</f>
        <v>United States</v>
      </c>
      <c r="C1581" s="9" t="str">
        <f>IFERROR(__xludf.DUMMYFUNCTION("""COMPUTED_VALUE"""),"california")</f>
        <v>california</v>
      </c>
      <c r="D1581" s="9" t="str">
        <f>IFERROR(__xludf.DUMMYFUNCTION("""COMPUTED_VALUE"""),"The Mascot, Cabernet Sauvignon, Napa Valley")</f>
        <v>The Mascot, Cabernet Sauvignon, Napa Valley</v>
      </c>
      <c r="E1581" s="9">
        <f>IFERROR(__xludf.DUMMYFUNCTION("""COMPUTED_VALUE"""),2017.0)</f>
        <v>2017</v>
      </c>
      <c r="F1581" s="9">
        <f>IFERROR(__xludf.DUMMYFUNCTION("""COMPUTED_VALUE"""),750.0)</f>
        <v>750</v>
      </c>
      <c r="G1581" s="9">
        <f>IFERROR(__xludf.DUMMYFUNCTION("""COMPUTED_VALUE"""),6.0)</f>
        <v>6</v>
      </c>
      <c r="H1581" s="10">
        <f>IFERROR(__xludf.DUMMYFUNCTION("""COMPUTED_VALUE"""),2.0)</f>
        <v>2</v>
      </c>
      <c r="I1581" s="11">
        <f>IFERROR(__xludf.DUMMYFUNCTION("""COMPUTED_VALUE"""),708.0)</f>
        <v>708</v>
      </c>
      <c r="J1581" s="9" t="str">
        <f>IFERROR(__xludf.DUMMYFUNCTION("""COMPUTED_VALUE"""),"UK")</f>
        <v>UK</v>
      </c>
      <c r="K1581" s="8"/>
      <c r="L1581" s="12"/>
      <c r="M1581" s="13"/>
      <c r="N1581" s="13" t="str">
        <f>IFERROR(__xludf.DUMMYFUNCTION("IF(ISBLANK(M1581),"""",M1581*GOOGLEFINANCE(""USDGBP""))"),"")</f>
        <v/>
      </c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  <c r="GG1581" s="8"/>
      <c r="GH1581" s="8"/>
      <c r="GI1581" s="8"/>
      <c r="GJ1581" s="8"/>
      <c r="GK1581" s="8"/>
      <c r="GL1581" s="8"/>
      <c r="GM1581" s="8"/>
      <c r="GN1581" s="8"/>
      <c r="GO1581" s="8"/>
      <c r="GP1581" s="8"/>
      <c r="GQ1581" s="8"/>
      <c r="GR1581" s="8"/>
      <c r="GS1581" s="8"/>
      <c r="GT1581" s="8"/>
      <c r="GU1581" s="8"/>
      <c r="GV1581" s="8"/>
      <c r="GW1581" s="8"/>
      <c r="GX1581" s="8"/>
    </row>
    <row r="1582">
      <c r="A1582" s="8" t="str">
        <f>IFERROR(__xludf.DUMMYFUNCTION("""COMPUTED_VALUE"""),"135923920180600750")</f>
        <v>135923920180600750</v>
      </c>
      <c r="B1582" s="9" t="str">
        <f>IFERROR(__xludf.DUMMYFUNCTION("""COMPUTED_VALUE"""),"United States")</f>
        <v>United States</v>
      </c>
      <c r="C1582" s="9" t="str">
        <f>IFERROR(__xludf.DUMMYFUNCTION("""COMPUTED_VALUE"""),"california")</f>
        <v>california</v>
      </c>
      <c r="D1582" s="9" t="str">
        <f>IFERROR(__xludf.DUMMYFUNCTION("""COMPUTED_VALUE"""),"The Mascot, Cabernet Sauvignon, Napa Valley")</f>
        <v>The Mascot, Cabernet Sauvignon, Napa Valley</v>
      </c>
      <c r="E1582" s="9">
        <f>IFERROR(__xludf.DUMMYFUNCTION("""COMPUTED_VALUE"""),2018.0)</f>
        <v>2018</v>
      </c>
      <c r="F1582" s="9">
        <f>IFERROR(__xludf.DUMMYFUNCTION("""COMPUTED_VALUE"""),750.0)</f>
        <v>750</v>
      </c>
      <c r="G1582" s="9">
        <f>IFERROR(__xludf.DUMMYFUNCTION("""COMPUTED_VALUE"""),6.0)</f>
        <v>6</v>
      </c>
      <c r="H1582" s="10">
        <f>IFERROR(__xludf.DUMMYFUNCTION("""COMPUTED_VALUE"""),3.0)</f>
        <v>3</v>
      </c>
      <c r="I1582" s="11">
        <f>IFERROR(__xludf.DUMMYFUNCTION("""COMPUTED_VALUE"""),862.0)</f>
        <v>862</v>
      </c>
      <c r="J1582" s="9" t="str">
        <f>IFERROR(__xludf.DUMMYFUNCTION("""COMPUTED_VALUE"""),"UK")</f>
        <v>UK</v>
      </c>
      <c r="K1582" s="8"/>
      <c r="L1582" s="12"/>
      <c r="M1582" s="13"/>
      <c r="N1582" s="13" t="str">
        <f>IFERROR(__xludf.DUMMYFUNCTION("IF(ISBLANK(M1582),"""",M1582*GOOGLEFINANCE(""USDGBP""))"),"")</f>
        <v/>
      </c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  <c r="GG1582" s="8"/>
      <c r="GH1582" s="8"/>
      <c r="GI1582" s="8"/>
      <c r="GJ1582" s="8"/>
      <c r="GK1582" s="8"/>
      <c r="GL1582" s="8"/>
      <c r="GM1582" s="8"/>
      <c r="GN1582" s="8"/>
      <c r="GO1582" s="8"/>
      <c r="GP1582" s="8"/>
      <c r="GQ1582" s="8"/>
      <c r="GR1582" s="8"/>
      <c r="GS1582" s="8"/>
      <c r="GT1582" s="8"/>
      <c r="GU1582" s="8"/>
      <c r="GV1582" s="8"/>
      <c r="GW1582" s="8"/>
      <c r="GX1582" s="8"/>
    </row>
    <row r="1583">
      <c r="A1583" s="8" t="str">
        <f>IFERROR(__xludf.DUMMYFUNCTION("""COMPUTED_VALUE"""),"136706720141200750")</f>
        <v>136706720141200750</v>
      </c>
      <c r="B1583" s="9" t="str">
        <f>IFERROR(__xludf.DUMMYFUNCTION("""COMPUTED_VALUE"""),"United States")</f>
        <v>United States</v>
      </c>
      <c r="C1583" s="9" t="str">
        <f>IFERROR(__xludf.DUMMYFUNCTION("""COMPUTED_VALUE"""),"california")</f>
        <v>california</v>
      </c>
      <c r="D1583" s="9" t="str">
        <f>IFERROR(__xludf.DUMMYFUNCTION("""COMPUTED_VALUE"""),"Twomey, Merlot, Napa Valley")</f>
        <v>Twomey, Merlot, Napa Valley</v>
      </c>
      <c r="E1583" s="9">
        <f>IFERROR(__xludf.DUMMYFUNCTION("""COMPUTED_VALUE"""),2014.0)</f>
        <v>2014</v>
      </c>
      <c r="F1583" s="9">
        <f>IFERROR(__xludf.DUMMYFUNCTION("""COMPUTED_VALUE"""),750.0)</f>
        <v>750</v>
      </c>
      <c r="G1583" s="9">
        <f>IFERROR(__xludf.DUMMYFUNCTION("""COMPUTED_VALUE"""),12.0)</f>
        <v>12</v>
      </c>
      <c r="H1583" s="10">
        <f>IFERROR(__xludf.DUMMYFUNCTION("""COMPUTED_VALUE"""),1.0)</f>
        <v>1</v>
      </c>
      <c r="I1583" s="11">
        <f>IFERROR(__xludf.DUMMYFUNCTION("""COMPUTED_VALUE"""),827.0)</f>
        <v>827</v>
      </c>
      <c r="J1583" s="9" t="str">
        <f>IFERROR(__xludf.DUMMYFUNCTION("""COMPUTED_VALUE"""),"UK")</f>
        <v>UK</v>
      </c>
      <c r="K1583" s="8"/>
      <c r="L1583" s="12"/>
      <c r="M1583" s="13"/>
      <c r="N1583" s="13" t="str">
        <f>IFERROR(__xludf.DUMMYFUNCTION("IF(ISBLANK(M1583),"""",M1583*GOOGLEFINANCE(""USDGBP""))"),"")</f>
        <v/>
      </c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  <c r="GA1583" s="8"/>
      <c r="GB1583" s="8"/>
      <c r="GC1583" s="8"/>
      <c r="GD1583" s="8"/>
      <c r="GE1583" s="8"/>
      <c r="GF1583" s="8"/>
      <c r="GG1583" s="8"/>
      <c r="GH1583" s="8"/>
      <c r="GI1583" s="8"/>
      <c r="GJ1583" s="8"/>
      <c r="GK1583" s="8"/>
      <c r="GL1583" s="8"/>
      <c r="GM1583" s="8"/>
      <c r="GN1583" s="8"/>
      <c r="GO1583" s="8"/>
      <c r="GP1583" s="8"/>
      <c r="GQ1583" s="8"/>
      <c r="GR1583" s="8"/>
      <c r="GS1583" s="8"/>
      <c r="GT1583" s="8"/>
      <c r="GU1583" s="8"/>
      <c r="GV1583" s="8"/>
      <c r="GW1583" s="8"/>
      <c r="GX1583" s="8"/>
    </row>
    <row r="1584">
      <c r="A1584" s="8" t="str">
        <f>IFERROR(__xludf.DUMMYFUNCTION("""COMPUTED_VALUE"""),"166086520120600750")</f>
        <v>166086520120600750</v>
      </c>
      <c r="B1584" s="9" t="str">
        <f>IFERROR(__xludf.DUMMYFUNCTION("""COMPUTED_VALUE"""),"United States")</f>
        <v>United States</v>
      </c>
      <c r="C1584" s="9" t="str">
        <f>IFERROR(__xludf.DUMMYFUNCTION("""COMPUTED_VALUE"""),"california")</f>
        <v>california</v>
      </c>
      <c r="D1584" s="9" t="str">
        <f>IFERROR(__xludf.DUMMYFUNCTION("""COMPUTED_VALUE"""),"Ulysses, Cabernet Sauvignon, Napa Valley")</f>
        <v>Ulysses, Cabernet Sauvignon, Napa Valley</v>
      </c>
      <c r="E1584" s="9">
        <f>IFERROR(__xludf.DUMMYFUNCTION("""COMPUTED_VALUE"""),2012.0)</f>
        <v>2012</v>
      </c>
      <c r="F1584" s="9">
        <f>IFERROR(__xludf.DUMMYFUNCTION("""COMPUTED_VALUE"""),750.0)</f>
        <v>750</v>
      </c>
      <c r="G1584" s="9">
        <f>IFERROR(__xludf.DUMMYFUNCTION("""COMPUTED_VALUE"""),6.0)</f>
        <v>6</v>
      </c>
      <c r="H1584" s="10">
        <f>IFERROR(__xludf.DUMMYFUNCTION("""COMPUTED_VALUE"""),4.0)</f>
        <v>4</v>
      </c>
      <c r="I1584" s="11">
        <f>IFERROR(__xludf.DUMMYFUNCTION("""COMPUTED_VALUE"""),598.0)</f>
        <v>598</v>
      </c>
      <c r="J1584" s="9" t="str">
        <f>IFERROR(__xludf.DUMMYFUNCTION("""COMPUTED_VALUE"""),"UK")</f>
        <v>UK</v>
      </c>
      <c r="K1584" s="8"/>
      <c r="L1584" s="12"/>
      <c r="M1584" s="13"/>
      <c r="N1584" s="13" t="str">
        <f>IFERROR(__xludf.DUMMYFUNCTION("IF(ISBLANK(M1584),"""",M1584*GOOGLEFINANCE(""USDGBP""))"),"")</f>
        <v/>
      </c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</row>
    <row r="1585">
      <c r="A1585" s="8" t="str">
        <f>IFERROR(__xludf.DUMMYFUNCTION("""COMPUTED_VALUE"""),"166086520140600750")</f>
        <v>166086520140600750</v>
      </c>
      <c r="B1585" s="9" t="str">
        <f>IFERROR(__xludf.DUMMYFUNCTION("""COMPUTED_VALUE"""),"United States")</f>
        <v>United States</v>
      </c>
      <c r="C1585" s="9" t="str">
        <f>IFERROR(__xludf.DUMMYFUNCTION("""COMPUTED_VALUE"""),"california")</f>
        <v>california</v>
      </c>
      <c r="D1585" s="9" t="str">
        <f>IFERROR(__xludf.DUMMYFUNCTION("""COMPUTED_VALUE"""),"Ulysses, Cabernet Sauvignon, Napa Valley")</f>
        <v>Ulysses, Cabernet Sauvignon, Napa Valley</v>
      </c>
      <c r="E1585" s="9">
        <f>IFERROR(__xludf.DUMMYFUNCTION("""COMPUTED_VALUE"""),2014.0)</f>
        <v>2014</v>
      </c>
      <c r="F1585" s="9">
        <f>IFERROR(__xludf.DUMMYFUNCTION("""COMPUTED_VALUE"""),750.0)</f>
        <v>750</v>
      </c>
      <c r="G1585" s="9">
        <f>IFERROR(__xludf.DUMMYFUNCTION("""COMPUTED_VALUE"""),6.0)</f>
        <v>6</v>
      </c>
      <c r="H1585" s="10">
        <f>IFERROR(__xludf.DUMMYFUNCTION("""COMPUTED_VALUE"""),3.0)</f>
        <v>3</v>
      </c>
      <c r="I1585" s="11">
        <f>IFERROR(__xludf.DUMMYFUNCTION("""COMPUTED_VALUE"""),604.0)</f>
        <v>604</v>
      </c>
      <c r="J1585" s="9" t="str">
        <f>IFERROR(__xludf.DUMMYFUNCTION("""COMPUTED_VALUE"""),"UK")</f>
        <v>UK</v>
      </c>
      <c r="K1585" s="8"/>
      <c r="L1585" s="12"/>
      <c r="M1585" s="13"/>
      <c r="N1585" s="13" t="str">
        <f>IFERROR(__xludf.DUMMYFUNCTION("IF(ISBLANK(M1585),"""",M1585*GOOGLEFINANCE(""USDGBP""))"),"")</f>
        <v/>
      </c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  <c r="GO1585" s="8"/>
      <c r="GP1585" s="8"/>
      <c r="GQ1585" s="8"/>
      <c r="GR1585" s="8"/>
      <c r="GS1585" s="8"/>
      <c r="GT1585" s="8"/>
      <c r="GU1585" s="8"/>
      <c r="GV1585" s="8"/>
      <c r="GW1585" s="8"/>
      <c r="GX1585" s="8"/>
    </row>
    <row r="1586">
      <c r="A1586" s="8" t="str">
        <f>IFERROR(__xludf.DUMMYFUNCTION("""COMPUTED_VALUE"""),"166086520150600750")</f>
        <v>166086520150600750</v>
      </c>
      <c r="B1586" s="9" t="str">
        <f>IFERROR(__xludf.DUMMYFUNCTION("""COMPUTED_VALUE"""),"United States")</f>
        <v>United States</v>
      </c>
      <c r="C1586" s="9" t="str">
        <f>IFERROR(__xludf.DUMMYFUNCTION("""COMPUTED_VALUE"""),"california")</f>
        <v>california</v>
      </c>
      <c r="D1586" s="9" t="str">
        <f>IFERROR(__xludf.DUMMYFUNCTION("""COMPUTED_VALUE"""),"Ulysses, Cabernet Sauvignon, Napa Valley")</f>
        <v>Ulysses, Cabernet Sauvignon, Napa Valley</v>
      </c>
      <c r="E1586" s="9">
        <f>IFERROR(__xludf.DUMMYFUNCTION("""COMPUTED_VALUE"""),2015.0)</f>
        <v>2015</v>
      </c>
      <c r="F1586" s="9">
        <f>IFERROR(__xludf.DUMMYFUNCTION("""COMPUTED_VALUE"""),750.0)</f>
        <v>750</v>
      </c>
      <c r="G1586" s="9">
        <f>IFERROR(__xludf.DUMMYFUNCTION("""COMPUTED_VALUE"""),6.0)</f>
        <v>6</v>
      </c>
      <c r="H1586" s="10">
        <f>IFERROR(__xludf.DUMMYFUNCTION("""COMPUTED_VALUE"""),8.0)</f>
        <v>8</v>
      </c>
      <c r="I1586" s="11">
        <f>IFERROR(__xludf.DUMMYFUNCTION("""COMPUTED_VALUE"""),677.0)</f>
        <v>677</v>
      </c>
      <c r="J1586" s="9" t="str">
        <f>IFERROR(__xludf.DUMMYFUNCTION("""COMPUTED_VALUE"""),"UK")</f>
        <v>UK</v>
      </c>
      <c r="K1586" s="8"/>
      <c r="L1586" s="12"/>
      <c r="M1586" s="13"/>
      <c r="N1586" s="13" t="str">
        <f>IFERROR(__xludf.DUMMYFUNCTION("IF(ISBLANK(M1586),"""",M1586*GOOGLEFINANCE(""USDGBP""))"),"")</f>
        <v/>
      </c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  <c r="GO1586" s="8"/>
      <c r="GP1586" s="8"/>
      <c r="GQ1586" s="8"/>
      <c r="GR1586" s="8"/>
      <c r="GS1586" s="8"/>
      <c r="GT1586" s="8"/>
      <c r="GU1586" s="8"/>
      <c r="GV1586" s="8"/>
      <c r="GW1586" s="8"/>
      <c r="GX1586" s="8"/>
    </row>
    <row r="1587">
      <c r="A1587" s="8" t="str">
        <f>IFERROR(__xludf.DUMMYFUNCTION("""COMPUTED_VALUE"""),"166086520160600750")</f>
        <v>166086520160600750</v>
      </c>
      <c r="B1587" s="9" t="str">
        <f>IFERROR(__xludf.DUMMYFUNCTION("""COMPUTED_VALUE"""),"United States")</f>
        <v>United States</v>
      </c>
      <c r="C1587" s="9" t="str">
        <f>IFERROR(__xludf.DUMMYFUNCTION("""COMPUTED_VALUE"""),"california")</f>
        <v>california</v>
      </c>
      <c r="D1587" s="9" t="str">
        <f>IFERROR(__xludf.DUMMYFUNCTION("""COMPUTED_VALUE"""),"Ulysses, Cabernet Sauvignon, Napa Valley")</f>
        <v>Ulysses, Cabernet Sauvignon, Napa Valley</v>
      </c>
      <c r="E1587" s="9">
        <f>IFERROR(__xludf.DUMMYFUNCTION("""COMPUTED_VALUE"""),2016.0)</f>
        <v>2016</v>
      </c>
      <c r="F1587" s="9">
        <f>IFERROR(__xludf.DUMMYFUNCTION("""COMPUTED_VALUE"""),750.0)</f>
        <v>750</v>
      </c>
      <c r="G1587" s="9">
        <f>IFERROR(__xludf.DUMMYFUNCTION("""COMPUTED_VALUE"""),6.0)</f>
        <v>6</v>
      </c>
      <c r="H1587" s="10">
        <f>IFERROR(__xludf.DUMMYFUNCTION("""COMPUTED_VALUE"""),3.0)</f>
        <v>3</v>
      </c>
      <c r="I1587" s="11">
        <f>IFERROR(__xludf.DUMMYFUNCTION("""COMPUTED_VALUE"""),767.0)</f>
        <v>767</v>
      </c>
      <c r="J1587" s="9" t="str">
        <f>IFERROR(__xludf.DUMMYFUNCTION("""COMPUTED_VALUE"""),"UK")</f>
        <v>UK</v>
      </c>
      <c r="K1587" s="8"/>
      <c r="L1587" s="12"/>
      <c r="M1587" s="13"/>
      <c r="N1587" s="13" t="str">
        <f>IFERROR(__xludf.DUMMYFUNCTION("IF(ISBLANK(M1587),"""",M1587*GOOGLEFINANCE(""USDGBP""))"),"")</f>
        <v/>
      </c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</row>
    <row r="1588">
      <c r="A1588" s="8" t="str">
        <f>IFERROR(__xludf.DUMMYFUNCTION("""COMPUTED_VALUE"""),"166086520170600750")</f>
        <v>166086520170600750</v>
      </c>
      <c r="B1588" s="9" t="str">
        <f>IFERROR(__xludf.DUMMYFUNCTION("""COMPUTED_VALUE"""),"United States")</f>
        <v>United States</v>
      </c>
      <c r="C1588" s="9" t="str">
        <f>IFERROR(__xludf.DUMMYFUNCTION("""COMPUTED_VALUE"""),"california")</f>
        <v>california</v>
      </c>
      <c r="D1588" s="9" t="str">
        <f>IFERROR(__xludf.DUMMYFUNCTION("""COMPUTED_VALUE"""),"Ulysses, Cabernet Sauvignon, Napa Valley")</f>
        <v>Ulysses, Cabernet Sauvignon, Napa Valley</v>
      </c>
      <c r="E1588" s="9">
        <f>IFERROR(__xludf.DUMMYFUNCTION("""COMPUTED_VALUE"""),2017.0)</f>
        <v>2017</v>
      </c>
      <c r="F1588" s="9">
        <f>IFERROR(__xludf.DUMMYFUNCTION("""COMPUTED_VALUE"""),750.0)</f>
        <v>750</v>
      </c>
      <c r="G1588" s="9">
        <f>IFERROR(__xludf.DUMMYFUNCTION("""COMPUTED_VALUE"""),6.0)</f>
        <v>6</v>
      </c>
      <c r="H1588" s="10">
        <f>IFERROR(__xludf.DUMMYFUNCTION("""COMPUTED_VALUE"""),3.0)</f>
        <v>3</v>
      </c>
      <c r="I1588" s="11">
        <f>IFERROR(__xludf.DUMMYFUNCTION("""COMPUTED_VALUE"""),610.0)</f>
        <v>610</v>
      </c>
      <c r="J1588" s="9" t="str">
        <f>IFERROR(__xludf.DUMMYFUNCTION("""COMPUTED_VALUE"""),"UK")</f>
        <v>UK</v>
      </c>
      <c r="K1588" s="8"/>
      <c r="L1588" s="12"/>
      <c r="M1588" s="13"/>
      <c r="N1588" s="13" t="str">
        <f>IFERROR(__xludf.DUMMYFUNCTION("IF(ISBLANK(M1588),"""",M1588*GOOGLEFINANCE(""USDGBP""))"),"")</f>
        <v/>
      </c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</row>
    <row r="1589">
      <c r="A1589" s="8" t="str">
        <f>IFERROR(__xludf.DUMMYFUNCTION("""COMPUTED_VALUE"""),"113584420130600750")</f>
        <v>113584420130600750</v>
      </c>
      <c r="B1589" s="9" t="str">
        <f>IFERROR(__xludf.DUMMYFUNCTION("""COMPUTED_VALUE"""),"United States")</f>
        <v>United States</v>
      </c>
      <c r="C1589" s="9" t="str">
        <f>IFERROR(__xludf.DUMMYFUNCTION("""COMPUTED_VALUE"""),"california")</f>
        <v>california</v>
      </c>
      <c r="D1589" s="9" t="str">
        <f>IFERROR(__xludf.DUMMYFUNCTION("""COMPUTED_VALUE"""),"Verite, La Joie, Sonoma County")</f>
        <v>Verite, La Joie, Sonoma County</v>
      </c>
      <c r="E1589" s="9">
        <f>IFERROR(__xludf.DUMMYFUNCTION("""COMPUTED_VALUE"""),2013.0)</f>
        <v>2013</v>
      </c>
      <c r="F1589" s="9">
        <f>IFERROR(__xludf.DUMMYFUNCTION("""COMPUTED_VALUE"""),750.0)</f>
        <v>750</v>
      </c>
      <c r="G1589" s="9">
        <f>IFERROR(__xludf.DUMMYFUNCTION("""COMPUTED_VALUE"""),6.0)</f>
        <v>6</v>
      </c>
      <c r="H1589" s="10">
        <f>IFERROR(__xludf.DUMMYFUNCTION("""COMPUTED_VALUE"""),1.0)</f>
        <v>1</v>
      </c>
      <c r="I1589" s="11">
        <f>IFERROR(__xludf.DUMMYFUNCTION("""COMPUTED_VALUE"""),1300.0)</f>
        <v>1300</v>
      </c>
      <c r="J1589" s="9" t="str">
        <f>IFERROR(__xludf.DUMMYFUNCTION("""COMPUTED_VALUE"""),"UK")</f>
        <v>UK</v>
      </c>
      <c r="K1589" s="8"/>
      <c r="L1589" s="12"/>
      <c r="M1589" s="13"/>
      <c r="N1589" s="13" t="str">
        <f>IFERROR(__xludf.DUMMYFUNCTION("IF(ISBLANK(M1589),"""",M1589*GOOGLEFINANCE(""USDGBP""))"),"")</f>
        <v/>
      </c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  <c r="GG1589" s="8"/>
      <c r="GH1589" s="8"/>
      <c r="GI1589" s="8"/>
      <c r="GJ1589" s="8"/>
      <c r="GK1589" s="8"/>
      <c r="GL1589" s="8"/>
      <c r="GM1589" s="8"/>
      <c r="GN1589" s="8"/>
      <c r="GO1589" s="8"/>
      <c r="GP1589" s="8"/>
      <c r="GQ1589" s="8"/>
      <c r="GR1589" s="8"/>
      <c r="GS1589" s="8"/>
      <c r="GT1589" s="8"/>
      <c r="GU1589" s="8"/>
      <c r="GV1589" s="8"/>
      <c r="GW1589" s="8"/>
      <c r="GX1589" s="8"/>
    </row>
    <row r="1590">
      <c r="A1590" s="8" t="str">
        <f>IFERROR(__xludf.DUMMYFUNCTION("""COMPUTED_VALUE"""),"113584420140300750")</f>
        <v>113584420140300750</v>
      </c>
      <c r="B1590" s="9" t="str">
        <f>IFERROR(__xludf.DUMMYFUNCTION("""COMPUTED_VALUE"""),"United States")</f>
        <v>United States</v>
      </c>
      <c r="C1590" s="9" t="str">
        <f>IFERROR(__xludf.DUMMYFUNCTION("""COMPUTED_VALUE"""),"california")</f>
        <v>california</v>
      </c>
      <c r="D1590" s="9" t="str">
        <f>IFERROR(__xludf.DUMMYFUNCTION("""COMPUTED_VALUE"""),"Verite, La Joie, Sonoma County")</f>
        <v>Verite, La Joie, Sonoma County</v>
      </c>
      <c r="E1590" s="9">
        <f>IFERROR(__xludf.DUMMYFUNCTION("""COMPUTED_VALUE"""),2014.0)</f>
        <v>2014</v>
      </c>
      <c r="F1590" s="9">
        <f>IFERROR(__xludf.DUMMYFUNCTION("""COMPUTED_VALUE"""),750.0)</f>
        <v>750</v>
      </c>
      <c r="G1590" s="9">
        <f>IFERROR(__xludf.DUMMYFUNCTION("""COMPUTED_VALUE"""),3.0)</f>
        <v>3</v>
      </c>
      <c r="H1590" s="10">
        <f>IFERROR(__xludf.DUMMYFUNCTION("""COMPUTED_VALUE"""),2.0)</f>
        <v>2</v>
      </c>
      <c r="I1590" s="11">
        <f>IFERROR(__xludf.DUMMYFUNCTION("""COMPUTED_VALUE"""),647.0)</f>
        <v>647</v>
      </c>
      <c r="J1590" s="9" t="str">
        <f>IFERROR(__xludf.DUMMYFUNCTION("""COMPUTED_VALUE"""),"UK")</f>
        <v>UK</v>
      </c>
      <c r="K1590" s="8"/>
      <c r="L1590" s="12"/>
      <c r="M1590" s="13"/>
      <c r="N1590" s="13" t="str">
        <f>IFERROR(__xludf.DUMMYFUNCTION("IF(ISBLANK(M1590),"""",M1590*GOOGLEFINANCE(""USDGBP""))"),"")</f>
        <v/>
      </c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  <c r="GA1590" s="8"/>
      <c r="GB1590" s="8"/>
      <c r="GC1590" s="8"/>
      <c r="GD1590" s="8"/>
      <c r="GE1590" s="8"/>
      <c r="GF1590" s="8"/>
      <c r="GG1590" s="8"/>
      <c r="GH1590" s="8"/>
      <c r="GI1590" s="8"/>
      <c r="GJ1590" s="8"/>
      <c r="GK1590" s="8"/>
      <c r="GL1590" s="8"/>
      <c r="GM1590" s="8"/>
      <c r="GN1590" s="8"/>
      <c r="GO1590" s="8"/>
      <c r="GP1590" s="8"/>
      <c r="GQ1590" s="8"/>
      <c r="GR1590" s="8"/>
      <c r="GS1590" s="8"/>
      <c r="GT1590" s="8"/>
      <c r="GU1590" s="8"/>
      <c r="GV1590" s="8"/>
      <c r="GW1590" s="8"/>
      <c r="GX1590" s="8"/>
    </row>
    <row r="1591">
      <c r="A1591" s="8" t="str">
        <f>IFERROR(__xludf.DUMMYFUNCTION("""COMPUTED_VALUE"""),"113584420180300750")</f>
        <v>113584420180300750</v>
      </c>
      <c r="B1591" s="9" t="str">
        <f>IFERROR(__xludf.DUMMYFUNCTION("""COMPUTED_VALUE"""),"United States")</f>
        <v>United States</v>
      </c>
      <c r="C1591" s="9" t="str">
        <f>IFERROR(__xludf.DUMMYFUNCTION("""COMPUTED_VALUE"""),"california")</f>
        <v>california</v>
      </c>
      <c r="D1591" s="9" t="str">
        <f>IFERROR(__xludf.DUMMYFUNCTION("""COMPUTED_VALUE"""),"Verite, La Joie, Sonoma County")</f>
        <v>Verite, La Joie, Sonoma County</v>
      </c>
      <c r="E1591" s="9">
        <f>IFERROR(__xludf.DUMMYFUNCTION("""COMPUTED_VALUE"""),2018.0)</f>
        <v>2018</v>
      </c>
      <c r="F1591" s="9">
        <f>IFERROR(__xludf.DUMMYFUNCTION("""COMPUTED_VALUE"""),750.0)</f>
        <v>750</v>
      </c>
      <c r="G1591" s="9">
        <f>IFERROR(__xludf.DUMMYFUNCTION("""COMPUTED_VALUE"""),3.0)</f>
        <v>3</v>
      </c>
      <c r="H1591" s="10">
        <f>IFERROR(__xludf.DUMMYFUNCTION("""COMPUTED_VALUE"""),1.0)</f>
        <v>1</v>
      </c>
      <c r="I1591" s="11">
        <f>IFERROR(__xludf.DUMMYFUNCTION("""COMPUTED_VALUE"""),736.0)</f>
        <v>736</v>
      </c>
      <c r="J1591" s="9" t="str">
        <f>IFERROR(__xludf.DUMMYFUNCTION("""COMPUTED_VALUE"""),"UK")</f>
        <v>UK</v>
      </c>
      <c r="K1591" s="8"/>
      <c r="L1591" s="12"/>
      <c r="M1591" s="13"/>
      <c r="N1591" s="13" t="str">
        <f>IFERROR(__xludf.DUMMYFUNCTION("IF(ISBLANK(M1591),"""",M1591*GOOGLEFINANCE(""USDGBP""))"),"")</f>
        <v/>
      </c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  <c r="GA1591" s="8"/>
      <c r="GB1591" s="8"/>
      <c r="GC1591" s="8"/>
      <c r="GD1591" s="8"/>
      <c r="GE1591" s="8"/>
      <c r="GF1591" s="8"/>
      <c r="GG1591" s="8"/>
      <c r="GH1591" s="8"/>
      <c r="GI1591" s="8"/>
      <c r="GJ1591" s="8"/>
      <c r="GK1591" s="8"/>
      <c r="GL1591" s="8"/>
      <c r="GM1591" s="8"/>
      <c r="GN1591" s="8"/>
      <c r="GO1591" s="8"/>
      <c r="GP1591" s="8"/>
      <c r="GQ1591" s="8"/>
      <c r="GR1591" s="8"/>
      <c r="GS1591" s="8"/>
      <c r="GT1591" s="8"/>
      <c r="GU1591" s="8"/>
      <c r="GV1591" s="8"/>
      <c r="GW1591" s="8"/>
      <c r="GX1591" s="8"/>
    </row>
    <row r="1592">
      <c r="A1592" s="8" t="str">
        <f>IFERROR(__xludf.DUMMYFUNCTION("""COMPUTED_VALUE"""),"113096620130600750")</f>
        <v>113096620130600750</v>
      </c>
      <c r="B1592" s="9" t="str">
        <f>IFERROR(__xludf.DUMMYFUNCTION("""COMPUTED_VALUE"""),"United States")</f>
        <v>United States</v>
      </c>
      <c r="C1592" s="9" t="str">
        <f>IFERROR(__xludf.DUMMYFUNCTION("""COMPUTED_VALUE"""),"california")</f>
        <v>california</v>
      </c>
      <c r="D1592" s="9" t="str">
        <f>IFERROR(__xludf.DUMMYFUNCTION("""COMPUTED_VALUE"""),"Verite, La Muse, Sonoma County")</f>
        <v>Verite, La Muse, Sonoma County</v>
      </c>
      <c r="E1592" s="9">
        <f>IFERROR(__xludf.DUMMYFUNCTION("""COMPUTED_VALUE"""),2013.0)</f>
        <v>2013</v>
      </c>
      <c r="F1592" s="9">
        <f>IFERROR(__xludf.DUMMYFUNCTION("""COMPUTED_VALUE"""),750.0)</f>
        <v>750</v>
      </c>
      <c r="G1592" s="9">
        <f>IFERROR(__xludf.DUMMYFUNCTION("""COMPUTED_VALUE"""),6.0)</f>
        <v>6</v>
      </c>
      <c r="H1592" s="10">
        <f>IFERROR(__xludf.DUMMYFUNCTION("""COMPUTED_VALUE"""),3.0)</f>
        <v>3</v>
      </c>
      <c r="I1592" s="11">
        <f>IFERROR(__xludf.DUMMYFUNCTION("""COMPUTED_VALUE"""),1389.0)</f>
        <v>1389</v>
      </c>
      <c r="J1592" s="9" t="str">
        <f>IFERROR(__xludf.DUMMYFUNCTION("""COMPUTED_VALUE"""),"UK")</f>
        <v>UK</v>
      </c>
      <c r="K1592" s="8"/>
      <c r="L1592" s="12"/>
      <c r="M1592" s="13"/>
      <c r="N1592" s="13" t="str">
        <f>IFERROR(__xludf.DUMMYFUNCTION("IF(ISBLANK(M1592),"""",M1592*GOOGLEFINANCE(""USDGBP""))"),"")</f>
        <v/>
      </c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  <c r="GA1592" s="8"/>
      <c r="GB1592" s="8"/>
      <c r="GC1592" s="8"/>
      <c r="GD1592" s="8"/>
      <c r="GE1592" s="8"/>
      <c r="GF1592" s="8"/>
      <c r="GG1592" s="8"/>
      <c r="GH1592" s="8"/>
      <c r="GI1592" s="8"/>
      <c r="GJ1592" s="8"/>
      <c r="GK1592" s="8"/>
      <c r="GL1592" s="8"/>
      <c r="GM1592" s="8"/>
      <c r="GN1592" s="8"/>
      <c r="GO1592" s="8"/>
      <c r="GP1592" s="8"/>
      <c r="GQ1592" s="8"/>
      <c r="GR1592" s="8"/>
      <c r="GS1592" s="8"/>
      <c r="GT1592" s="8"/>
      <c r="GU1592" s="8"/>
      <c r="GV1592" s="8"/>
      <c r="GW1592" s="8"/>
      <c r="GX1592" s="8"/>
    </row>
    <row r="1593">
      <c r="A1593" s="8" t="str">
        <f>IFERROR(__xludf.DUMMYFUNCTION("""COMPUTED_VALUE"""),"113096620140300750")</f>
        <v>113096620140300750</v>
      </c>
      <c r="B1593" s="9" t="str">
        <f>IFERROR(__xludf.DUMMYFUNCTION("""COMPUTED_VALUE"""),"United States")</f>
        <v>United States</v>
      </c>
      <c r="C1593" s="9" t="str">
        <f>IFERROR(__xludf.DUMMYFUNCTION("""COMPUTED_VALUE"""),"california")</f>
        <v>california</v>
      </c>
      <c r="D1593" s="9" t="str">
        <f>IFERROR(__xludf.DUMMYFUNCTION("""COMPUTED_VALUE"""),"Verite, La Muse, Sonoma County")</f>
        <v>Verite, La Muse, Sonoma County</v>
      </c>
      <c r="E1593" s="9">
        <f>IFERROR(__xludf.DUMMYFUNCTION("""COMPUTED_VALUE"""),2014.0)</f>
        <v>2014</v>
      </c>
      <c r="F1593" s="9">
        <f>IFERROR(__xludf.DUMMYFUNCTION("""COMPUTED_VALUE"""),750.0)</f>
        <v>750</v>
      </c>
      <c r="G1593" s="9">
        <f>IFERROR(__xludf.DUMMYFUNCTION("""COMPUTED_VALUE"""),3.0)</f>
        <v>3</v>
      </c>
      <c r="H1593" s="10">
        <f>IFERROR(__xludf.DUMMYFUNCTION("""COMPUTED_VALUE"""),5.0)</f>
        <v>5</v>
      </c>
      <c r="I1593" s="11">
        <f>IFERROR(__xludf.DUMMYFUNCTION("""COMPUTED_VALUE"""),649.0)</f>
        <v>649</v>
      </c>
      <c r="J1593" s="9" t="str">
        <f>IFERROR(__xludf.DUMMYFUNCTION("""COMPUTED_VALUE"""),"UK")</f>
        <v>UK</v>
      </c>
      <c r="K1593" s="8"/>
      <c r="L1593" s="12"/>
      <c r="M1593" s="13"/>
      <c r="N1593" s="13" t="str">
        <f>IFERROR(__xludf.DUMMYFUNCTION("IF(ISBLANK(M1593),"""",M1593*GOOGLEFINANCE(""USDGBP""))"),"")</f>
        <v/>
      </c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  <c r="GG1593" s="8"/>
      <c r="GH1593" s="8"/>
      <c r="GI1593" s="8"/>
      <c r="GJ1593" s="8"/>
      <c r="GK1593" s="8"/>
      <c r="GL1593" s="8"/>
      <c r="GM1593" s="8"/>
      <c r="GN1593" s="8"/>
      <c r="GO1593" s="8"/>
      <c r="GP1593" s="8"/>
      <c r="GQ1593" s="8"/>
      <c r="GR1593" s="8"/>
      <c r="GS1593" s="8"/>
      <c r="GT1593" s="8"/>
      <c r="GU1593" s="8"/>
      <c r="GV1593" s="8"/>
      <c r="GW1593" s="8"/>
      <c r="GX1593" s="8"/>
    </row>
    <row r="1594">
      <c r="A1594" s="8" t="str">
        <f>IFERROR(__xludf.DUMMYFUNCTION("""COMPUTED_VALUE"""),"113096620180300750")</f>
        <v>113096620180300750</v>
      </c>
      <c r="B1594" s="9" t="str">
        <f>IFERROR(__xludf.DUMMYFUNCTION("""COMPUTED_VALUE"""),"United States")</f>
        <v>United States</v>
      </c>
      <c r="C1594" s="9" t="str">
        <f>IFERROR(__xludf.DUMMYFUNCTION("""COMPUTED_VALUE"""),"california")</f>
        <v>california</v>
      </c>
      <c r="D1594" s="9" t="str">
        <f>IFERROR(__xludf.DUMMYFUNCTION("""COMPUTED_VALUE"""),"Verite, La Muse, Sonoma County")</f>
        <v>Verite, La Muse, Sonoma County</v>
      </c>
      <c r="E1594" s="9">
        <f>IFERROR(__xludf.DUMMYFUNCTION("""COMPUTED_VALUE"""),2018.0)</f>
        <v>2018</v>
      </c>
      <c r="F1594" s="9">
        <f>IFERROR(__xludf.DUMMYFUNCTION("""COMPUTED_VALUE"""),750.0)</f>
        <v>750</v>
      </c>
      <c r="G1594" s="9">
        <f>IFERROR(__xludf.DUMMYFUNCTION("""COMPUTED_VALUE"""),3.0)</f>
        <v>3</v>
      </c>
      <c r="H1594" s="10">
        <f>IFERROR(__xludf.DUMMYFUNCTION("""COMPUTED_VALUE"""),1.0)</f>
        <v>1</v>
      </c>
      <c r="I1594" s="11">
        <f>IFERROR(__xludf.DUMMYFUNCTION("""COMPUTED_VALUE"""),938.0)</f>
        <v>938</v>
      </c>
      <c r="J1594" s="9" t="str">
        <f>IFERROR(__xludf.DUMMYFUNCTION("""COMPUTED_VALUE"""),"UK")</f>
        <v>UK</v>
      </c>
      <c r="K1594" s="8"/>
      <c r="L1594" s="12"/>
      <c r="M1594" s="13"/>
      <c r="N1594" s="13" t="str">
        <f>IFERROR(__xludf.DUMMYFUNCTION("IF(ISBLANK(M1594),"""",M1594*GOOGLEFINANCE(""USDGBP""))"),"")</f>
        <v/>
      </c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  <c r="GA1594" s="8"/>
      <c r="GB1594" s="8"/>
      <c r="GC1594" s="8"/>
      <c r="GD1594" s="8"/>
      <c r="GE1594" s="8"/>
      <c r="GF1594" s="8"/>
      <c r="GG1594" s="8"/>
      <c r="GH1594" s="8"/>
      <c r="GI1594" s="8"/>
      <c r="GJ1594" s="8"/>
      <c r="GK1594" s="8"/>
      <c r="GL1594" s="8"/>
      <c r="GM1594" s="8"/>
      <c r="GN1594" s="8"/>
      <c r="GO1594" s="8"/>
      <c r="GP1594" s="8"/>
      <c r="GQ1594" s="8"/>
      <c r="GR1594" s="8"/>
      <c r="GS1594" s="8"/>
      <c r="GT1594" s="8"/>
      <c r="GU1594" s="8"/>
      <c r="GV1594" s="8"/>
      <c r="GW1594" s="8"/>
      <c r="GX1594" s="8"/>
    </row>
    <row r="1595">
      <c r="A1595" s="8" t="str">
        <f>IFERROR(__xludf.DUMMYFUNCTION("""COMPUTED_VALUE"""),"113583120120600750")</f>
        <v>113583120120600750</v>
      </c>
      <c r="B1595" s="9" t="str">
        <f>IFERROR(__xludf.DUMMYFUNCTION("""COMPUTED_VALUE"""),"United States")</f>
        <v>United States</v>
      </c>
      <c r="C1595" s="9" t="str">
        <f>IFERROR(__xludf.DUMMYFUNCTION("""COMPUTED_VALUE"""),"california")</f>
        <v>california</v>
      </c>
      <c r="D1595" s="9" t="str">
        <f>IFERROR(__xludf.DUMMYFUNCTION("""COMPUTED_VALUE"""),"Verite, Le Desir, Sonoma County")</f>
        <v>Verite, Le Desir, Sonoma County</v>
      </c>
      <c r="E1595" s="9">
        <f>IFERROR(__xludf.DUMMYFUNCTION("""COMPUTED_VALUE"""),2012.0)</f>
        <v>2012</v>
      </c>
      <c r="F1595" s="9">
        <f>IFERROR(__xludf.DUMMYFUNCTION("""COMPUTED_VALUE"""),750.0)</f>
        <v>750</v>
      </c>
      <c r="G1595" s="9">
        <f>IFERROR(__xludf.DUMMYFUNCTION("""COMPUTED_VALUE"""),6.0)</f>
        <v>6</v>
      </c>
      <c r="H1595" s="10">
        <f>IFERROR(__xludf.DUMMYFUNCTION("""COMPUTED_VALUE"""),1.0)</f>
        <v>1</v>
      </c>
      <c r="I1595" s="11">
        <f>IFERROR(__xludf.DUMMYFUNCTION("""COMPUTED_VALUE"""),1049.0)</f>
        <v>1049</v>
      </c>
      <c r="J1595" s="9" t="str">
        <f>IFERROR(__xludf.DUMMYFUNCTION("""COMPUTED_VALUE"""),"UK")</f>
        <v>UK</v>
      </c>
      <c r="K1595" s="8"/>
      <c r="L1595" s="12"/>
      <c r="M1595" s="13"/>
      <c r="N1595" s="13" t="str">
        <f>IFERROR(__xludf.DUMMYFUNCTION("IF(ISBLANK(M1595),"""",M1595*GOOGLEFINANCE(""USDGBP""))"),"")</f>
        <v/>
      </c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8"/>
      <c r="FV1595" s="8"/>
      <c r="FW1595" s="8"/>
      <c r="FX1595" s="8"/>
      <c r="FY1595" s="8"/>
      <c r="FZ1595" s="8"/>
      <c r="GA1595" s="8"/>
      <c r="GB1595" s="8"/>
      <c r="GC1595" s="8"/>
      <c r="GD1595" s="8"/>
      <c r="GE1595" s="8"/>
      <c r="GF1595" s="8"/>
      <c r="GG1595" s="8"/>
      <c r="GH1595" s="8"/>
      <c r="GI1595" s="8"/>
      <c r="GJ1595" s="8"/>
      <c r="GK1595" s="8"/>
      <c r="GL1595" s="8"/>
      <c r="GM1595" s="8"/>
      <c r="GN1595" s="8"/>
      <c r="GO1595" s="8"/>
      <c r="GP1595" s="8"/>
      <c r="GQ1595" s="8"/>
      <c r="GR1595" s="8"/>
      <c r="GS1595" s="8"/>
      <c r="GT1595" s="8"/>
      <c r="GU1595" s="8"/>
      <c r="GV1595" s="8"/>
      <c r="GW1595" s="8"/>
      <c r="GX1595" s="8"/>
    </row>
    <row r="1596">
      <c r="A1596" s="8" t="str">
        <f>IFERROR(__xludf.DUMMYFUNCTION("""COMPUTED_VALUE"""),"113583120130600750")</f>
        <v>113583120130600750</v>
      </c>
      <c r="B1596" s="9" t="str">
        <f>IFERROR(__xludf.DUMMYFUNCTION("""COMPUTED_VALUE"""),"United States")</f>
        <v>United States</v>
      </c>
      <c r="C1596" s="9" t="str">
        <f>IFERROR(__xludf.DUMMYFUNCTION("""COMPUTED_VALUE"""),"california")</f>
        <v>california</v>
      </c>
      <c r="D1596" s="9" t="str">
        <f>IFERROR(__xludf.DUMMYFUNCTION("""COMPUTED_VALUE"""),"Verite, Le Desir, Sonoma County")</f>
        <v>Verite, Le Desir, Sonoma County</v>
      </c>
      <c r="E1596" s="9">
        <f>IFERROR(__xludf.DUMMYFUNCTION("""COMPUTED_VALUE"""),2013.0)</f>
        <v>2013</v>
      </c>
      <c r="F1596" s="9">
        <f>IFERROR(__xludf.DUMMYFUNCTION("""COMPUTED_VALUE"""),750.0)</f>
        <v>750</v>
      </c>
      <c r="G1596" s="9">
        <f>IFERROR(__xludf.DUMMYFUNCTION("""COMPUTED_VALUE"""),6.0)</f>
        <v>6</v>
      </c>
      <c r="H1596" s="10">
        <f>IFERROR(__xludf.DUMMYFUNCTION("""COMPUTED_VALUE"""),1.0)</f>
        <v>1</v>
      </c>
      <c r="I1596" s="11">
        <f>IFERROR(__xludf.DUMMYFUNCTION("""COMPUTED_VALUE"""),1254.0)</f>
        <v>1254</v>
      </c>
      <c r="J1596" s="9" t="str">
        <f>IFERROR(__xludf.DUMMYFUNCTION("""COMPUTED_VALUE"""),"UK")</f>
        <v>UK</v>
      </c>
      <c r="K1596" s="8"/>
      <c r="L1596" s="12"/>
      <c r="M1596" s="13"/>
      <c r="N1596" s="13" t="str">
        <f>IFERROR(__xludf.DUMMYFUNCTION("IF(ISBLANK(M1596),"""",M1596*GOOGLEFINANCE(""USDGBP""))"),"")</f>
        <v/>
      </c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8"/>
      <c r="FV1596" s="8"/>
      <c r="FW1596" s="8"/>
      <c r="FX1596" s="8"/>
      <c r="FY1596" s="8"/>
      <c r="FZ1596" s="8"/>
      <c r="GA1596" s="8"/>
      <c r="GB1596" s="8"/>
      <c r="GC1596" s="8"/>
      <c r="GD1596" s="8"/>
      <c r="GE1596" s="8"/>
      <c r="GF1596" s="8"/>
      <c r="GG1596" s="8"/>
      <c r="GH1596" s="8"/>
      <c r="GI1596" s="8"/>
      <c r="GJ1596" s="8"/>
      <c r="GK1596" s="8"/>
      <c r="GL1596" s="8"/>
      <c r="GM1596" s="8"/>
      <c r="GN1596" s="8"/>
      <c r="GO1596" s="8"/>
      <c r="GP1596" s="8"/>
      <c r="GQ1596" s="8"/>
      <c r="GR1596" s="8"/>
      <c r="GS1596" s="8"/>
      <c r="GT1596" s="8"/>
      <c r="GU1596" s="8"/>
      <c r="GV1596" s="8"/>
      <c r="GW1596" s="8"/>
      <c r="GX1596" s="8"/>
    </row>
    <row r="1597">
      <c r="A1597" s="8" t="str">
        <f>IFERROR(__xludf.DUMMYFUNCTION("""COMPUTED_VALUE"""),"113583120130101500")</f>
        <v>113583120130101500</v>
      </c>
      <c r="B1597" s="9" t="str">
        <f>IFERROR(__xludf.DUMMYFUNCTION("""COMPUTED_VALUE"""),"United States")</f>
        <v>United States</v>
      </c>
      <c r="C1597" s="9" t="str">
        <f>IFERROR(__xludf.DUMMYFUNCTION("""COMPUTED_VALUE"""),"california")</f>
        <v>california</v>
      </c>
      <c r="D1597" s="9" t="str">
        <f>IFERROR(__xludf.DUMMYFUNCTION("""COMPUTED_VALUE"""),"Verite, Le Desir, Sonoma County")</f>
        <v>Verite, Le Desir, Sonoma County</v>
      </c>
      <c r="E1597" s="9">
        <f>IFERROR(__xludf.DUMMYFUNCTION("""COMPUTED_VALUE"""),2013.0)</f>
        <v>2013</v>
      </c>
      <c r="F1597" s="9">
        <f>IFERROR(__xludf.DUMMYFUNCTION("""COMPUTED_VALUE"""),1500.0)</f>
        <v>1500</v>
      </c>
      <c r="G1597" s="9">
        <f>IFERROR(__xludf.DUMMYFUNCTION("""COMPUTED_VALUE"""),1.0)</f>
        <v>1</v>
      </c>
      <c r="H1597" s="10">
        <f>IFERROR(__xludf.DUMMYFUNCTION("""COMPUTED_VALUE"""),1.0)</f>
        <v>1</v>
      </c>
      <c r="I1597" s="11">
        <f>IFERROR(__xludf.DUMMYFUNCTION("""COMPUTED_VALUE"""),418.0)</f>
        <v>418</v>
      </c>
      <c r="J1597" s="9" t="str">
        <f>IFERROR(__xludf.DUMMYFUNCTION("""COMPUTED_VALUE"""),"UK")</f>
        <v>UK</v>
      </c>
      <c r="K1597" s="8"/>
      <c r="L1597" s="12"/>
      <c r="M1597" s="13"/>
      <c r="N1597" s="13" t="str">
        <f>IFERROR(__xludf.DUMMYFUNCTION("IF(ISBLANK(M1597),"""",M1597*GOOGLEFINANCE(""USDGBP""))"),"")</f>
        <v/>
      </c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  <c r="GA1597" s="8"/>
      <c r="GB1597" s="8"/>
      <c r="GC1597" s="8"/>
      <c r="GD1597" s="8"/>
      <c r="GE1597" s="8"/>
      <c r="GF1597" s="8"/>
      <c r="GG1597" s="8"/>
      <c r="GH1597" s="8"/>
      <c r="GI1597" s="8"/>
      <c r="GJ1597" s="8"/>
      <c r="GK1597" s="8"/>
      <c r="GL1597" s="8"/>
      <c r="GM1597" s="8"/>
      <c r="GN1597" s="8"/>
      <c r="GO1597" s="8"/>
      <c r="GP1597" s="8"/>
      <c r="GQ1597" s="8"/>
      <c r="GR1597" s="8"/>
      <c r="GS1597" s="8"/>
      <c r="GT1597" s="8"/>
      <c r="GU1597" s="8"/>
      <c r="GV1597" s="8"/>
      <c r="GW1597" s="8"/>
      <c r="GX1597" s="8"/>
    </row>
    <row r="1598">
      <c r="A1598" s="8" t="str">
        <f>IFERROR(__xludf.DUMMYFUNCTION("""COMPUTED_VALUE"""),"113583120140300750")</f>
        <v>113583120140300750</v>
      </c>
      <c r="B1598" s="9" t="str">
        <f>IFERROR(__xludf.DUMMYFUNCTION("""COMPUTED_VALUE"""),"United States")</f>
        <v>United States</v>
      </c>
      <c r="C1598" s="9" t="str">
        <f>IFERROR(__xludf.DUMMYFUNCTION("""COMPUTED_VALUE"""),"california")</f>
        <v>california</v>
      </c>
      <c r="D1598" s="9" t="str">
        <f>IFERROR(__xludf.DUMMYFUNCTION("""COMPUTED_VALUE"""),"Verite, Le Desir, Sonoma County")</f>
        <v>Verite, Le Desir, Sonoma County</v>
      </c>
      <c r="E1598" s="9">
        <f>IFERROR(__xludf.DUMMYFUNCTION("""COMPUTED_VALUE"""),2014.0)</f>
        <v>2014</v>
      </c>
      <c r="F1598" s="9">
        <f>IFERROR(__xludf.DUMMYFUNCTION("""COMPUTED_VALUE"""),750.0)</f>
        <v>750</v>
      </c>
      <c r="G1598" s="9">
        <f>IFERROR(__xludf.DUMMYFUNCTION("""COMPUTED_VALUE"""),3.0)</f>
        <v>3</v>
      </c>
      <c r="H1598" s="10">
        <f>IFERROR(__xludf.DUMMYFUNCTION("""COMPUTED_VALUE"""),1.0)</f>
        <v>1</v>
      </c>
      <c r="I1598" s="11">
        <f>IFERROR(__xludf.DUMMYFUNCTION("""COMPUTED_VALUE"""),646.0)</f>
        <v>646</v>
      </c>
      <c r="J1598" s="9" t="str">
        <f>IFERROR(__xludf.DUMMYFUNCTION("""COMPUTED_VALUE"""),"UK")</f>
        <v>UK</v>
      </c>
      <c r="K1598" s="8"/>
      <c r="L1598" s="12"/>
      <c r="M1598" s="13"/>
      <c r="N1598" s="13" t="str">
        <f>IFERROR(__xludf.DUMMYFUNCTION("IF(ISBLANK(M1598),"""",M1598*GOOGLEFINANCE(""USDGBP""))"),"")</f>
        <v/>
      </c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  <c r="GG1598" s="8"/>
      <c r="GH1598" s="8"/>
      <c r="GI1598" s="8"/>
      <c r="GJ1598" s="8"/>
      <c r="GK1598" s="8"/>
      <c r="GL1598" s="8"/>
      <c r="GM1598" s="8"/>
      <c r="GN1598" s="8"/>
      <c r="GO1598" s="8"/>
      <c r="GP1598" s="8"/>
      <c r="GQ1598" s="8"/>
      <c r="GR1598" s="8"/>
      <c r="GS1598" s="8"/>
      <c r="GT1598" s="8"/>
      <c r="GU1598" s="8"/>
      <c r="GV1598" s="8"/>
      <c r="GW1598" s="8"/>
      <c r="GX1598" s="8"/>
    </row>
    <row r="1599">
      <c r="A1599" s="8" t="str">
        <f>IFERROR(__xludf.DUMMYFUNCTION("""COMPUTED_VALUE"""),"186178320181200750")</f>
        <v>186178320181200750</v>
      </c>
      <c r="B1599" s="9" t="str">
        <f>IFERROR(__xludf.DUMMYFUNCTION("""COMPUTED_VALUE"""),"United States")</f>
        <v>United States</v>
      </c>
      <c r="C1599" s="9" t="str">
        <f>IFERROR(__xludf.DUMMYFUNCTION("""COMPUTED_VALUE"""),"california")</f>
        <v>california</v>
      </c>
      <c r="D1599" s="9" t="str">
        <f>IFERROR(__xludf.DUMMYFUNCTION("""COMPUTED_VALUE"""),"DAOU, Reserve Chardonnay, Paso Robles")</f>
        <v>DAOU, Reserve Chardonnay, Paso Robles</v>
      </c>
      <c r="E1599" s="9">
        <f>IFERROR(__xludf.DUMMYFUNCTION("""COMPUTED_VALUE"""),2018.0)</f>
        <v>2018</v>
      </c>
      <c r="F1599" s="9">
        <f>IFERROR(__xludf.DUMMYFUNCTION("""COMPUTED_VALUE"""),750.0)</f>
        <v>750</v>
      </c>
      <c r="G1599" s="9">
        <f>IFERROR(__xludf.DUMMYFUNCTION("""COMPUTED_VALUE"""),12.0)</f>
        <v>12</v>
      </c>
      <c r="H1599" s="10">
        <f>IFERROR(__xludf.DUMMYFUNCTION("""COMPUTED_VALUE"""),2.0)</f>
        <v>2</v>
      </c>
      <c r="I1599" s="11">
        <f>IFERROR(__xludf.DUMMYFUNCTION("""COMPUTED_VALUE"""),363.0)</f>
        <v>363</v>
      </c>
      <c r="J1599" s="9" t="str">
        <f>IFERROR(__xludf.DUMMYFUNCTION("""COMPUTED_VALUE"""),"UK")</f>
        <v>UK</v>
      </c>
      <c r="K1599" s="8"/>
      <c r="L1599" s="12"/>
      <c r="M1599" s="13"/>
      <c r="N1599" s="13" t="str">
        <f>IFERROR(__xludf.DUMMYFUNCTION("IF(ISBLANK(M1599),"""",M1599*GOOGLEFINANCE(""USDGBP""))"),"")</f>
        <v/>
      </c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8"/>
      <c r="FV1599" s="8"/>
      <c r="FW1599" s="8"/>
      <c r="FX1599" s="8"/>
      <c r="FY1599" s="8"/>
      <c r="FZ1599" s="8"/>
      <c r="GA1599" s="8"/>
      <c r="GB1599" s="8"/>
      <c r="GC1599" s="8"/>
      <c r="GD1599" s="8"/>
      <c r="GE1599" s="8"/>
      <c r="GF1599" s="8"/>
      <c r="GG1599" s="8"/>
      <c r="GH1599" s="8"/>
      <c r="GI1599" s="8"/>
      <c r="GJ1599" s="8"/>
      <c r="GK1599" s="8"/>
      <c r="GL1599" s="8"/>
      <c r="GM1599" s="8"/>
      <c r="GN1599" s="8"/>
      <c r="GO1599" s="8"/>
      <c r="GP1599" s="8"/>
      <c r="GQ1599" s="8"/>
      <c r="GR1599" s="8"/>
      <c r="GS1599" s="8"/>
      <c r="GT1599" s="8"/>
      <c r="GU1599" s="8"/>
      <c r="GV1599" s="8"/>
      <c r="GW1599" s="8"/>
      <c r="GX1599" s="8"/>
    </row>
    <row r="1600">
      <c r="A1600" s="8" t="str">
        <f>IFERROR(__xludf.DUMMYFUNCTION("""COMPUTED_VALUE"""),"118493020120600750")</f>
        <v>118493020120600750</v>
      </c>
      <c r="B1600" s="9" t="str">
        <f>IFERROR(__xludf.DUMMYFUNCTION("""COMPUTED_VALUE"""),"United States")</f>
        <v>United States</v>
      </c>
      <c r="C1600" s="9" t="str">
        <f>IFERROR(__xludf.DUMMYFUNCTION("""COMPUTED_VALUE"""),"california")</f>
        <v>california</v>
      </c>
      <c r="D1600" s="9" t="str">
        <f>IFERROR(__xludf.DUMMYFUNCTION("""COMPUTED_VALUE"""),"Eisele Vineyard, Sauvignon Blanc, Napa Valley")</f>
        <v>Eisele Vineyard, Sauvignon Blanc, Napa Valley</v>
      </c>
      <c r="E1600" s="9">
        <f>IFERROR(__xludf.DUMMYFUNCTION("""COMPUTED_VALUE"""),2012.0)</f>
        <v>2012</v>
      </c>
      <c r="F1600" s="9">
        <f>IFERROR(__xludf.DUMMYFUNCTION("""COMPUTED_VALUE"""),750.0)</f>
        <v>750</v>
      </c>
      <c r="G1600" s="9">
        <f>IFERROR(__xludf.DUMMYFUNCTION("""COMPUTED_VALUE"""),6.0)</f>
        <v>6</v>
      </c>
      <c r="H1600" s="10">
        <f>IFERROR(__xludf.DUMMYFUNCTION("""COMPUTED_VALUE"""),1.0)</f>
        <v>1</v>
      </c>
      <c r="I1600" s="11">
        <f>IFERROR(__xludf.DUMMYFUNCTION("""COMPUTED_VALUE"""),565.0)</f>
        <v>565</v>
      </c>
      <c r="J1600" s="9" t="str">
        <f>IFERROR(__xludf.DUMMYFUNCTION("""COMPUTED_VALUE"""),"UK")</f>
        <v>UK</v>
      </c>
      <c r="K1600" s="8"/>
      <c r="L1600" s="12"/>
      <c r="M1600" s="13"/>
      <c r="N1600" s="13" t="str">
        <f>IFERROR(__xludf.DUMMYFUNCTION("IF(ISBLANK(M1600),"""",M1600*GOOGLEFINANCE(""USDGBP""))"),"")</f>
        <v/>
      </c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8"/>
      <c r="FJ1600" s="8"/>
      <c r="FK1600" s="8"/>
      <c r="FL1600" s="8"/>
      <c r="FM1600" s="8"/>
      <c r="FN1600" s="8"/>
      <c r="FO1600" s="8"/>
      <c r="FP1600" s="8"/>
      <c r="FQ1600" s="8"/>
      <c r="FR1600" s="8"/>
      <c r="FS1600" s="8"/>
      <c r="FT1600" s="8"/>
      <c r="FU1600" s="8"/>
      <c r="FV1600" s="8"/>
      <c r="FW1600" s="8"/>
      <c r="FX1600" s="8"/>
      <c r="FY1600" s="8"/>
      <c r="FZ1600" s="8"/>
      <c r="GA1600" s="8"/>
      <c r="GB1600" s="8"/>
      <c r="GC1600" s="8"/>
      <c r="GD1600" s="8"/>
      <c r="GE1600" s="8"/>
      <c r="GF1600" s="8"/>
      <c r="GG1600" s="8"/>
      <c r="GH1600" s="8"/>
      <c r="GI1600" s="8"/>
      <c r="GJ1600" s="8"/>
      <c r="GK1600" s="8"/>
      <c r="GL1600" s="8"/>
      <c r="GM1600" s="8"/>
      <c r="GN1600" s="8"/>
      <c r="GO1600" s="8"/>
      <c r="GP1600" s="8"/>
      <c r="GQ1600" s="8"/>
      <c r="GR1600" s="8"/>
      <c r="GS1600" s="8"/>
      <c r="GT1600" s="8"/>
      <c r="GU1600" s="8"/>
      <c r="GV1600" s="8"/>
      <c r="GW1600" s="8"/>
      <c r="GX1600" s="8"/>
    </row>
    <row r="1601">
      <c r="A1601" s="8" t="str">
        <f>IFERROR(__xludf.DUMMYFUNCTION("""COMPUTED_VALUE"""),"112254520181200750")</f>
        <v>112254520181200750</v>
      </c>
      <c r="B1601" s="9" t="str">
        <f>IFERROR(__xludf.DUMMYFUNCTION("""COMPUTED_VALUE"""),"United States")</f>
        <v>United States</v>
      </c>
      <c r="C1601" s="9" t="str">
        <f>IFERROR(__xludf.DUMMYFUNCTION("""COMPUTED_VALUE"""),"california")</f>
        <v>california</v>
      </c>
      <c r="D1601" s="9" t="str">
        <f>IFERROR(__xludf.DUMMYFUNCTION("""COMPUTED_VALUE"""),"Kongsgaard, Chardonnay, Napa Valley")</f>
        <v>Kongsgaard, Chardonnay, Napa Valley</v>
      </c>
      <c r="E1601" s="9">
        <f>IFERROR(__xludf.DUMMYFUNCTION("""COMPUTED_VALUE"""),2018.0)</f>
        <v>2018</v>
      </c>
      <c r="F1601" s="9">
        <f>IFERROR(__xludf.DUMMYFUNCTION("""COMPUTED_VALUE"""),750.0)</f>
        <v>750</v>
      </c>
      <c r="G1601" s="9">
        <f>IFERROR(__xludf.DUMMYFUNCTION("""COMPUTED_VALUE"""),12.0)</f>
        <v>12</v>
      </c>
      <c r="H1601" s="10">
        <f>IFERROR(__xludf.DUMMYFUNCTION("""COMPUTED_VALUE"""),2.0)</f>
        <v>2</v>
      </c>
      <c r="I1601" s="11">
        <f>IFERROR(__xludf.DUMMYFUNCTION("""COMPUTED_VALUE"""),1590.0)</f>
        <v>1590</v>
      </c>
      <c r="J1601" s="9" t="str">
        <f>IFERROR(__xludf.DUMMYFUNCTION("""COMPUTED_VALUE"""),"UK")</f>
        <v>UK</v>
      </c>
      <c r="K1601" s="8"/>
      <c r="L1601" s="12"/>
      <c r="M1601" s="13"/>
      <c r="N1601" s="13" t="str">
        <f>IFERROR(__xludf.DUMMYFUNCTION("IF(ISBLANK(M1601),"""",M1601*GOOGLEFINANCE(""USDGBP""))"),"")</f>
        <v/>
      </c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8"/>
      <c r="FJ1601" s="8"/>
      <c r="FK1601" s="8"/>
      <c r="FL1601" s="8"/>
      <c r="FM1601" s="8"/>
      <c r="FN1601" s="8"/>
      <c r="FO1601" s="8"/>
      <c r="FP1601" s="8"/>
      <c r="FQ1601" s="8"/>
      <c r="FR1601" s="8"/>
      <c r="FS1601" s="8"/>
      <c r="FT1601" s="8"/>
      <c r="FU1601" s="8"/>
      <c r="FV1601" s="8"/>
      <c r="FW1601" s="8"/>
      <c r="FX1601" s="8"/>
      <c r="FY1601" s="8"/>
      <c r="FZ1601" s="8"/>
      <c r="GA1601" s="8"/>
      <c r="GB1601" s="8"/>
      <c r="GC1601" s="8"/>
      <c r="GD1601" s="8"/>
      <c r="GE1601" s="8"/>
      <c r="GF1601" s="8"/>
      <c r="GG1601" s="8"/>
      <c r="GH1601" s="8"/>
      <c r="GI1601" s="8"/>
      <c r="GJ1601" s="8"/>
      <c r="GK1601" s="8"/>
      <c r="GL1601" s="8"/>
      <c r="GM1601" s="8"/>
      <c r="GN1601" s="8"/>
      <c r="GO1601" s="8"/>
      <c r="GP1601" s="8"/>
      <c r="GQ1601" s="8"/>
      <c r="GR1601" s="8"/>
      <c r="GS1601" s="8"/>
      <c r="GT1601" s="8"/>
      <c r="GU1601" s="8"/>
      <c r="GV1601" s="8"/>
      <c r="GW1601" s="8"/>
      <c r="GX1601" s="8"/>
    </row>
    <row r="1602">
      <c r="A1602" s="8" t="str">
        <f>IFERROR(__xludf.DUMMYFUNCTION("""COMPUTED_VALUE"""),"121220820140600750")</f>
        <v>121220820140600750</v>
      </c>
      <c r="B1602" s="9" t="str">
        <f>IFERROR(__xludf.DUMMYFUNCTION("""COMPUTED_VALUE"""),"United States")</f>
        <v>United States</v>
      </c>
      <c r="C1602" s="9" t="str">
        <f>IFERROR(__xludf.DUMMYFUNCTION("""COMPUTED_VALUE"""),"california")</f>
        <v>california</v>
      </c>
      <c r="D1602" s="9" t="str">
        <f>IFERROR(__xludf.DUMMYFUNCTION("""COMPUTED_VALUE"""),"Morlet, Chardonnay Ma Douce, California")</f>
        <v>Morlet, Chardonnay Ma Douce, California</v>
      </c>
      <c r="E1602" s="9">
        <f>IFERROR(__xludf.DUMMYFUNCTION("""COMPUTED_VALUE"""),2014.0)</f>
        <v>2014</v>
      </c>
      <c r="F1602" s="9">
        <f>IFERROR(__xludf.DUMMYFUNCTION("""COMPUTED_VALUE"""),750.0)</f>
        <v>750</v>
      </c>
      <c r="G1602" s="9">
        <f>IFERROR(__xludf.DUMMYFUNCTION("""COMPUTED_VALUE"""),6.0)</f>
        <v>6</v>
      </c>
      <c r="H1602" s="10">
        <f>IFERROR(__xludf.DUMMYFUNCTION("""COMPUTED_VALUE"""),1.0)</f>
        <v>1</v>
      </c>
      <c r="I1602" s="11">
        <f>IFERROR(__xludf.DUMMYFUNCTION("""COMPUTED_VALUE"""),688.0)</f>
        <v>688</v>
      </c>
      <c r="J1602" s="9" t="str">
        <f>IFERROR(__xludf.DUMMYFUNCTION("""COMPUTED_VALUE"""),"UK")</f>
        <v>UK</v>
      </c>
      <c r="K1602" s="8"/>
      <c r="L1602" s="12"/>
      <c r="M1602" s="13"/>
      <c r="N1602" s="13" t="str">
        <f>IFERROR(__xludf.DUMMYFUNCTION("IF(ISBLANK(M1602),"""",M1602*GOOGLEFINANCE(""USDGBP""))"),"")</f>
        <v/>
      </c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  <c r="GA1602" s="8"/>
      <c r="GB1602" s="8"/>
      <c r="GC1602" s="8"/>
      <c r="GD1602" s="8"/>
      <c r="GE1602" s="8"/>
      <c r="GF1602" s="8"/>
      <c r="GG1602" s="8"/>
      <c r="GH1602" s="8"/>
      <c r="GI1602" s="8"/>
      <c r="GJ1602" s="8"/>
      <c r="GK1602" s="8"/>
      <c r="GL1602" s="8"/>
      <c r="GM1602" s="8"/>
      <c r="GN1602" s="8"/>
      <c r="GO1602" s="8"/>
      <c r="GP1602" s="8"/>
      <c r="GQ1602" s="8"/>
      <c r="GR1602" s="8"/>
      <c r="GS1602" s="8"/>
      <c r="GT1602" s="8"/>
      <c r="GU1602" s="8"/>
      <c r="GV1602" s="8"/>
      <c r="GW1602" s="8"/>
      <c r="GX1602" s="8"/>
    </row>
    <row r="1603">
      <c r="A1603" s="8" t="str">
        <f>IFERROR(__xludf.DUMMYFUNCTION("""COMPUTED_VALUE"""),"112315120150600750")</f>
        <v>112315120150600750</v>
      </c>
      <c r="B1603" s="9" t="str">
        <f>IFERROR(__xludf.DUMMYFUNCTION("""COMPUTED_VALUE"""),"United States")</f>
        <v>United States</v>
      </c>
      <c r="C1603" s="9" t="str">
        <f>IFERROR(__xludf.DUMMYFUNCTION("""COMPUTED_VALUE"""),"california")</f>
        <v>california</v>
      </c>
      <c r="D1603" s="9" t="str">
        <f>IFERROR(__xludf.DUMMYFUNCTION("""COMPUTED_VALUE"""),"Ridge, Monte Bello Chardonnay, Santa Cruz Mountains")</f>
        <v>Ridge, Monte Bello Chardonnay, Santa Cruz Mountains</v>
      </c>
      <c r="E1603" s="9">
        <f>IFERROR(__xludf.DUMMYFUNCTION("""COMPUTED_VALUE"""),2015.0)</f>
        <v>2015</v>
      </c>
      <c r="F1603" s="9">
        <f>IFERROR(__xludf.DUMMYFUNCTION("""COMPUTED_VALUE"""),750.0)</f>
        <v>750</v>
      </c>
      <c r="G1603" s="9">
        <f>IFERROR(__xludf.DUMMYFUNCTION("""COMPUTED_VALUE"""),6.0)</f>
        <v>6</v>
      </c>
      <c r="H1603" s="10">
        <f>IFERROR(__xludf.DUMMYFUNCTION("""COMPUTED_VALUE"""),1.0)</f>
        <v>1</v>
      </c>
      <c r="I1603" s="11">
        <f>IFERROR(__xludf.DUMMYFUNCTION("""COMPUTED_VALUE"""),1057.0)</f>
        <v>1057</v>
      </c>
      <c r="J1603" s="9" t="str">
        <f>IFERROR(__xludf.DUMMYFUNCTION("""COMPUTED_VALUE"""),"UK")</f>
        <v>UK</v>
      </c>
      <c r="K1603" s="8"/>
      <c r="L1603" s="12"/>
      <c r="M1603" s="13"/>
      <c r="N1603" s="13" t="str">
        <f>IFERROR(__xludf.DUMMYFUNCTION("IF(ISBLANK(M1603),"""",M1603*GOOGLEFINANCE(""USDGBP""))"),"")</f>
        <v/>
      </c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  <c r="GA1603" s="8"/>
      <c r="GB1603" s="8"/>
      <c r="GC1603" s="8"/>
      <c r="GD1603" s="8"/>
      <c r="GE1603" s="8"/>
      <c r="GF1603" s="8"/>
      <c r="GG1603" s="8"/>
      <c r="GH1603" s="8"/>
      <c r="GI1603" s="8"/>
      <c r="GJ1603" s="8"/>
      <c r="GK1603" s="8"/>
      <c r="GL1603" s="8"/>
      <c r="GM1603" s="8"/>
      <c r="GN1603" s="8"/>
      <c r="GO1603" s="8"/>
      <c r="GP1603" s="8"/>
      <c r="GQ1603" s="8"/>
      <c r="GR1603" s="8"/>
      <c r="GS1603" s="8"/>
      <c r="GT1603" s="8"/>
      <c r="GU1603" s="8"/>
      <c r="GV1603" s="8"/>
      <c r="GW1603" s="8"/>
      <c r="GX1603" s="8"/>
    </row>
    <row r="1604">
      <c r="A1604" s="8" t="str">
        <f>IFERROR(__xludf.DUMMYFUNCTION("""COMPUTED_VALUE"""),"133511420120600750")</f>
        <v>133511420120600750</v>
      </c>
      <c r="B1604" s="9" t="str">
        <f>IFERROR(__xludf.DUMMYFUNCTION("""COMPUTED_VALUE"""),"United States")</f>
        <v>United States</v>
      </c>
      <c r="C1604" s="9" t="str">
        <f>IFERROR(__xludf.DUMMYFUNCTION("""COMPUTED_VALUE"""),"california")</f>
        <v>california</v>
      </c>
      <c r="D1604" s="9" t="str">
        <f>IFERROR(__xludf.DUMMYFUNCTION("""COMPUTED_VALUE"""),"Sandhi, Bentrock Chardonnay, Sta. Rita Hills")</f>
        <v>Sandhi, Bentrock Chardonnay, Sta. Rita Hills</v>
      </c>
      <c r="E1604" s="9">
        <f>IFERROR(__xludf.DUMMYFUNCTION("""COMPUTED_VALUE"""),2012.0)</f>
        <v>2012</v>
      </c>
      <c r="F1604" s="9">
        <f>IFERROR(__xludf.DUMMYFUNCTION("""COMPUTED_VALUE"""),750.0)</f>
        <v>750</v>
      </c>
      <c r="G1604" s="9">
        <f>IFERROR(__xludf.DUMMYFUNCTION("""COMPUTED_VALUE"""),6.0)</f>
        <v>6</v>
      </c>
      <c r="H1604" s="10">
        <f>IFERROR(__xludf.DUMMYFUNCTION("""COMPUTED_VALUE"""),1.0)</f>
        <v>1</v>
      </c>
      <c r="I1604" s="11">
        <f>IFERROR(__xludf.DUMMYFUNCTION("""COMPUTED_VALUE"""),437.0)</f>
        <v>437</v>
      </c>
      <c r="J1604" s="9" t="str">
        <f>IFERROR(__xludf.DUMMYFUNCTION("""COMPUTED_VALUE"""),"UK")</f>
        <v>UK</v>
      </c>
      <c r="K1604" s="8"/>
      <c r="L1604" s="12"/>
      <c r="M1604" s="13"/>
      <c r="N1604" s="13" t="str">
        <f>IFERROR(__xludf.DUMMYFUNCTION("IF(ISBLANK(M1604),"""",M1604*GOOGLEFINANCE(""USDGBP""))"),"")</f>
        <v/>
      </c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</row>
    <row r="1605">
      <c r="A1605" s="8" t="str">
        <f>IFERROR(__xludf.DUMMYFUNCTION("""COMPUTED_VALUE"""),"133943120180300750")</f>
        <v>133943120180300750</v>
      </c>
      <c r="B1605" s="9" t="str">
        <f>IFERROR(__xludf.DUMMYFUNCTION("""COMPUTED_VALUE"""),"United States")</f>
        <v>United States</v>
      </c>
      <c r="C1605" s="9" t="str">
        <f>IFERROR(__xludf.DUMMYFUNCTION("""COMPUTED_VALUE"""),"california")</f>
        <v>california</v>
      </c>
      <c r="D1605" s="9" t="str">
        <f>IFERROR(__xludf.DUMMYFUNCTION("""COMPUTED_VALUE"""),"Screaming Eagle, Sauvignon Blanc, Oakville")</f>
        <v>Screaming Eagle, Sauvignon Blanc, Oakville</v>
      </c>
      <c r="E1605" s="9">
        <f>IFERROR(__xludf.DUMMYFUNCTION("""COMPUTED_VALUE"""),2018.0)</f>
        <v>2018</v>
      </c>
      <c r="F1605" s="9">
        <f>IFERROR(__xludf.DUMMYFUNCTION("""COMPUTED_VALUE"""),750.0)</f>
        <v>750</v>
      </c>
      <c r="G1605" s="9">
        <f>IFERROR(__xludf.DUMMYFUNCTION("""COMPUTED_VALUE"""),3.0)</f>
        <v>3</v>
      </c>
      <c r="H1605" s="10">
        <f>IFERROR(__xludf.DUMMYFUNCTION("""COMPUTED_VALUE"""),1.0)</f>
        <v>1</v>
      </c>
      <c r="I1605" s="11">
        <f>IFERROR(__xludf.DUMMYFUNCTION("""COMPUTED_VALUE"""),9275.0)</f>
        <v>9275</v>
      </c>
      <c r="J1605" s="9" t="str">
        <f>IFERROR(__xludf.DUMMYFUNCTION("""COMPUTED_VALUE"""),"UK")</f>
        <v>UK</v>
      </c>
      <c r="K1605" s="8"/>
      <c r="L1605" s="12"/>
      <c r="M1605" s="13"/>
      <c r="N1605" s="13" t="str">
        <f>IFERROR(__xludf.DUMMYFUNCTION("IF(ISBLANK(M1605),"""",M1605*GOOGLEFINANCE(""USDGBP""))"),"")</f>
        <v/>
      </c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</row>
    <row r="1606">
      <c r="A1606" s="8" t="str">
        <f>IFERROR(__xludf.DUMMYFUNCTION("""COMPUTED_VALUE"""),"137813120150600750")</f>
        <v>137813120150600750</v>
      </c>
      <c r="B1606" s="9" t="str">
        <f>IFERROR(__xludf.DUMMYFUNCTION("""COMPUTED_VALUE"""),"Spain")</f>
        <v>Spain</v>
      </c>
      <c r="C1606" s="9" t="str">
        <f>IFERROR(__xludf.DUMMYFUNCTION("""COMPUTED_VALUE"""),"castilla y leon")</f>
        <v>castilla y leon</v>
      </c>
      <c r="D1606" s="9" t="str">
        <f>IFERROR(__xludf.DUMMYFUNCTION("""COMPUTED_VALUE"""),"Dominio Aguila, Ribera del Duero, Penas Aladas Gran Reserva")</f>
        <v>Dominio Aguila, Ribera del Duero, Penas Aladas Gran Reserva</v>
      </c>
      <c r="E1606" s="9">
        <f>IFERROR(__xludf.DUMMYFUNCTION("""COMPUTED_VALUE"""),2015.0)</f>
        <v>2015</v>
      </c>
      <c r="F1606" s="9">
        <f>IFERROR(__xludf.DUMMYFUNCTION("""COMPUTED_VALUE"""),750.0)</f>
        <v>750</v>
      </c>
      <c r="G1606" s="9">
        <f>IFERROR(__xludf.DUMMYFUNCTION("""COMPUTED_VALUE"""),6.0)</f>
        <v>6</v>
      </c>
      <c r="H1606" s="10">
        <f>IFERROR(__xludf.DUMMYFUNCTION("""COMPUTED_VALUE"""),2.0)</f>
        <v>2</v>
      </c>
      <c r="I1606" s="11">
        <f>IFERROR(__xludf.DUMMYFUNCTION("""COMPUTED_VALUE"""),905.0)</f>
        <v>905</v>
      </c>
      <c r="J1606" s="9" t="str">
        <f>IFERROR(__xludf.DUMMYFUNCTION("""COMPUTED_VALUE"""),"UK")</f>
        <v>UK</v>
      </c>
      <c r="K1606" s="8"/>
      <c r="L1606" s="12"/>
      <c r="M1606" s="13"/>
      <c r="N1606" s="13" t="str">
        <f>IFERROR(__xludf.DUMMYFUNCTION("IF(ISBLANK(M1606),"""",M1606*GOOGLEFINANCE(""USDGBP""))"),"")</f>
        <v/>
      </c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</row>
    <row r="1607">
      <c r="A1607" s="8" t="str">
        <f>IFERROR(__xludf.DUMMYFUNCTION("""COMPUTED_VALUE"""),"112074320130101500")</f>
        <v>112074320130101500</v>
      </c>
      <c r="B1607" s="9" t="str">
        <f>IFERROR(__xludf.DUMMYFUNCTION("""COMPUTED_VALUE"""),"Spain")</f>
        <v>Spain</v>
      </c>
      <c r="C1607" s="9" t="str">
        <f>IFERROR(__xludf.DUMMYFUNCTION("""COMPUTED_VALUE"""),"castilla y leon")</f>
        <v>castilla y leon</v>
      </c>
      <c r="D1607" s="9" t="str">
        <f>IFERROR(__xludf.DUMMYFUNCTION("""COMPUTED_VALUE"""),"Dominio de Pingus, Ribera del Duero, Pingus")</f>
        <v>Dominio de Pingus, Ribera del Duero, Pingus</v>
      </c>
      <c r="E1607" s="9">
        <f>IFERROR(__xludf.DUMMYFUNCTION("""COMPUTED_VALUE"""),2013.0)</f>
        <v>2013</v>
      </c>
      <c r="F1607" s="9">
        <f>IFERROR(__xludf.DUMMYFUNCTION("""COMPUTED_VALUE"""),1500.0)</f>
        <v>1500</v>
      </c>
      <c r="G1607" s="9">
        <f>IFERROR(__xludf.DUMMYFUNCTION("""COMPUTED_VALUE"""),1.0)</f>
        <v>1</v>
      </c>
      <c r="H1607" s="10">
        <f>IFERROR(__xludf.DUMMYFUNCTION("""COMPUTED_VALUE"""),2.0)</f>
        <v>2</v>
      </c>
      <c r="I1607" s="11">
        <f>IFERROR(__xludf.DUMMYFUNCTION("""COMPUTED_VALUE"""),1190.0)</f>
        <v>1190</v>
      </c>
      <c r="J1607" s="9" t="str">
        <f>IFERROR(__xludf.DUMMYFUNCTION("""COMPUTED_VALUE"""),"UK")</f>
        <v>UK</v>
      </c>
      <c r="K1607" s="8"/>
      <c r="L1607" s="12"/>
      <c r="M1607" s="13"/>
      <c r="N1607" s="13" t="str">
        <f>IFERROR(__xludf.DUMMYFUNCTION("IF(ISBLANK(M1607),"""",M1607*GOOGLEFINANCE(""USDGBP""))"),"")</f>
        <v/>
      </c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</row>
    <row r="1608">
      <c r="A1608" s="8" t="str">
        <f>IFERROR(__xludf.DUMMYFUNCTION("""COMPUTED_VALUE"""),"112074320160600750")</f>
        <v>112074320160600750</v>
      </c>
      <c r="B1608" s="9" t="str">
        <f>IFERROR(__xludf.DUMMYFUNCTION("""COMPUTED_VALUE"""),"Spain")</f>
        <v>Spain</v>
      </c>
      <c r="C1608" s="9" t="str">
        <f>IFERROR(__xludf.DUMMYFUNCTION("""COMPUTED_VALUE"""),"castilla y leon")</f>
        <v>castilla y leon</v>
      </c>
      <c r="D1608" s="9" t="str">
        <f>IFERROR(__xludf.DUMMYFUNCTION("""COMPUTED_VALUE"""),"Dominio de Pingus, Ribera del Duero, Pingus")</f>
        <v>Dominio de Pingus, Ribera del Duero, Pingus</v>
      </c>
      <c r="E1608" s="9">
        <f>IFERROR(__xludf.DUMMYFUNCTION("""COMPUTED_VALUE"""),2016.0)</f>
        <v>2016</v>
      </c>
      <c r="F1608" s="9">
        <f>IFERROR(__xludf.DUMMYFUNCTION("""COMPUTED_VALUE"""),750.0)</f>
        <v>750</v>
      </c>
      <c r="G1608" s="9">
        <f>IFERROR(__xludf.DUMMYFUNCTION("""COMPUTED_VALUE"""),6.0)</f>
        <v>6</v>
      </c>
      <c r="H1608" s="10">
        <f>IFERROR(__xludf.DUMMYFUNCTION("""COMPUTED_VALUE"""),1.0)</f>
        <v>1</v>
      </c>
      <c r="I1608" s="11">
        <f>IFERROR(__xludf.DUMMYFUNCTION("""COMPUTED_VALUE"""),5217.0)</f>
        <v>5217</v>
      </c>
      <c r="J1608" s="9" t="str">
        <f>IFERROR(__xludf.DUMMYFUNCTION("""COMPUTED_VALUE"""),"UK")</f>
        <v>UK</v>
      </c>
      <c r="K1608" s="8"/>
      <c r="L1608" s="12"/>
      <c r="M1608" s="13"/>
      <c r="N1608" s="13" t="str">
        <f>IFERROR(__xludf.DUMMYFUNCTION("IF(ISBLANK(M1608),"""",M1608*GOOGLEFINANCE(""USDGBP""))"),"")</f>
        <v/>
      </c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</row>
    <row r="1609">
      <c r="A1609" s="8" t="str">
        <f>IFERROR(__xludf.DUMMYFUNCTION("""COMPUTED_VALUE"""),"112074320190600750")</f>
        <v>112074320190600750</v>
      </c>
      <c r="B1609" s="9" t="str">
        <f>IFERROR(__xludf.DUMMYFUNCTION("""COMPUTED_VALUE"""),"Spain")</f>
        <v>Spain</v>
      </c>
      <c r="C1609" s="9" t="str">
        <f>IFERROR(__xludf.DUMMYFUNCTION("""COMPUTED_VALUE"""),"castilla y leon")</f>
        <v>castilla y leon</v>
      </c>
      <c r="D1609" s="9" t="str">
        <f>IFERROR(__xludf.DUMMYFUNCTION("""COMPUTED_VALUE"""),"Dominio de Pingus, Ribera del Duero, Pingus")</f>
        <v>Dominio de Pingus, Ribera del Duero, Pingus</v>
      </c>
      <c r="E1609" s="9">
        <f>IFERROR(__xludf.DUMMYFUNCTION("""COMPUTED_VALUE"""),2019.0)</f>
        <v>2019</v>
      </c>
      <c r="F1609" s="9">
        <f>IFERROR(__xludf.DUMMYFUNCTION("""COMPUTED_VALUE"""),750.0)</f>
        <v>750</v>
      </c>
      <c r="G1609" s="9">
        <f>IFERROR(__xludf.DUMMYFUNCTION("""COMPUTED_VALUE"""),6.0)</f>
        <v>6</v>
      </c>
      <c r="H1609" s="10">
        <f>IFERROR(__xludf.DUMMYFUNCTION("""COMPUTED_VALUE"""),1.0)</f>
        <v>1</v>
      </c>
      <c r="I1609" s="11">
        <f>IFERROR(__xludf.DUMMYFUNCTION("""COMPUTED_VALUE"""),4411.0)</f>
        <v>4411</v>
      </c>
      <c r="J1609" s="9" t="str">
        <f>IFERROR(__xludf.DUMMYFUNCTION("""COMPUTED_VALUE"""),"UK")</f>
        <v>UK</v>
      </c>
      <c r="K1609" s="8"/>
      <c r="L1609" s="12"/>
      <c r="M1609" s="13"/>
      <c r="N1609" s="13" t="str">
        <f>IFERROR(__xludf.DUMMYFUNCTION("IF(ISBLANK(M1609),"""",M1609*GOOGLEFINANCE(""USDGBP""))"),"")</f>
        <v/>
      </c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</row>
    <row r="1610">
      <c r="A1610" s="8" t="str">
        <f>IFERROR(__xludf.DUMMYFUNCTION("""COMPUTED_VALUE"""),"121975720200300750")</f>
        <v>121975720200300750</v>
      </c>
      <c r="B1610" s="9" t="str">
        <f>IFERROR(__xludf.DUMMYFUNCTION("""COMPUTED_VALUE"""),"Spain")</f>
        <v>Spain</v>
      </c>
      <c r="C1610" s="9" t="str">
        <f>IFERROR(__xludf.DUMMYFUNCTION("""COMPUTED_VALUE"""),"castilla y leon")</f>
        <v>castilla y leon</v>
      </c>
      <c r="D1610" s="9" t="str">
        <f>IFERROR(__xludf.DUMMYFUNCTION("""COMPUTED_VALUE"""),"Vega Sicilia, Unico Reserva Especial, Ribera del Duero")</f>
        <v>Vega Sicilia, Unico Reserva Especial, Ribera del Duero</v>
      </c>
      <c r="E1610" s="9">
        <f>IFERROR(__xludf.DUMMYFUNCTION("""COMPUTED_VALUE"""),2020.0)</f>
        <v>2020</v>
      </c>
      <c r="F1610" s="9">
        <f>IFERROR(__xludf.DUMMYFUNCTION("""COMPUTED_VALUE"""),750.0)</f>
        <v>750</v>
      </c>
      <c r="G1610" s="9">
        <f>IFERROR(__xludf.DUMMYFUNCTION("""COMPUTED_VALUE"""),3.0)</f>
        <v>3</v>
      </c>
      <c r="H1610" s="10">
        <f>IFERROR(__xludf.DUMMYFUNCTION("""COMPUTED_VALUE"""),1.0)</f>
        <v>1</v>
      </c>
      <c r="I1610" s="11">
        <f>IFERROR(__xludf.DUMMYFUNCTION("""COMPUTED_VALUE"""),1111.0)</f>
        <v>1111</v>
      </c>
      <c r="J1610" s="9" t="str">
        <f>IFERROR(__xludf.DUMMYFUNCTION("""COMPUTED_VALUE"""),"UK")</f>
        <v>UK</v>
      </c>
      <c r="K1610" s="8"/>
      <c r="L1610" s="12"/>
      <c r="M1610" s="13"/>
      <c r="N1610" s="13" t="str">
        <f>IFERROR(__xludf.DUMMYFUNCTION("IF(ISBLANK(M1610),"""",M1610*GOOGLEFINANCE(""USDGBP""))"),"")</f>
        <v/>
      </c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</row>
    <row r="1611">
      <c r="A1611" s="8" t="str">
        <f>IFERROR(__xludf.DUMMYFUNCTION("""COMPUTED_VALUE"""),"121975720210300750")</f>
        <v>121975720210300750</v>
      </c>
      <c r="B1611" s="9" t="str">
        <f>IFERROR(__xludf.DUMMYFUNCTION("""COMPUTED_VALUE"""),"Spain")</f>
        <v>Spain</v>
      </c>
      <c r="C1611" s="9" t="str">
        <f>IFERROR(__xludf.DUMMYFUNCTION("""COMPUTED_VALUE"""),"castilla y leon")</f>
        <v>castilla y leon</v>
      </c>
      <c r="D1611" s="9" t="str">
        <f>IFERROR(__xludf.DUMMYFUNCTION("""COMPUTED_VALUE"""),"Vega Sicilia, Unico Reserva Especial, Ribera del Duero")</f>
        <v>Vega Sicilia, Unico Reserva Especial, Ribera del Duero</v>
      </c>
      <c r="E1611" s="9">
        <f>IFERROR(__xludf.DUMMYFUNCTION("""COMPUTED_VALUE"""),2021.0)</f>
        <v>2021</v>
      </c>
      <c r="F1611" s="9">
        <f>IFERROR(__xludf.DUMMYFUNCTION("""COMPUTED_VALUE"""),750.0)</f>
        <v>750</v>
      </c>
      <c r="G1611" s="9">
        <f>IFERROR(__xludf.DUMMYFUNCTION("""COMPUTED_VALUE"""),3.0)</f>
        <v>3</v>
      </c>
      <c r="H1611" s="10">
        <f>IFERROR(__xludf.DUMMYFUNCTION("""COMPUTED_VALUE"""),2.0)</f>
        <v>2</v>
      </c>
      <c r="I1611" s="11">
        <f>IFERROR(__xludf.DUMMYFUNCTION("""COMPUTED_VALUE"""),1106.0)</f>
        <v>1106</v>
      </c>
      <c r="J1611" s="9" t="str">
        <f>IFERROR(__xludf.DUMMYFUNCTION("""COMPUTED_VALUE"""),"UK")</f>
        <v>UK</v>
      </c>
      <c r="K1611" s="8"/>
      <c r="L1611" s="12"/>
      <c r="M1611" s="13"/>
      <c r="N1611" s="13" t="str">
        <f>IFERROR(__xludf.DUMMYFUNCTION("IF(ISBLANK(M1611),"""",M1611*GOOGLEFINANCE(""USDGBP""))"),"")</f>
        <v/>
      </c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</row>
    <row r="1612">
      <c r="A1612" s="8" t="str">
        <f>IFERROR(__xludf.DUMMYFUNCTION("""COMPUTED_VALUE"""),"108316120170600750")</f>
        <v>108316120170600750</v>
      </c>
      <c r="B1612" s="9" t="str">
        <f>IFERROR(__xludf.DUMMYFUNCTION("""COMPUTED_VALUE"""),"Chile")</f>
        <v>Chile</v>
      </c>
      <c r="C1612" s="9" t="str">
        <f>IFERROR(__xludf.DUMMYFUNCTION("""COMPUTED_VALUE"""),"central valley")</f>
        <v>central valley</v>
      </c>
      <c r="D1612" s="9" t="str">
        <f>IFERROR(__xludf.DUMMYFUNCTION("""COMPUTED_VALUE"""),"Domaine Bournet-Lapostolle, Clos Apalta, Apalta")</f>
        <v>Domaine Bournet-Lapostolle, Clos Apalta, Apalta</v>
      </c>
      <c r="E1612" s="9">
        <f>IFERROR(__xludf.DUMMYFUNCTION("""COMPUTED_VALUE"""),2017.0)</f>
        <v>2017</v>
      </c>
      <c r="F1612" s="9">
        <f>IFERROR(__xludf.DUMMYFUNCTION("""COMPUTED_VALUE"""),750.0)</f>
        <v>750</v>
      </c>
      <c r="G1612" s="9">
        <f>IFERROR(__xludf.DUMMYFUNCTION("""COMPUTED_VALUE"""),6.0)</f>
        <v>6</v>
      </c>
      <c r="H1612" s="10">
        <f>IFERROR(__xludf.DUMMYFUNCTION("""COMPUTED_VALUE"""),6.0)</f>
        <v>6</v>
      </c>
      <c r="I1612" s="11">
        <f>IFERROR(__xludf.DUMMYFUNCTION("""COMPUTED_VALUE"""),463.0)</f>
        <v>463</v>
      </c>
      <c r="J1612" s="9" t="str">
        <f>IFERROR(__xludf.DUMMYFUNCTION("""COMPUTED_VALUE"""),"UK")</f>
        <v>UK</v>
      </c>
      <c r="K1612" s="8"/>
      <c r="L1612" s="12"/>
      <c r="M1612" s="13"/>
      <c r="N1612" s="13" t="str">
        <f>IFERROR(__xludf.DUMMYFUNCTION("IF(ISBLANK(M1612),"""",M1612*GOOGLEFINANCE(""USDGBP""))"),"")</f>
        <v/>
      </c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</row>
    <row r="1613">
      <c r="A1613" s="8" t="str">
        <f>IFERROR(__xludf.DUMMYFUNCTION("""COMPUTED_VALUE"""),"108179220040600750")</f>
        <v>108179220040600750</v>
      </c>
      <c r="B1613" s="9" t="str">
        <f>IFERROR(__xludf.DUMMYFUNCTION("""COMPUTED_VALUE"""),"France")</f>
        <v>France</v>
      </c>
      <c r="C1613" s="9" t="str">
        <f>IFERROR(__xludf.DUMMYFUNCTION("""COMPUTED_VALUE"""),"champagne")</f>
        <v>champagne</v>
      </c>
      <c r="D1613" s="9" t="str">
        <f>IFERROR(__xludf.DUMMYFUNCTION("""COMPUTED_VALUE"""),"Bollinger, La Grande Annee Rose")</f>
        <v>Bollinger, La Grande Annee Rose</v>
      </c>
      <c r="E1613" s="9">
        <f>IFERROR(__xludf.DUMMYFUNCTION("""COMPUTED_VALUE"""),2004.0)</f>
        <v>2004</v>
      </c>
      <c r="F1613" s="9">
        <f>IFERROR(__xludf.DUMMYFUNCTION("""COMPUTED_VALUE"""),750.0)</f>
        <v>750</v>
      </c>
      <c r="G1613" s="9">
        <f>IFERROR(__xludf.DUMMYFUNCTION("""COMPUTED_VALUE"""),6.0)</f>
        <v>6</v>
      </c>
      <c r="H1613" s="10">
        <f>IFERROR(__xludf.DUMMYFUNCTION("""COMPUTED_VALUE"""),3.0)</f>
        <v>3</v>
      </c>
      <c r="I1613" s="11">
        <f>IFERROR(__xludf.DUMMYFUNCTION("""COMPUTED_VALUE"""),748.0)</f>
        <v>748</v>
      </c>
      <c r="J1613" s="9" t="str">
        <f>IFERROR(__xludf.DUMMYFUNCTION("""COMPUTED_VALUE"""),"UK")</f>
        <v>UK</v>
      </c>
      <c r="K1613" s="8"/>
      <c r="L1613" s="12"/>
      <c r="M1613" s="13"/>
      <c r="N1613" s="13" t="str">
        <f>IFERROR(__xludf.DUMMYFUNCTION("IF(ISBLANK(M1613),"""",M1613*GOOGLEFINANCE(""USDGBP""))"),"")</f>
        <v/>
      </c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</row>
    <row r="1614">
      <c r="A1614" s="8" t="str">
        <f>IFERROR(__xludf.DUMMYFUNCTION("""COMPUTED_VALUE"""),"108179220070600750")</f>
        <v>108179220070600750</v>
      </c>
      <c r="B1614" s="9" t="str">
        <f>IFERROR(__xludf.DUMMYFUNCTION("""COMPUTED_VALUE"""),"France")</f>
        <v>France</v>
      </c>
      <c r="C1614" s="9" t="str">
        <f>IFERROR(__xludf.DUMMYFUNCTION("""COMPUTED_VALUE"""),"champagne")</f>
        <v>champagne</v>
      </c>
      <c r="D1614" s="9" t="str">
        <f>IFERROR(__xludf.DUMMYFUNCTION("""COMPUTED_VALUE"""),"Bollinger, La Grande Annee Rose")</f>
        <v>Bollinger, La Grande Annee Rose</v>
      </c>
      <c r="E1614" s="9">
        <f>IFERROR(__xludf.DUMMYFUNCTION("""COMPUTED_VALUE"""),2007.0)</f>
        <v>2007</v>
      </c>
      <c r="F1614" s="9">
        <f>IFERROR(__xludf.DUMMYFUNCTION("""COMPUTED_VALUE"""),750.0)</f>
        <v>750</v>
      </c>
      <c r="G1614" s="9">
        <f>IFERROR(__xludf.DUMMYFUNCTION("""COMPUTED_VALUE"""),6.0)</f>
        <v>6</v>
      </c>
      <c r="H1614" s="10">
        <f>IFERROR(__xludf.DUMMYFUNCTION("""COMPUTED_VALUE"""),3.0)</f>
        <v>3</v>
      </c>
      <c r="I1614" s="11">
        <f>IFERROR(__xludf.DUMMYFUNCTION("""COMPUTED_VALUE"""),705.0)</f>
        <v>705</v>
      </c>
      <c r="J1614" s="9" t="str">
        <f>IFERROR(__xludf.DUMMYFUNCTION("""COMPUTED_VALUE"""),"UK")</f>
        <v>UK</v>
      </c>
      <c r="K1614" s="8"/>
      <c r="L1614" s="12"/>
      <c r="M1614" s="13"/>
      <c r="N1614" s="13" t="str">
        <f>IFERROR(__xludf.DUMMYFUNCTION("IF(ISBLANK(M1614),"""",M1614*GOOGLEFINANCE(""USDGBP""))"),"")</f>
        <v/>
      </c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</row>
    <row r="1615">
      <c r="A1615" s="8" t="str">
        <f>IFERROR(__xludf.DUMMYFUNCTION("""COMPUTED_VALUE"""),"108179220070301500")</f>
        <v>108179220070301500</v>
      </c>
      <c r="B1615" s="9" t="str">
        <f>IFERROR(__xludf.DUMMYFUNCTION("""COMPUTED_VALUE"""),"France")</f>
        <v>France</v>
      </c>
      <c r="C1615" s="9" t="str">
        <f>IFERROR(__xludf.DUMMYFUNCTION("""COMPUTED_VALUE"""),"champagne")</f>
        <v>champagne</v>
      </c>
      <c r="D1615" s="9" t="str">
        <f>IFERROR(__xludf.DUMMYFUNCTION("""COMPUTED_VALUE"""),"Bollinger, La Grande Annee Rose")</f>
        <v>Bollinger, La Grande Annee Rose</v>
      </c>
      <c r="E1615" s="9">
        <f>IFERROR(__xludf.DUMMYFUNCTION("""COMPUTED_VALUE"""),2007.0)</f>
        <v>2007</v>
      </c>
      <c r="F1615" s="9">
        <f>IFERROR(__xludf.DUMMYFUNCTION("""COMPUTED_VALUE"""),1500.0)</f>
        <v>1500</v>
      </c>
      <c r="G1615" s="9">
        <f>IFERROR(__xludf.DUMMYFUNCTION("""COMPUTED_VALUE"""),3.0)</f>
        <v>3</v>
      </c>
      <c r="H1615" s="10">
        <f>IFERROR(__xludf.DUMMYFUNCTION("""COMPUTED_VALUE"""),3.0)</f>
        <v>3</v>
      </c>
      <c r="I1615" s="11">
        <f>IFERROR(__xludf.DUMMYFUNCTION("""COMPUTED_VALUE"""),705.0)</f>
        <v>705</v>
      </c>
      <c r="J1615" s="9" t="str">
        <f>IFERROR(__xludf.DUMMYFUNCTION("""COMPUTED_VALUE"""),"UK")</f>
        <v>UK</v>
      </c>
      <c r="K1615" s="8"/>
      <c r="L1615" s="12"/>
      <c r="M1615" s="13"/>
      <c r="N1615" s="13" t="str">
        <f>IFERROR(__xludf.DUMMYFUNCTION("IF(ISBLANK(M1615),"""",M1615*GOOGLEFINANCE(""USDGBP""))"),"")</f>
        <v/>
      </c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</row>
    <row r="1616">
      <c r="A1616" s="8" t="str">
        <f>IFERROR(__xludf.DUMMYFUNCTION("""COMPUTED_VALUE"""),"108179220120600750")</f>
        <v>108179220120600750</v>
      </c>
      <c r="B1616" s="9" t="str">
        <f>IFERROR(__xludf.DUMMYFUNCTION("""COMPUTED_VALUE"""),"France")</f>
        <v>France</v>
      </c>
      <c r="C1616" s="9" t="str">
        <f>IFERROR(__xludf.DUMMYFUNCTION("""COMPUTED_VALUE"""),"champagne")</f>
        <v>champagne</v>
      </c>
      <c r="D1616" s="9" t="str">
        <f>IFERROR(__xludf.DUMMYFUNCTION("""COMPUTED_VALUE"""),"Bollinger, La Grande Annee Rose")</f>
        <v>Bollinger, La Grande Annee Rose</v>
      </c>
      <c r="E1616" s="9">
        <f>IFERROR(__xludf.DUMMYFUNCTION("""COMPUTED_VALUE"""),2012.0)</f>
        <v>2012</v>
      </c>
      <c r="F1616" s="9">
        <f>IFERROR(__xludf.DUMMYFUNCTION("""COMPUTED_VALUE"""),750.0)</f>
        <v>750</v>
      </c>
      <c r="G1616" s="9">
        <f>IFERROR(__xludf.DUMMYFUNCTION("""COMPUTED_VALUE"""),6.0)</f>
        <v>6</v>
      </c>
      <c r="H1616" s="10">
        <f>IFERROR(__xludf.DUMMYFUNCTION("""COMPUTED_VALUE"""),30.0)</f>
        <v>30</v>
      </c>
      <c r="I1616" s="11">
        <f>IFERROR(__xludf.DUMMYFUNCTION("""COMPUTED_VALUE"""),704.0)</f>
        <v>704</v>
      </c>
      <c r="J1616" s="9" t="str">
        <f>IFERROR(__xludf.DUMMYFUNCTION("""COMPUTED_VALUE"""),"UK")</f>
        <v>UK</v>
      </c>
      <c r="K1616" s="8"/>
      <c r="L1616" s="12"/>
      <c r="M1616" s="13"/>
      <c r="N1616" s="13" t="str">
        <f>IFERROR(__xludf.DUMMYFUNCTION("IF(ISBLANK(M1616),"""",M1616*GOOGLEFINANCE(""USDGBP""))"),"")</f>
        <v/>
      </c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</row>
    <row r="1617">
      <c r="A1617" s="8" t="str">
        <f>IFERROR(__xludf.DUMMYFUNCTION("""COMPUTED_VALUE"""),"108179220120301500")</f>
        <v>108179220120301500</v>
      </c>
      <c r="B1617" s="9" t="str">
        <f>IFERROR(__xludf.DUMMYFUNCTION("""COMPUTED_VALUE"""),"France")</f>
        <v>France</v>
      </c>
      <c r="C1617" s="9" t="str">
        <f>IFERROR(__xludf.DUMMYFUNCTION("""COMPUTED_VALUE"""),"champagne")</f>
        <v>champagne</v>
      </c>
      <c r="D1617" s="9" t="str">
        <f>IFERROR(__xludf.DUMMYFUNCTION("""COMPUTED_VALUE"""),"Bollinger, La Grande Annee Rose")</f>
        <v>Bollinger, La Grande Annee Rose</v>
      </c>
      <c r="E1617" s="9">
        <f>IFERROR(__xludf.DUMMYFUNCTION("""COMPUTED_VALUE"""),2012.0)</f>
        <v>2012</v>
      </c>
      <c r="F1617" s="9">
        <f>IFERROR(__xludf.DUMMYFUNCTION("""COMPUTED_VALUE"""),1500.0)</f>
        <v>1500</v>
      </c>
      <c r="G1617" s="9">
        <f>IFERROR(__xludf.DUMMYFUNCTION("""COMPUTED_VALUE"""),3.0)</f>
        <v>3</v>
      </c>
      <c r="H1617" s="10">
        <f>IFERROR(__xludf.DUMMYFUNCTION("""COMPUTED_VALUE"""),1.0)</f>
        <v>1</v>
      </c>
      <c r="I1617" s="11">
        <f>IFERROR(__xludf.DUMMYFUNCTION("""COMPUTED_VALUE"""),704.0)</f>
        <v>704</v>
      </c>
      <c r="J1617" s="9" t="str">
        <f>IFERROR(__xludf.DUMMYFUNCTION("""COMPUTED_VALUE"""),"UK")</f>
        <v>UK</v>
      </c>
      <c r="K1617" s="8"/>
      <c r="L1617" s="12"/>
      <c r="M1617" s="13"/>
      <c r="N1617" s="13" t="str">
        <f>IFERROR(__xludf.DUMMYFUNCTION("IF(ISBLANK(M1617),"""",M1617*GOOGLEFINANCE(""USDGBP""))"),"")</f>
        <v/>
      </c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8"/>
      <c r="FJ1617" s="8"/>
      <c r="FK1617" s="8"/>
      <c r="FL1617" s="8"/>
      <c r="FM1617" s="8"/>
      <c r="FN1617" s="8"/>
      <c r="FO1617" s="8"/>
      <c r="FP1617" s="8"/>
      <c r="FQ1617" s="8"/>
      <c r="FR1617" s="8"/>
      <c r="FS1617" s="8"/>
      <c r="FT1617" s="8"/>
      <c r="FU1617" s="8"/>
      <c r="FV1617" s="8"/>
      <c r="FW1617" s="8"/>
      <c r="FX1617" s="8"/>
      <c r="FY1617" s="8"/>
      <c r="FZ1617" s="8"/>
      <c r="GA1617" s="8"/>
      <c r="GB1617" s="8"/>
      <c r="GC1617" s="8"/>
      <c r="GD1617" s="8"/>
      <c r="GE1617" s="8"/>
      <c r="GF1617" s="8"/>
      <c r="GG1617" s="8"/>
      <c r="GH1617" s="8"/>
      <c r="GI1617" s="8"/>
      <c r="GJ1617" s="8"/>
      <c r="GK1617" s="8"/>
      <c r="GL1617" s="8"/>
      <c r="GM1617" s="8"/>
      <c r="GN1617" s="8"/>
      <c r="GO1617" s="8"/>
      <c r="GP1617" s="8"/>
      <c r="GQ1617" s="8"/>
      <c r="GR1617" s="8"/>
      <c r="GS1617" s="8"/>
      <c r="GT1617" s="8"/>
      <c r="GU1617" s="8"/>
      <c r="GV1617" s="8"/>
      <c r="GW1617" s="8"/>
      <c r="GX1617" s="8"/>
    </row>
    <row r="1618">
      <c r="A1618" s="8" t="str">
        <f>IFERROR(__xludf.DUMMYFUNCTION("""COMPUTED_VALUE"""),"108179220140600750")</f>
        <v>108179220140600750</v>
      </c>
      <c r="B1618" s="9" t="str">
        <f>IFERROR(__xludf.DUMMYFUNCTION("""COMPUTED_VALUE"""),"France")</f>
        <v>France</v>
      </c>
      <c r="C1618" s="9" t="str">
        <f>IFERROR(__xludf.DUMMYFUNCTION("""COMPUTED_VALUE"""),"champagne")</f>
        <v>champagne</v>
      </c>
      <c r="D1618" s="9" t="str">
        <f>IFERROR(__xludf.DUMMYFUNCTION("""COMPUTED_VALUE"""),"Bollinger, La Grande Annee Rose")</f>
        <v>Bollinger, La Grande Annee Rose</v>
      </c>
      <c r="E1618" s="9">
        <f>IFERROR(__xludf.DUMMYFUNCTION("""COMPUTED_VALUE"""),2014.0)</f>
        <v>2014</v>
      </c>
      <c r="F1618" s="9">
        <f>IFERROR(__xludf.DUMMYFUNCTION("""COMPUTED_VALUE"""),750.0)</f>
        <v>750</v>
      </c>
      <c r="G1618" s="9">
        <f>IFERROR(__xludf.DUMMYFUNCTION("""COMPUTED_VALUE"""),6.0)</f>
        <v>6</v>
      </c>
      <c r="H1618" s="10">
        <f>IFERROR(__xludf.DUMMYFUNCTION("""COMPUTED_VALUE"""),3.0)</f>
        <v>3</v>
      </c>
      <c r="I1618" s="11">
        <f>IFERROR(__xludf.DUMMYFUNCTION("""COMPUTED_VALUE"""),688.0)</f>
        <v>688</v>
      </c>
      <c r="J1618" s="9" t="str">
        <f>IFERROR(__xludf.DUMMYFUNCTION("""COMPUTED_VALUE"""),"UK")</f>
        <v>UK</v>
      </c>
      <c r="K1618" s="8"/>
      <c r="L1618" s="12"/>
      <c r="M1618" s="13"/>
      <c r="N1618" s="13" t="str">
        <f>IFERROR(__xludf.DUMMYFUNCTION("IF(ISBLANK(M1618),"""",M1618*GOOGLEFINANCE(""USDGBP""))"),"")</f>
        <v/>
      </c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8"/>
      <c r="FV1618" s="8"/>
      <c r="FW1618" s="8"/>
      <c r="FX1618" s="8"/>
      <c r="FY1618" s="8"/>
      <c r="FZ1618" s="8"/>
      <c r="GA1618" s="8"/>
      <c r="GB1618" s="8"/>
      <c r="GC1618" s="8"/>
      <c r="GD1618" s="8"/>
      <c r="GE1618" s="8"/>
      <c r="GF1618" s="8"/>
      <c r="GG1618" s="8"/>
      <c r="GH1618" s="8"/>
      <c r="GI1618" s="8"/>
      <c r="GJ1618" s="8"/>
      <c r="GK1618" s="8"/>
      <c r="GL1618" s="8"/>
      <c r="GM1618" s="8"/>
      <c r="GN1618" s="8"/>
      <c r="GO1618" s="8"/>
      <c r="GP1618" s="8"/>
      <c r="GQ1618" s="8"/>
      <c r="GR1618" s="8"/>
      <c r="GS1618" s="8"/>
      <c r="GT1618" s="8"/>
      <c r="GU1618" s="8"/>
      <c r="GV1618" s="8"/>
      <c r="GW1618" s="8"/>
      <c r="GX1618" s="8"/>
    </row>
    <row r="1619">
      <c r="A1619" s="8" t="str">
        <f>IFERROR(__xludf.DUMMYFUNCTION("""COMPUTED_VALUE"""),"128279520060300750")</f>
        <v>128279520060300750</v>
      </c>
      <c r="B1619" s="9" t="str">
        <f>IFERROR(__xludf.DUMMYFUNCTION("""COMPUTED_VALUE"""),"France")</f>
        <v>France</v>
      </c>
      <c r="C1619" s="9" t="str">
        <f>IFERROR(__xludf.DUMMYFUNCTION("""COMPUTED_VALUE"""),"champagne")</f>
        <v>champagne</v>
      </c>
      <c r="D1619" s="9" t="str">
        <f>IFERROR(__xludf.DUMMYFUNCTION("""COMPUTED_VALUE"""),"Dom Perignon, Luminous Rose")</f>
        <v>Dom Perignon, Luminous Rose</v>
      </c>
      <c r="E1619" s="9">
        <f>IFERROR(__xludf.DUMMYFUNCTION("""COMPUTED_VALUE"""),2006.0)</f>
        <v>2006</v>
      </c>
      <c r="F1619" s="9">
        <f>IFERROR(__xludf.DUMMYFUNCTION("""COMPUTED_VALUE"""),750.0)</f>
        <v>750</v>
      </c>
      <c r="G1619" s="9">
        <f>IFERROR(__xludf.DUMMYFUNCTION("""COMPUTED_VALUE"""),3.0)</f>
        <v>3</v>
      </c>
      <c r="H1619" s="10">
        <f>IFERROR(__xludf.DUMMYFUNCTION("""COMPUTED_VALUE"""),5.0)</f>
        <v>5</v>
      </c>
      <c r="I1619" s="11">
        <f>IFERROR(__xludf.DUMMYFUNCTION("""COMPUTED_VALUE"""),1226.0)</f>
        <v>1226</v>
      </c>
      <c r="J1619" s="9" t="str">
        <f>IFERROR(__xludf.DUMMYFUNCTION("""COMPUTED_VALUE"""),"UK")</f>
        <v>UK</v>
      </c>
      <c r="K1619" s="8"/>
      <c r="L1619" s="12"/>
      <c r="M1619" s="13"/>
      <c r="N1619" s="13" t="str">
        <f>IFERROR(__xludf.DUMMYFUNCTION("IF(ISBLANK(M1619),"""",M1619*GOOGLEFINANCE(""USDGBP""))"),"")</f>
        <v/>
      </c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8"/>
      <c r="FV1619" s="8"/>
      <c r="FW1619" s="8"/>
      <c r="FX1619" s="8"/>
      <c r="FY1619" s="8"/>
      <c r="FZ1619" s="8"/>
      <c r="GA1619" s="8"/>
      <c r="GB1619" s="8"/>
      <c r="GC1619" s="8"/>
      <c r="GD1619" s="8"/>
      <c r="GE1619" s="8"/>
      <c r="GF1619" s="8"/>
      <c r="GG1619" s="8"/>
      <c r="GH1619" s="8"/>
      <c r="GI1619" s="8"/>
      <c r="GJ1619" s="8"/>
      <c r="GK1619" s="8"/>
      <c r="GL1619" s="8"/>
      <c r="GM1619" s="8"/>
      <c r="GN1619" s="8"/>
      <c r="GO1619" s="8"/>
      <c r="GP1619" s="8"/>
      <c r="GQ1619" s="8"/>
      <c r="GR1619" s="8"/>
      <c r="GS1619" s="8"/>
      <c r="GT1619" s="8"/>
      <c r="GU1619" s="8"/>
      <c r="GV1619" s="8"/>
      <c r="GW1619" s="8"/>
      <c r="GX1619" s="8"/>
    </row>
    <row r="1620">
      <c r="A1620" s="8" t="str">
        <f>IFERROR(__xludf.DUMMYFUNCTION("""COMPUTED_VALUE"""),"143675220040300750")</f>
        <v>143675220040300750</v>
      </c>
      <c r="B1620" s="9" t="str">
        <f>IFERROR(__xludf.DUMMYFUNCTION("""COMPUTED_VALUE"""),"France")</f>
        <v>France</v>
      </c>
      <c r="C1620" s="9" t="str">
        <f>IFERROR(__xludf.DUMMYFUNCTION("""COMPUTED_VALUE"""),"champagne")</f>
        <v>champagne</v>
      </c>
      <c r="D1620" s="9" t="str">
        <f>IFERROR(__xludf.DUMMYFUNCTION("""COMPUTED_VALUE"""),"Dom Perignon, Michael Riedel Rose")</f>
        <v>Dom Perignon, Michael Riedel Rose</v>
      </c>
      <c r="E1620" s="9">
        <f>IFERROR(__xludf.DUMMYFUNCTION("""COMPUTED_VALUE"""),2004.0)</f>
        <v>2004</v>
      </c>
      <c r="F1620" s="9">
        <f>IFERROR(__xludf.DUMMYFUNCTION("""COMPUTED_VALUE"""),750.0)</f>
        <v>750</v>
      </c>
      <c r="G1620" s="9">
        <f>IFERROR(__xludf.DUMMYFUNCTION("""COMPUTED_VALUE"""),3.0)</f>
        <v>3</v>
      </c>
      <c r="H1620" s="10">
        <f>IFERROR(__xludf.DUMMYFUNCTION("""COMPUTED_VALUE"""),1.0)</f>
        <v>1</v>
      </c>
      <c r="I1620" s="11">
        <f>IFERROR(__xludf.DUMMYFUNCTION("""COMPUTED_VALUE"""),1041.0)</f>
        <v>1041</v>
      </c>
      <c r="J1620" s="9" t="str">
        <f>IFERROR(__xludf.DUMMYFUNCTION("""COMPUTED_VALUE"""),"UK")</f>
        <v>UK</v>
      </c>
      <c r="K1620" s="8"/>
      <c r="L1620" s="12"/>
      <c r="M1620" s="13"/>
      <c r="N1620" s="13" t="str">
        <f>IFERROR(__xludf.DUMMYFUNCTION("IF(ISBLANK(M1620),"""",M1620*GOOGLEFINANCE(""USDGBP""))"),"")</f>
        <v/>
      </c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8"/>
      <c r="FJ1620" s="8"/>
      <c r="FK1620" s="8"/>
      <c r="FL1620" s="8"/>
      <c r="FM1620" s="8"/>
      <c r="FN1620" s="8"/>
      <c r="FO1620" s="8"/>
      <c r="FP1620" s="8"/>
      <c r="FQ1620" s="8"/>
      <c r="FR1620" s="8"/>
      <c r="FS1620" s="8"/>
      <c r="FT1620" s="8"/>
      <c r="FU1620" s="8"/>
      <c r="FV1620" s="8"/>
      <c r="FW1620" s="8"/>
      <c r="FX1620" s="8"/>
      <c r="FY1620" s="8"/>
      <c r="FZ1620" s="8"/>
      <c r="GA1620" s="8"/>
      <c r="GB1620" s="8"/>
      <c r="GC1620" s="8"/>
      <c r="GD1620" s="8"/>
      <c r="GE1620" s="8"/>
      <c r="GF1620" s="8"/>
      <c r="GG1620" s="8"/>
      <c r="GH1620" s="8"/>
      <c r="GI1620" s="8"/>
      <c r="GJ1620" s="8"/>
      <c r="GK1620" s="8"/>
      <c r="GL1620" s="8"/>
      <c r="GM1620" s="8"/>
      <c r="GN1620" s="8"/>
      <c r="GO1620" s="8"/>
      <c r="GP1620" s="8"/>
      <c r="GQ1620" s="8"/>
      <c r="GR1620" s="8"/>
      <c r="GS1620" s="8"/>
      <c r="GT1620" s="8"/>
      <c r="GU1620" s="8"/>
      <c r="GV1620" s="8"/>
      <c r="GW1620" s="8"/>
      <c r="GX1620" s="8"/>
    </row>
    <row r="1621">
      <c r="A1621" s="8" t="str">
        <f>IFERROR(__xludf.DUMMYFUNCTION("""COMPUTED_VALUE"""),"108267220020600750")</f>
        <v>108267220020600750</v>
      </c>
      <c r="B1621" s="9" t="str">
        <f>IFERROR(__xludf.DUMMYFUNCTION("""COMPUTED_VALUE"""),"France")</f>
        <v>France</v>
      </c>
      <c r="C1621" s="9" t="str">
        <f>IFERROR(__xludf.DUMMYFUNCTION("""COMPUTED_VALUE"""),"champagne")</f>
        <v>champagne</v>
      </c>
      <c r="D1621" s="9" t="str">
        <f>IFERROR(__xludf.DUMMYFUNCTION("""COMPUTED_VALUE"""),"Dom Perignon, Rose")</f>
        <v>Dom Perignon, Rose</v>
      </c>
      <c r="E1621" s="9">
        <f>IFERROR(__xludf.DUMMYFUNCTION("""COMPUTED_VALUE"""),2002.0)</f>
        <v>2002</v>
      </c>
      <c r="F1621" s="9">
        <f>IFERROR(__xludf.DUMMYFUNCTION("""COMPUTED_VALUE"""),750.0)</f>
        <v>750</v>
      </c>
      <c r="G1621" s="9">
        <f>IFERROR(__xludf.DUMMYFUNCTION("""COMPUTED_VALUE"""),6.0)</f>
        <v>6</v>
      </c>
      <c r="H1621" s="10">
        <f>IFERROR(__xludf.DUMMYFUNCTION("""COMPUTED_VALUE"""),1.0)</f>
        <v>1</v>
      </c>
      <c r="I1621" s="11">
        <f>IFERROR(__xludf.DUMMYFUNCTION("""COMPUTED_VALUE"""),2088.0)</f>
        <v>2088</v>
      </c>
      <c r="J1621" s="9" t="str">
        <f>IFERROR(__xludf.DUMMYFUNCTION("""COMPUTED_VALUE"""),"UK")</f>
        <v>UK</v>
      </c>
      <c r="K1621" s="8"/>
      <c r="L1621" s="12"/>
      <c r="M1621" s="13"/>
      <c r="N1621" s="13" t="str">
        <f>IFERROR(__xludf.DUMMYFUNCTION("IF(ISBLANK(M1621),"""",M1621*GOOGLEFINANCE(""USDGBP""))"),"")</f>
        <v/>
      </c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8"/>
      <c r="FV1621" s="8"/>
      <c r="FW1621" s="8"/>
      <c r="FX1621" s="8"/>
      <c r="FY1621" s="8"/>
      <c r="FZ1621" s="8"/>
      <c r="GA1621" s="8"/>
      <c r="GB1621" s="8"/>
      <c r="GC1621" s="8"/>
      <c r="GD1621" s="8"/>
      <c r="GE1621" s="8"/>
      <c r="GF1621" s="8"/>
      <c r="GG1621" s="8"/>
      <c r="GH1621" s="8"/>
      <c r="GI1621" s="8"/>
      <c r="GJ1621" s="8"/>
      <c r="GK1621" s="8"/>
      <c r="GL1621" s="8"/>
      <c r="GM1621" s="8"/>
      <c r="GN1621" s="8"/>
      <c r="GO1621" s="8"/>
      <c r="GP1621" s="8"/>
      <c r="GQ1621" s="8"/>
      <c r="GR1621" s="8"/>
      <c r="GS1621" s="8"/>
      <c r="GT1621" s="8"/>
      <c r="GU1621" s="8"/>
      <c r="GV1621" s="8"/>
      <c r="GW1621" s="8"/>
      <c r="GX1621" s="8"/>
    </row>
    <row r="1622">
      <c r="A1622" s="8" t="str">
        <f>IFERROR(__xludf.DUMMYFUNCTION("""COMPUTED_VALUE"""),"108267220030600750")</f>
        <v>108267220030600750</v>
      </c>
      <c r="B1622" s="9" t="str">
        <f>IFERROR(__xludf.DUMMYFUNCTION("""COMPUTED_VALUE"""),"France")</f>
        <v>France</v>
      </c>
      <c r="C1622" s="9" t="str">
        <f>IFERROR(__xludf.DUMMYFUNCTION("""COMPUTED_VALUE"""),"champagne")</f>
        <v>champagne</v>
      </c>
      <c r="D1622" s="9" t="str">
        <f>IFERROR(__xludf.DUMMYFUNCTION("""COMPUTED_VALUE"""),"Dom Perignon, Rose")</f>
        <v>Dom Perignon, Rose</v>
      </c>
      <c r="E1622" s="9">
        <f>IFERROR(__xludf.DUMMYFUNCTION("""COMPUTED_VALUE"""),2003.0)</f>
        <v>2003</v>
      </c>
      <c r="F1622" s="9">
        <f>IFERROR(__xludf.DUMMYFUNCTION("""COMPUTED_VALUE"""),750.0)</f>
        <v>750</v>
      </c>
      <c r="G1622" s="9">
        <f>IFERROR(__xludf.DUMMYFUNCTION("""COMPUTED_VALUE"""),6.0)</f>
        <v>6</v>
      </c>
      <c r="H1622" s="10">
        <f>IFERROR(__xludf.DUMMYFUNCTION("""COMPUTED_VALUE"""),1.0)</f>
        <v>1</v>
      </c>
      <c r="I1622" s="11">
        <f>IFERROR(__xludf.DUMMYFUNCTION("""COMPUTED_VALUE"""),1903.0)</f>
        <v>1903</v>
      </c>
      <c r="J1622" s="9" t="str">
        <f>IFERROR(__xludf.DUMMYFUNCTION("""COMPUTED_VALUE"""),"UK")</f>
        <v>UK</v>
      </c>
      <c r="K1622" s="8"/>
      <c r="L1622" s="12"/>
      <c r="M1622" s="13"/>
      <c r="N1622" s="13" t="str">
        <f>IFERROR(__xludf.DUMMYFUNCTION("IF(ISBLANK(M1622),"""",M1622*GOOGLEFINANCE(""USDGBP""))"),"")</f>
        <v/>
      </c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8"/>
      <c r="FV1622" s="8"/>
      <c r="FW1622" s="8"/>
      <c r="FX1622" s="8"/>
      <c r="FY1622" s="8"/>
      <c r="FZ1622" s="8"/>
      <c r="GA1622" s="8"/>
      <c r="GB1622" s="8"/>
      <c r="GC1622" s="8"/>
      <c r="GD1622" s="8"/>
      <c r="GE1622" s="8"/>
      <c r="GF1622" s="8"/>
      <c r="GG1622" s="8"/>
      <c r="GH1622" s="8"/>
      <c r="GI1622" s="8"/>
      <c r="GJ1622" s="8"/>
      <c r="GK1622" s="8"/>
      <c r="GL1622" s="8"/>
      <c r="GM1622" s="8"/>
      <c r="GN1622" s="8"/>
      <c r="GO1622" s="8"/>
      <c r="GP1622" s="8"/>
      <c r="GQ1622" s="8"/>
      <c r="GR1622" s="8"/>
      <c r="GS1622" s="8"/>
      <c r="GT1622" s="8"/>
      <c r="GU1622" s="8"/>
      <c r="GV1622" s="8"/>
      <c r="GW1622" s="8"/>
      <c r="GX1622" s="8"/>
    </row>
    <row r="1623">
      <c r="A1623" s="8" t="str">
        <f>IFERROR(__xludf.DUMMYFUNCTION("""COMPUTED_VALUE"""),"108267220050600750")</f>
        <v>108267220050600750</v>
      </c>
      <c r="B1623" s="9" t="str">
        <f>IFERROR(__xludf.DUMMYFUNCTION("""COMPUTED_VALUE"""),"France")</f>
        <v>France</v>
      </c>
      <c r="C1623" s="9" t="str">
        <f>IFERROR(__xludf.DUMMYFUNCTION("""COMPUTED_VALUE"""),"champagne")</f>
        <v>champagne</v>
      </c>
      <c r="D1623" s="9" t="str">
        <f>IFERROR(__xludf.DUMMYFUNCTION("""COMPUTED_VALUE"""),"Dom Perignon, Rose")</f>
        <v>Dom Perignon, Rose</v>
      </c>
      <c r="E1623" s="9">
        <f>IFERROR(__xludf.DUMMYFUNCTION("""COMPUTED_VALUE"""),2005.0)</f>
        <v>2005</v>
      </c>
      <c r="F1623" s="9">
        <f>IFERROR(__xludf.DUMMYFUNCTION("""COMPUTED_VALUE"""),750.0)</f>
        <v>750</v>
      </c>
      <c r="G1623" s="9">
        <f>IFERROR(__xludf.DUMMYFUNCTION("""COMPUTED_VALUE"""),6.0)</f>
        <v>6</v>
      </c>
      <c r="H1623" s="10">
        <f>IFERROR(__xludf.DUMMYFUNCTION("""COMPUTED_VALUE"""),1.0)</f>
        <v>1</v>
      </c>
      <c r="I1623" s="11">
        <f>IFERROR(__xludf.DUMMYFUNCTION("""COMPUTED_VALUE"""),1790.0)</f>
        <v>1790</v>
      </c>
      <c r="J1623" s="9" t="str">
        <f>IFERROR(__xludf.DUMMYFUNCTION("""COMPUTED_VALUE"""),"UK")</f>
        <v>UK</v>
      </c>
      <c r="K1623" s="8"/>
      <c r="L1623" s="12"/>
      <c r="M1623" s="13"/>
      <c r="N1623" s="13" t="str">
        <f>IFERROR(__xludf.DUMMYFUNCTION("IF(ISBLANK(M1623),"""",M1623*GOOGLEFINANCE(""USDGBP""))"),"")</f>
        <v/>
      </c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</row>
    <row r="1624">
      <c r="A1624" s="8" t="str">
        <f>IFERROR(__xludf.DUMMYFUNCTION("""COMPUTED_VALUE"""),"108267220060600750")</f>
        <v>108267220060600750</v>
      </c>
      <c r="B1624" s="9" t="str">
        <f>IFERROR(__xludf.DUMMYFUNCTION("""COMPUTED_VALUE"""),"France")</f>
        <v>France</v>
      </c>
      <c r="C1624" s="9" t="str">
        <f>IFERROR(__xludf.DUMMYFUNCTION("""COMPUTED_VALUE"""),"champagne")</f>
        <v>champagne</v>
      </c>
      <c r="D1624" s="9" t="str">
        <f>IFERROR(__xludf.DUMMYFUNCTION("""COMPUTED_VALUE"""),"Dom Perignon, Rose")</f>
        <v>Dom Perignon, Rose</v>
      </c>
      <c r="E1624" s="9">
        <f>IFERROR(__xludf.DUMMYFUNCTION("""COMPUTED_VALUE"""),2006.0)</f>
        <v>2006</v>
      </c>
      <c r="F1624" s="9">
        <f>IFERROR(__xludf.DUMMYFUNCTION("""COMPUTED_VALUE"""),750.0)</f>
        <v>750</v>
      </c>
      <c r="G1624" s="9">
        <f>IFERROR(__xludf.DUMMYFUNCTION("""COMPUTED_VALUE"""),6.0)</f>
        <v>6</v>
      </c>
      <c r="H1624" s="10">
        <f>IFERROR(__xludf.DUMMYFUNCTION("""COMPUTED_VALUE"""),1.0)</f>
        <v>1</v>
      </c>
      <c r="I1624" s="11">
        <f>IFERROR(__xludf.DUMMYFUNCTION("""COMPUTED_VALUE"""),1629.0)</f>
        <v>1629</v>
      </c>
      <c r="J1624" s="9" t="str">
        <f>IFERROR(__xludf.DUMMYFUNCTION("""COMPUTED_VALUE"""),"UK")</f>
        <v>UK</v>
      </c>
      <c r="K1624" s="8"/>
      <c r="L1624" s="12"/>
      <c r="M1624" s="13"/>
      <c r="N1624" s="13" t="str">
        <f>IFERROR(__xludf.DUMMYFUNCTION("IF(ISBLANK(M1624),"""",M1624*GOOGLEFINANCE(""USDGBP""))"),"")</f>
        <v/>
      </c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8"/>
      <c r="FJ1624" s="8"/>
      <c r="FK1624" s="8"/>
      <c r="FL1624" s="8"/>
      <c r="FM1624" s="8"/>
      <c r="FN1624" s="8"/>
      <c r="FO1624" s="8"/>
      <c r="FP1624" s="8"/>
      <c r="FQ1624" s="8"/>
      <c r="FR1624" s="8"/>
      <c r="FS1624" s="8"/>
      <c r="FT1624" s="8"/>
      <c r="FU1624" s="8"/>
      <c r="FV1624" s="8"/>
      <c r="FW1624" s="8"/>
      <c r="FX1624" s="8"/>
      <c r="FY1624" s="8"/>
      <c r="FZ1624" s="8"/>
      <c r="GA1624" s="8"/>
      <c r="GB1624" s="8"/>
      <c r="GC1624" s="8"/>
      <c r="GD1624" s="8"/>
      <c r="GE1624" s="8"/>
      <c r="GF1624" s="8"/>
      <c r="GG1624" s="8"/>
      <c r="GH1624" s="8"/>
      <c r="GI1624" s="8"/>
      <c r="GJ1624" s="8"/>
      <c r="GK1624" s="8"/>
      <c r="GL1624" s="8"/>
      <c r="GM1624" s="8"/>
      <c r="GN1624" s="8"/>
      <c r="GO1624" s="8"/>
      <c r="GP1624" s="8"/>
      <c r="GQ1624" s="8"/>
      <c r="GR1624" s="8"/>
      <c r="GS1624" s="8"/>
      <c r="GT1624" s="8"/>
      <c r="GU1624" s="8"/>
      <c r="GV1624" s="8"/>
      <c r="GW1624" s="8"/>
      <c r="GX1624" s="8"/>
    </row>
    <row r="1625">
      <c r="A1625" s="8" t="str">
        <f>IFERROR(__xludf.DUMMYFUNCTION("""COMPUTED_VALUE"""),"108255520000100750")</f>
        <v>108255520000100750</v>
      </c>
      <c r="B1625" s="9" t="str">
        <f>IFERROR(__xludf.DUMMYFUNCTION("""COMPUTED_VALUE"""),"France")</f>
        <v>France</v>
      </c>
      <c r="C1625" s="9" t="str">
        <f>IFERROR(__xludf.DUMMYFUNCTION("""COMPUTED_VALUE"""),"champagne")</f>
        <v>champagne</v>
      </c>
      <c r="D1625" s="9" t="str">
        <f>IFERROR(__xludf.DUMMYFUNCTION("""COMPUTED_VALUE"""),"Louis Roederer, Cristal Rose")</f>
        <v>Louis Roederer, Cristal Rose</v>
      </c>
      <c r="E1625" s="9">
        <f>IFERROR(__xludf.DUMMYFUNCTION("""COMPUTED_VALUE"""),2000.0)</f>
        <v>2000</v>
      </c>
      <c r="F1625" s="9">
        <f>IFERROR(__xludf.DUMMYFUNCTION("""COMPUTED_VALUE"""),750.0)</f>
        <v>750</v>
      </c>
      <c r="G1625" s="9">
        <f>IFERROR(__xludf.DUMMYFUNCTION("""COMPUTED_VALUE"""),1.0)</f>
        <v>1</v>
      </c>
      <c r="H1625" s="10">
        <f>IFERROR(__xludf.DUMMYFUNCTION("""COMPUTED_VALUE"""),1.0)</f>
        <v>1</v>
      </c>
      <c r="I1625" s="11">
        <f>IFERROR(__xludf.DUMMYFUNCTION("""COMPUTED_VALUE"""),514.0)</f>
        <v>514</v>
      </c>
      <c r="J1625" s="9" t="str">
        <f>IFERROR(__xludf.DUMMYFUNCTION("""COMPUTED_VALUE"""),"UK")</f>
        <v>UK</v>
      </c>
      <c r="K1625" s="8"/>
      <c r="L1625" s="12"/>
      <c r="M1625" s="13"/>
      <c r="N1625" s="13" t="str">
        <f>IFERROR(__xludf.DUMMYFUNCTION("IF(ISBLANK(M1625),"""",M1625*GOOGLEFINANCE(""USDGBP""))"),"")</f>
        <v/>
      </c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</row>
    <row r="1626">
      <c r="A1626" s="8" t="str">
        <f>IFERROR(__xludf.DUMMYFUNCTION("""COMPUTED_VALUE"""),"108255520050100750")</f>
        <v>108255520050100750</v>
      </c>
      <c r="B1626" s="9" t="str">
        <f>IFERROR(__xludf.DUMMYFUNCTION("""COMPUTED_VALUE"""),"France")</f>
        <v>France</v>
      </c>
      <c r="C1626" s="9" t="str">
        <f>IFERROR(__xludf.DUMMYFUNCTION("""COMPUTED_VALUE"""),"champagne")</f>
        <v>champagne</v>
      </c>
      <c r="D1626" s="9" t="str">
        <f>IFERROR(__xludf.DUMMYFUNCTION("""COMPUTED_VALUE"""),"Louis Roederer, Cristal Rose")</f>
        <v>Louis Roederer, Cristal Rose</v>
      </c>
      <c r="E1626" s="9">
        <f>IFERROR(__xludf.DUMMYFUNCTION("""COMPUTED_VALUE"""),2005.0)</f>
        <v>2005</v>
      </c>
      <c r="F1626" s="9">
        <f>IFERROR(__xludf.DUMMYFUNCTION("""COMPUTED_VALUE"""),750.0)</f>
        <v>750</v>
      </c>
      <c r="G1626" s="9">
        <f>IFERROR(__xludf.DUMMYFUNCTION("""COMPUTED_VALUE"""),1.0)</f>
        <v>1</v>
      </c>
      <c r="H1626" s="10">
        <f>IFERROR(__xludf.DUMMYFUNCTION("""COMPUTED_VALUE"""),1.0)</f>
        <v>1</v>
      </c>
      <c r="I1626" s="11">
        <f>IFERROR(__xludf.DUMMYFUNCTION("""COMPUTED_VALUE"""),507.0)</f>
        <v>507</v>
      </c>
      <c r="J1626" s="9" t="str">
        <f>IFERROR(__xludf.DUMMYFUNCTION("""COMPUTED_VALUE"""),"UK")</f>
        <v>UK</v>
      </c>
      <c r="K1626" s="8"/>
      <c r="L1626" s="12"/>
      <c r="M1626" s="13"/>
      <c r="N1626" s="13" t="str">
        <f>IFERROR(__xludf.DUMMYFUNCTION("IF(ISBLANK(M1626),"""",M1626*GOOGLEFINANCE(""USDGBP""))"),"")</f>
        <v/>
      </c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8"/>
      <c r="FV1626" s="8"/>
      <c r="FW1626" s="8"/>
      <c r="FX1626" s="8"/>
      <c r="FY1626" s="8"/>
      <c r="FZ1626" s="8"/>
      <c r="GA1626" s="8"/>
      <c r="GB1626" s="8"/>
      <c r="GC1626" s="8"/>
      <c r="GD1626" s="8"/>
      <c r="GE1626" s="8"/>
      <c r="GF1626" s="8"/>
      <c r="GG1626" s="8"/>
      <c r="GH1626" s="8"/>
      <c r="GI1626" s="8"/>
      <c r="GJ1626" s="8"/>
      <c r="GK1626" s="8"/>
      <c r="GL1626" s="8"/>
      <c r="GM1626" s="8"/>
      <c r="GN1626" s="8"/>
      <c r="GO1626" s="8"/>
      <c r="GP1626" s="8"/>
      <c r="GQ1626" s="8"/>
      <c r="GR1626" s="8"/>
      <c r="GS1626" s="8"/>
      <c r="GT1626" s="8"/>
      <c r="GU1626" s="8"/>
      <c r="GV1626" s="8"/>
      <c r="GW1626" s="8"/>
      <c r="GX1626" s="8"/>
    </row>
    <row r="1627">
      <c r="A1627" s="8" t="str">
        <f>IFERROR(__xludf.DUMMYFUNCTION("""COMPUTED_VALUE"""),"108255520070300750")</f>
        <v>108255520070300750</v>
      </c>
      <c r="B1627" s="9" t="str">
        <f>IFERROR(__xludf.DUMMYFUNCTION("""COMPUTED_VALUE"""),"France")</f>
        <v>France</v>
      </c>
      <c r="C1627" s="9" t="str">
        <f>IFERROR(__xludf.DUMMYFUNCTION("""COMPUTED_VALUE"""),"champagne")</f>
        <v>champagne</v>
      </c>
      <c r="D1627" s="9" t="str">
        <f>IFERROR(__xludf.DUMMYFUNCTION("""COMPUTED_VALUE"""),"Louis Roederer, Cristal Rose")</f>
        <v>Louis Roederer, Cristal Rose</v>
      </c>
      <c r="E1627" s="9">
        <f>IFERROR(__xludf.DUMMYFUNCTION("""COMPUTED_VALUE"""),2007.0)</f>
        <v>2007</v>
      </c>
      <c r="F1627" s="9">
        <f>IFERROR(__xludf.DUMMYFUNCTION("""COMPUTED_VALUE"""),750.0)</f>
        <v>750</v>
      </c>
      <c r="G1627" s="9">
        <f>IFERROR(__xludf.DUMMYFUNCTION("""COMPUTED_VALUE"""),3.0)</f>
        <v>3</v>
      </c>
      <c r="H1627" s="10">
        <f>IFERROR(__xludf.DUMMYFUNCTION("""COMPUTED_VALUE"""),1.0)</f>
        <v>1</v>
      </c>
      <c r="I1627" s="11">
        <f>IFERROR(__xludf.DUMMYFUNCTION("""COMPUTED_VALUE"""),1318.0)</f>
        <v>1318</v>
      </c>
      <c r="J1627" s="9" t="str">
        <f>IFERROR(__xludf.DUMMYFUNCTION("""COMPUTED_VALUE"""),"UK")</f>
        <v>UK</v>
      </c>
      <c r="K1627" s="8"/>
      <c r="L1627" s="12"/>
      <c r="M1627" s="13"/>
      <c r="N1627" s="13" t="str">
        <f>IFERROR(__xludf.DUMMYFUNCTION("IF(ISBLANK(M1627),"""",M1627*GOOGLEFINANCE(""USDGBP""))"),"")</f>
        <v/>
      </c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  <c r="GG1627" s="8"/>
      <c r="GH1627" s="8"/>
      <c r="GI1627" s="8"/>
      <c r="GJ1627" s="8"/>
      <c r="GK1627" s="8"/>
      <c r="GL1627" s="8"/>
      <c r="GM1627" s="8"/>
      <c r="GN1627" s="8"/>
      <c r="GO1627" s="8"/>
      <c r="GP1627" s="8"/>
      <c r="GQ1627" s="8"/>
      <c r="GR1627" s="8"/>
      <c r="GS1627" s="8"/>
      <c r="GT1627" s="8"/>
      <c r="GU1627" s="8"/>
      <c r="GV1627" s="8"/>
      <c r="GW1627" s="8"/>
      <c r="GX1627" s="8"/>
    </row>
    <row r="1628">
      <c r="A1628" s="8" t="str">
        <f>IFERROR(__xludf.DUMMYFUNCTION("""COMPUTED_VALUE"""),"108255520090101500")</f>
        <v>108255520090101500</v>
      </c>
      <c r="B1628" s="9" t="str">
        <f>IFERROR(__xludf.DUMMYFUNCTION("""COMPUTED_VALUE"""),"France")</f>
        <v>France</v>
      </c>
      <c r="C1628" s="9" t="str">
        <f>IFERROR(__xludf.DUMMYFUNCTION("""COMPUTED_VALUE"""),"champagne")</f>
        <v>champagne</v>
      </c>
      <c r="D1628" s="9" t="str">
        <f>IFERROR(__xludf.DUMMYFUNCTION("""COMPUTED_VALUE"""),"Louis Roederer, Cristal Rose")</f>
        <v>Louis Roederer, Cristal Rose</v>
      </c>
      <c r="E1628" s="9">
        <f>IFERROR(__xludf.DUMMYFUNCTION("""COMPUTED_VALUE"""),2009.0)</f>
        <v>2009</v>
      </c>
      <c r="F1628" s="9">
        <f>IFERROR(__xludf.DUMMYFUNCTION("""COMPUTED_VALUE"""),1500.0)</f>
        <v>1500</v>
      </c>
      <c r="G1628" s="9">
        <f>IFERROR(__xludf.DUMMYFUNCTION("""COMPUTED_VALUE"""),1.0)</f>
        <v>1</v>
      </c>
      <c r="H1628" s="10">
        <f>IFERROR(__xludf.DUMMYFUNCTION("""COMPUTED_VALUE"""),2.0)</f>
        <v>2</v>
      </c>
      <c r="I1628" s="11">
        <f>IFERROR(__xludf.DUMMYFUNCTION("""COMPUTED_VALUE"""),963.0)</f>
        <v>963</v>
      </c>
      <c r="J1628" s="9" t="str">
        <f>IFERROR(__xludf.DUMMYFUNCTION("""COMPUTED_VALUE"""),"UK")</f>
        <v>UK</v>
      </c>
      <c r="K1628" s="8"/>
      <c r="L1628" s="12"/>
      <c r="M1628" s="13"/>
      <c r="N1628" s="13" t="str">
        <f>IFERROR(__xludf.DUMMYFUNCTION("IF(ISBLANK(M1628),"""",M1628*GOOGLEFINANCE(""USDGBP""))"),"")</f>
        <v/>
      </c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  <c r="GA1628" s="8"/>
      <c r="GB1628" s="8"/>
      <c r="GC1628" s="8"/>
      <c r="GD1628" s="8"/>
      <c r="GE1628" s="8"/>
      <c r="GF1628" s="8"/>
      <c r="GG1628" s="8"/>
      <c r="GH1628" s="8"/>
      <c r="GI1628" s="8"/>
      <c r="GJ1628" s="8"/>
      <c r="GK1628" s="8"/>
      <c r="GL1628" s="8"/>
      <c r="GM1628" s="8"/>
      <c r="GN1628" s="8"/>
      <c r="GO1628" s="8"/>
      <c r="GP1628" s="8"/>
      <c r="GQ1628" s="8"/>
      <c r="GR1628" s="8"/>
      <c r="GS1628" s="8"/>
      <c r="GT1628" s="8"/>
      <c r="GU1628" s="8"/>
      <c r="GV1628" s="8"/>
      <c r="GW1628" s="8"/>
      <c r="GX1628" s="8"/>
    </row>
    <row r="1629">
      <c r="A1629" s="8" t="str">
        <f>IFERROR(__xludf.DUMMYFUNCTION("""COMPUTED_VALUE"""),"108255520120300750")</f>
        <v>108255520120300750</v>
      </c>
      <c r="B1629" s="9" t="str">
        <f>IFERROR(__xludf.DUMMYFUNCTION("""COMPUTED_VALUE"""),"France")</f>
        <v>France</v>
      </c>
      <c r="C1629" s="9" t="str">
        <f>IFERROR(__xludf.DUMMYFUNCTION("""COMPUTED_VALUE"""),"champagne")</f>
        <v>champagne</v>
      </c>
      <c r="D1629" s="9" t="str">
        <f>IFERROR(__xludf.DUMMYFUNCTION("""COMPUTED_VALUE"""),"Louis Roederer, Cristal Rose")</f>
        <v>Louis Roederer, Cristal Rose</v>
      </c>
      <c r="E1629" s="9">
        <f>IFERROR(__xludf.DUMMYFUNCTION("""COMPUTED_VALUE"""),2012.0)</f>
        <v>2012</v>
      </c>
      <c r="F1629" s="9">
        <f>IFERROR(__xludf.DUMMYFUNCTION("""COMPUTED_VALUE"""),750.0)</f>
        <v>750</v>
      </c>
      <c r="G1629" s="9">
        <f>IFERROR(__xludf.DUMMYFUNCTION("""COMPUTED_VALUE"""),3.0)</f>
        <v>3</v>
      </c>
      <c r="H1629" s="10">
        <f>IFERROR(__xludf.DUMMYFUNCTION("""COMPUTED_VALUE"""),5.0)</f>
        <v>5</v>
      </c>
      <c r="I1629" s="11">
        <f>IFERROR(__xludf.DUMMYFUNCTION("""COMPUTED_VALUE"""),1286.0)</f>
        <v>1286</v>
      </c>
      <c r="J1629" s="9" t="str">
        <f>IFERROR(__xludf.DUMMYFUNCTION("""COMPUTED_VALUE"""),"UK")</f>
        <v>UK</v>
      </c>
      <c r="K1629" s="8"/>
      <c r="L1629" s="12"/>
      <c r="M1629" s="13"/>
      <c r="N1629" s="13" t="str">
        <f>IFERROR(__xludf.DUMMYFUNCTION("IF(ISBLANK(M1629),"""",M1629*GOOGLEFINANCE(""USDGBP""))"),"")</f>
        <v/>
      </c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  <c r="GG1629" s="8"/>
      <c r="GH1629" s="8"/>
      <c r="GI1629" s="8"/>
      <c r="GJ1629" s="8"/>
      <c r="GK1629" s="8"/>
      <c r="GL1629" s="8"/>
      <c r="GM1629" s="8"/>
      <c r="GN1629" s="8"/>
      <c r="GO1629" s="8"/>
      <c r="GP1629" s="8"/>
      <c r="GQ1629" s="8"/>
      <c r="GR1629" s="8"/>
      <c r="GS1629" s="8"/>
      <c r="GT1629" s="8"/>
      <c r="GU1629" s="8"/>
      <c r="GV1629" s="8"/>
      <c r="GW1629" s="8"/>
      <c r="GX1629" s="8"/>
    </row>
    <row r="1630">
      <c r="A1630" s="8" t="str">
        <f>IFERROR(__xludf.DUMMYFUNCTION("""COMPUTED_VALUE"""),"108255520120101500")</f>
        <v>108255520120101500</v>
      </c>
      <c r="B1630" s="9" t="str">
        <f>IFERROR(__xludf.DUMMYFUNCTION("""COMPUTED_VALUE"""),"France")</f>
        <v>France</v>
      </c>
      <c r="C1630" s="9" t="str">
        <f>IFERROR(__xludf.DUMMYFUNCTION("""COMPUTED_VALUE"""),"champagne")</f>
        <v>champagne</v>
      </c>
      <c r="D1630" s="9" t="str">
        <f>IFERROR(__xludf.DUMMYFUNCTION("""COMPUTED_VALUE"""),"Louis Roederer, Cristal Rose")</f>
        <v>Louis Roederer, Cristal Rose</v>
      </c>
      <c r="E1630" s="9">
        <f>IFERROR(__xludf.DUMMYFUNCTION("""COMPUTED_VALUE"""),2012.0)</f>
        <v>2012</v>
      </c>
      <c r="F1630" s="9">
        <f>IFERROR(__xludf.DUMMYFUNCTION("""COMPUTED_VALUE"""),1500.0)</f>
        <v>1500</v>
      </c>
      <c r="G1630" s="9">
        <f>IFERROR(__xludf.DUMMYFUNCTION("""COMPUTED_VALUE"""),1.0)</f>
        <v>1</v>
      </c>
      <c r="H1630" s="10">
        <f>IFERROR(__xludf.DUMMYFUNCTION("""COMPUTED_VALUE"""),2.0)</f>
        <v>2</v>
      </c>
      <c r="I1630" s="11">
        <f>IFERROR(__xludf.DUMMYFUNCTION("""COMPUTED_VALUE"""),910.0)</f>
        <v>910</v>
      </c>
      <c r="J1630" s="9" t="str">
        <f>IFERROR(__xludf.DUMMYFUNCTION("""COMPUTED_VALUE"""),"UK")</f>
        <v>UK</v>
      </c>
      <c r="K1630" s="8"/>
      <c r="L1630" s="12"/>
      <c r="M1630" s="13"/>
      <c r="N1630" s="13" t="str">
        <f>IFERROR(__xludf.DUMMYFUNCTION("IF(ISBLANK(M1630),"""",M1630*GOOGLEFINANCE(""USDGBP""))"),"")</f>
        <v/>
      </c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</row>
    <row r="1631">
      <c r="A1631" s="8" t="str">
        <f>IFERROR(__xludf.DUMMYFUNCTION("""COMPUTED_VALUE"""),"108255520130600750")</f>
        <v>108255520130600750</v>
      </c>
      <c r="B1631" s="9" t="str">
        <f>IFERROR(__xludf.DUMMYFUNCTION("""COMPUTED_VALUE"""),"France")</f>
        <v>France</v>
      </c>
      <c r="C1631" s="9" t="str">
        <f>IFERROR(__xludf.DUMMYFUNCTION("""COMPUTED_VALUE"""),"champagne")</f>
        <v>champagne</v>
      </c>
      <c r="D1631" s="9" t="str">
        <f>IFERROR(__xludf.DUMMYFUNCTION("""COMPUTED_VALUE"""),"Louis Roederer, Cristal Rose")</f>
        <v>Louis Roederer, Cristal Rose</v>
      </c>
      <c r="E1631" s="9">
        <f>IFERROR(__xludf.DUMMYFUNCTION("""COMPUTED_VALUE"""),2013.0)</f>
        <v>2013</v>
      </c>
      <c r="F1631" s="9">
        <f>IFERROR(__xludf.DUMMYFUNCTION("""COMPUTED_VALUE"""),750.0)</f>
        <v>750</v>
      </c>
      <c r="G1631" s="9">
        <f>IFERROR(__xludf.DUMMYFUNCTION("""COMPUTED_VALUE"""),6.0)</f>
        <v>6</v>
      </c>
      <c r="H1631" s="10">
        <f>IFERROR(__xludf.DUMMYFUNCTION("""COMPUTED_VALUE"""),2.0)</f>
        <v>2</v>
      </c>
      <c r="I1631" s="11">
        <f>IFERROR(__xludf.DUMMYFUNCTION("""COMPUTED_VALUE"""),2328.0)</f>
        <v>2328</v>
      </c>
      <c r="J1631" s="9" t="str">
        <f>IFERROR(__xludf.DUMMYFUNCTION("""COMPUTED_VALUE"""),"UK")</f>
        <v>UK</v>
      </c>
      <c r="K1631" s="8"/>
      <c r="L1631" s="12"/>
      <c r="M1631" s="13"/>
      <c r="N1631" s="13" t="str">
        <f>IFERROR(__xludf.DUMMYFUNCTION("IF(ISBLANK(M1631),"""",M1631*GOOGLEFINANCE(""USDGBP""))"),"")</f>
        <v/>
      </c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  <c r="GA1631" s="8"/>
      <c r="GB1631" s="8"/>
      <c r="GC1631" s="8"/>
      <c r="GD1631" s="8"/>
      <c r="GE1631" s="8"/>
      <c r="GF1631" s="8"/>
      <c r="GG1631" s="8"/>
      <c r="GH1631" s="8"/>
      <c r="GI1631" s="8"/>
      <c r="GJ1631" s="8"/>
      <c r="GK1631" s="8"/>
      <c r="GL1631" s="8"/>
      <c r="GM1631" s="8"/>
      <c r="GN1631" s="8"/>
      <c r="GO1631" s="8"/>
      <c r="GP1631" s="8"/>
      <c r="GQ1631" s="8"/>
      <c r="GR1631" s="8"/>
      <c r="GS1631" s="8"/>
      <c r="GT1631" s="8"/>
      <c r="GU1631" s="8"/>
      <c r="GV1631" s="8"/>
      <c r="GW1631" s="8"/>
      <c r="GX1631" s="8"/>
    </row>
    <row r="1632">
      <c r="A1632" s="8" t="str">
        <f>IFERROR(__xludf.DUMMYFUNCTION("""COMPUTED_VALUE"""),"131178320080600750")</f>
        <v>131178320080600750</v>
      </c>
      <c r="B1632" s="9" t="str">
        <f>IFERROR(__xludf.DUMMYFUNCTION("""COMPUTED_VALUE"""),"France")</f>
        <v>France</v>
      </c>
      <c r="C1632" s="9" t="str">
        <f>IFERROR(__xludf.DUMMYFUNCTION("""COMPUTED_VALUE"""),"champagne")</f>
        <v>champagne</v>
      </c>
      <c r="D1632" s="9" t="str">
        <f>IFERROR(__xludf.DUMMYFUNCTION("""COMPUTED_VALUE"""),"Philipponnat, Clos des Goisses Juste Rose")</f>
        <v>Philipponnat, Clos des Goisses Juste Rose</v>
      </c>
      <c r="E1632" s="9">
        <f>IFERROR(__xludf.DUMMYFUNCTION("""COMPUTED_VALUE"""),2008.0)</f>
        <v>2008</v>
      </c>
      <c r="F1632" s="9">
        <f>IFERROR(__xludf.DUMMYFUNCTION("""COMPUTED_VALUE"""),750.0)</f>
        <v>750</v>
      </c>
      <c r="G1632" s="9">
        <f>IFERROR(__xludf.DUMMYFUNCTION("""COMPUTED_VALUE"""),6.0)</f>
        <v>6</v>
      </c>
      <c r="H1632" s="10">
        <f>IFERROR(__xludf.DUMMYFUNCTION("""COMPUTED_VALUE"""),1.0)</f>
        <v>1</v>
      </c>
      <c r="I1632" s="11">
        <f>IFERROR(__xludf.DUMMYFUNCTION("""COMPUTED_VALUE"""),1594.0)</f>
        <v>1594</v>
      </c>
      <c r="J1632" s="9" t="str">
        <f>IFERROR(__xludf.DUMMYFUNCTION("""COMPUTED_VALUE"""),"UK")</f>
        <v>UK</v>
      </c>
      <c r="K1632" s="8"/>
      <c r="L1632" s="12"/>
      <c r="M1632" s="13"/>
      <c r="N1632" s="13" t="str">
        <f>IFERROR(__xludf.DUMMYFUNCTION("IF(ISBLANK(M1632),"""",M1632*GOOGLEFINANCE(""USDGBP""))"),"")</f>
        <v/>
      </c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</row>
    <row r="1633">
      <c r="A1633" s="8" t="str">
        <f>IFERROR(__xludf.DUMMYFUNCTION("""COMPUTED_VALUE"""),"131438020030600750")</f>
        <v>131438020030600750</v>
      </c>
      <c r="B1633" s="9" t="str">
        <f>IFERROR(__xludf.DUMMYFUNCTION("""COMPUTED_VALUE"""),"France")</f>
        <v>France</v>
      </c>
      <c r="C1633" s="9" t="str">
        <f>IFERROR(__xludf.DUMMYFUNCTION("""COMPUTED_VALUE"""),"champagne")</f>
        <v>champagne</v>
      </c>
      <c r="D1633" s="9" t="str">
        <f>IFERROR(__xludf.DUMMYFUNCTION("""COMPUTED_VALUE"""),"Taittinger, Comtes de Champagne Rose")</f>
        <v>Taittinger, Comtes de Champagne Rose</v>
      </c>
      <c r="E1633" s="9">
        <f>IFERROR(__xludf.DUMMYFUNCTION("""COMPUTED_VALUE"""),2003.0)</f>
        <v>2003</v>
      </c>
      <c r="F1633" s="9">
        <f>IFERROR(__xludf.DUMMYFUNCTION("""COMPUTED_VALUE"""),750.0)</f>
        <v>750</v>
      </c>
      <c r="G1633" s="9">
        <f>IFERROR(__xludf.DUMMYFUNCTION("""COMPUTED_VALUE"""),6.0)</f>
        <v>6</v>
      </c>
      <c r="H1633" s="10">
        <f>IFERROR(__xludf.DUMMYFUNCTION("""COMPUTED_VALUE"""),1.0)</f>
        <v>1</v>
      </c>
      <c r="I1633" s="11">
        <f>IFERROR(__xludf.DUMMYFUNCTION("""COMPUTED_VALUE"""),1054.0)</f>
        <v>1054</v>
      </c>
      <c r="J1633" s="9" t="str">
        <f>IFERROR(__xludf.DUMMYFUNCTION("""COMPUTED_VALUE"""),"UK")</f>
        <v>UK</v>
      </c>
      <c r="K1633" s="8"/>
      <c r="L1633" s="12"/>
      <c r="M1633" s="13"/>
      <c r="N1633" s="13" t="str">
        <f>IFERROR(__xludf.DUMMYFUNCTION("IF(ISBLANK(M1633),"""",M1633*GOOGLEFINANCE(""USDGBP""))"),"")</f>
        <v/>
      </c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</row>
    <row r="1634">
      <c r="A1634" s="8" t="str">
        <f>IFERROR(__xludf.DUMMYFUNCTION("""COMPUTED_VALUE"""),"131438020040600750")</f>
        <v>131438020040600750</v>
      </c>
      <c r="B1634" s="9" t="str">
        <f>IFERROR(__xludf.DUMMYFUNCTION("""COMPUTED_VALUE"""),"France")</f>
        <v>France</v>
      </c>
      <c r="C1634" s="9" t="str">
        <f>IFERROR(__xludf.DUMMYFUNCTION("""COMPUTED_VALUE"""),"champagne")</f>
        <v>champagne</v>
      </c>
      <c r="D1634" s="9" t="str">
        <f>IFERROR(__xludf.DUMMYFUNCTION("""COMPUTED_VALUE"""),"Taittinger, Comtes de Champagne Rose")</f>
        <v>Taittinger, Comtes de Champagne Rose</v>
      </c>
      <c r="E1634" s="9">
        <f>IFERROR(__xludf.DUMMYFUNCTION("""COMPUTED_VALUE"""),2004.0)</f>
        <v>2004</v>
      </c>
      <c r="F1634" s="9">
        <f>IFERROR(__xludf.DUMMYFUNCTION("""COMPUTED_VALUE"""),750.0)</f>
        <v>750</v>
      </c>
      <c r="G1634" s="9">
        <f>IFERROR(__xludf.DUMMYFUNCTION("""COMPUTED_VALUE"""),6.0)</f>
        <v>6</v>
      </c>
      <c r="H1634" s="10">
        <f>IFERROR(__xludf.DUMMYFUNCTION("""COMPUTED_VALUE"""),4.0)</f>
        <v>4</v>
      </c>
      <c r="I1634" s="11">
        <f>IFERROR(__xludf.DUMMYFUNCTION("""COMPUTED_VALUE"""),1284.0)</f>
        <v>1284</v>
      </c>
      <c r="J1634" s="9" t="str">
        <f>IFERROR(__xludf.DUMMYFUNCTION("""COMPUTED_VALUE"""),"UK")</f>
        <v>UK</v>
      </c>
      <c r="K1634" s="8"/>
      <c r="L1634" s="12"/>
      <c r="M1634" s="13"/>
      <c r="N1634" s="13" t="str">
        <f>IFERROR(__xludf.DUMMYFUNCTION("IF(ISBLANK(M1634),"""",M1634*GOOGLEFINANCE(""USDGBP""))"),"")</f>
        <v/>
      </c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  <c r="GG1634" s="8"/>
      <c r="GH1634" s="8"/>
      <c r="GI1634" s="8"/>
      <c r="GJ1634" s="8"/>
      <c r="GK1634" s="8"/>
      <c r="GL1634" s="8"/>
      <c r="GM1634" s="8"/>
      <c r="GN1634" s="8"/>
      <c r="GO1634" s="8"/>
      <c r="GP1634" s="8"/>
      <c r="GQ1634" s="8"/>
      <c r="GR1634" s="8"/>
      <c r="GS1634" s="8"/>
      <c r="GT1634" s="8"/>
      <c r="GU1634" s="8"/>
      <c r="GV1634" s="8"/>
      <c r="GW1634" s="8"/>
      <c r="GX1634" s="8"/>
    </row>
    <row r="1635">
      <c r="A1635" s="8" t="str">
        <f>IFERROR(__xludf.DUMMYFUNCTION("""COMPUTED_VALUE"""),"131438020050600750")</f>
        <v>131438020050600750</v>
      </c>
      <c r="B1635" s="9" t="str">
        <f>IFERROR(__xludf.DUMMYFUNCTION("""COMPUTED_VALUE"""),"France")</f>
        <v>France</v>
      </c>
      <c r="C1635" s="9" t="str">
        <f>IFERROR(__xludf.DUMMYFUNCTION("""COMPUTED_VALUE"""),"champagne")</f>
        <v>champagne</v>
      </c>
      <c r="D1635" s="9" t="str">
        <f>IFERROR(__xludf.DUMMYFUNCTION("""COMPUTED_VALUE"""),"Taittinger, Comtes de Champagne Rose")</f>
        <v>Taittinger, Comtes de Champagne Rose</v>
      </c>
      <c r="E1635" s="9">
        <f>IFERROR(__xludf.DUMMYFUNCTION("""COMPUTED_VALUE"""),2005.0)</f>
        <v>2005</v>
      </c>
      <c r="F1635" s="9">
        <f>IFERROR(__xludf.DUMMYFUNCTION("""COMPUTED_VALUE"""),750.0)</f>
        <v>750</v>
      </c>
      <c r="G1635" s="9">
        <f>IFERROR(__xludf.DUMMYFUNCTION("""COMPUTED_VALUE"""),6.0)</f>
        <v>6</v>
      </c>
      <c r="H1635" s="10">
        <f>IFERROR(__xludf.DUMMYFUNCTION("""COMPUTED_VALUE"""),2.0)</f>
        <v>2</v>
      </c>
      <c r="I1635" s="11">
        <f>IFERROR(__xludf.DUMMYFUNCTION("""COMPUTED_VALUE"""),1273.0)</f>
        <v>1273</v>
      </c>
      <c r="J1635" s="9" t="str">
        <f>IFERROR(__xludf.DUMMYFUNCTION("""COMPUTED_VALUE"""),"UK")</f>
        <v>UK</v>
      </c>
      <c r="K1635" s="8"/>
      <c r="L1635" s="12"/>
      <c r="M1635" s="13"/>
      <c r="N1635" s="13" t="str">
        <f>IFERROR(__xludf.DUMMYFUNCTION("IF(ISBLANK(M1635),"""",M1635*GOOGLEFINANCE(""USDGBP""))"),"")</f>
        <v/>
      </c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</row>
    <row r="1636">
      <c r="A1636" s="8" t="str">
        <f>IFERROR(__xludf.DUMMYFUNCTION("""COMPUTED_VALUE"""),"131438020070600750")</f>
        <v>131438020070600750</v>
      </c>
      <c r="B1636" s="9" t="str">
        <f>IFERROR(__xludf.DUMMYFUNCTION("""COMPUTED_VALUE"""),"France")</f>
        <v>France</v>
      </c>
      <c r="C1636" s="9" t="str">
        <f>IFERROR(__xludf.DUMMYFUNCTION("""COMPUTED_VALUE"""),"champagne")</f>
        <v>champagne</v>
      </c>
      <c r="D1636" s="9" t="str">
        <f>IFERROR(__xludf.DUMMYFUNCTION("""COMPUTED_VALUE"""),"Taittinger, Comtes de Champagne Rose")</f>
        <v>Taittinger, Comtes de Champagne Rose</v>
      </c>
      <c r="E1636" s="9">
        <f>IFERROR(__xludf.DUMMYFUNCTION("""COMPUTED_VALUE"""),2007.0)</f>
        <v>2007</v>
      </c>
      <c r="F1636" s="9">
        <f>IFERROR(__xludf.DUMMYFUNCTION("""COMPUTED_VALUE"""),750.0)</f>
        <v>750</v>
      </c>
      <c r="G1636" s="9">
        <f>IFERROR(__xludf.DUMMYFUNCTION("""COMPUTED_VALUE"""),6.0)</f>
        <v>6</v>
      </c>
      <c r="H1636" s="10">
        <f>IFERROR(__xludf.DUMMYFUNCTION("""COMPUTED_VALUE"""),14.0)</f>
        <v>14</v>
      </c>
      <c r="I1636" s="11">
        <f>IFERROR(__xludf.DUMMYFUNCTION("""COMPUTED_VALUE"""),778.0)</f>
        <v>778</v>
      </c>
      <c r="J1636" s="9" t="str">
        <f>IFERROR(__xludf.DUMMYFUNCTION("""COMPUTED_VALUE"""),"UK")</f>
        <v>UK</v>
      </c>
      <c r="K1636" s="8"/>
      <c r="L1636" s="12"/>
      <c r="M1636" s="13"/>
      <c r="N1636" s="13" t="str">
        <f>IFERROR(__xludf.DUMMYFUNCTION("IF(ISBLANK(M1636),"""",M1636*GOOGLEFINANCE(""USDGBP""))"),"")</f>
        <v/>
      </c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8"/>
      <c r="FV1636" s="8"/>
      <c r="FW1636" s="8"/>
      <c r="FX1636" s="8"/>
      <c r="FY1636" s="8"/>
      <c r="FZ1636" s="8"/>
      <c r="GA1636" s="8"/>
      <c r="GB1636" s="8"/>
      <c r="GC1636" s="8"/>
      <c r="GD1636" s="8"/>
      <c r="GE1636" s="8"/>
      <c r="GF1636" s="8"/>
      <c r="GG1636" s="8"/>
      <c r="GH1636" s="8"/>
      <c r="GI1636" s="8"/>
      <c r="GJ1636" s="8"/>
      <c r="GK1636" s="8"/>
      <c r="GL1636" s="8"/>
      <c r="GM1636" s="8"/>
      <c r="GN1636" s="8"/>
      <c r="GO1636" s="8"/>
      <c r="GP1636" s="8"/>
      <c r="GQ1636" s="8"/>
      <c r="GR1636" s="8"/>
      <c r="GS1636" s="8"/>
      <c r="GT1636" s="8"/>
      <c r="GU1636" s="8"/>
      <c r="GV1636" s="8"/>
      <c r="GW1636" s="8"/>
      <c r="GX1636" s="8"/>
    </row>
    <row r="1637">
      <c r="A1637" s="8" t="str">
        <f>IFERROR(__xludf.DUMMYFUNCTION("""COMPUTED_VALUE"""),"131438020080600750")</f>
        <v>131438020080600750</v>
      </c>
      <c r="B1637" s="9" t="str">
        <f>IFERROR(__xludf.DUMMYFUNCTION("""COMPUTED_VALUE"""),"France")</f>
        <v>France</v>
      </c>
      <c r="C1637" s="9" t="str">
        <f>IFERROR(__xludf.DUMMYFUNCTION("""COMPUTED_VALUE"""),"champagne")</f>
        <v>champagne</v>
      </c>
      <c r="D1637" s="9" t="str">
        <f>IFERROR(__xludf.DUMMYFUNCTION("""COMPUTED_VALUE"""),"Taittinger, Comtes de Champagne Rose")</f>
        <v>Taittinger, Comtes de Champagne Rose</v>
      </c>
      <c r="E1637" s="9">
        <f>IFERROR(__xludf.DUMMYFUNCTION("""COMPUTED_VALUE"""),2008.0)</f>
        <v>2008</v>
      </c>
      <c r="F1637" s="9">
        <f>IFERROR(__xludf.DUMMYFUNCTION("""COMPUTED_VALUE"""),750.0)</f>
        <v>750</v>
      </c>
      <c r="G1637" s="9">
        <f>IFERROR(__xludf.DUMMYFUNCTION("""COMPUTED_VALUE"""),6.0)</f>
        <v>6</v>
      </c>
      <c r="H1637" s="10">
        <f>IFERROR(__xludf.DUMMYFUNCTION("""COMPUTED_VALUE"""),1.0)</f>
        <v>1</v>
      </c>
      <c r="I1637" s="11">
        <f>IFERROR(__xludf.DUMMYFUNCTION("""COMPUTED_VALUE"""),1331.0)</f>
        <v>1331</v>
      </c>
      <c r="J1637" s="9" t="str">
        <f>IFERROR(__xludf.DUMMYFUNCTION("""COMPUTED_VALUE"""),"UK")</f>
        <v>UK</v>
      </c>
      <c r="K1637" s="8"/>
      <c r="L1637" s="12"/>
      <c r="M1637" s="13"/>
      <c r="N1637" s="13" t="str">
        <f>IFERROR(__xludf.DUMMYFUNCTION("IF(ISBLANK(M1637),"""",M1637*GOOGLEFINANCE(""USDGBP""))"),"")</f>
        <v/>
      </c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</row>
    <row r="1638">
      <c r="A1638" s="8" t="str">
        <f>IFERROR(__xludf.DUMMYFUNCTION("""COMPUTED_VALUE"""),"131438020110300750")</f>
        <v>131438020110300750</v>
      </c>
      <c r="B1638" s="9" t="str">
        <f>IFERROR(__xludf.DUMMYFUNCTION("""COMPUTED_VALUE"""),"France")</f>
        <v>France</v>
      </c>
      <c r="C1638" s="9" t="str">
        <f>IFERROR(__xludf.DUMMYFUNCTION("""COMPUTED_VALUE"""),"champagne")</f>
        <v>champagne</v>
      </c>
      <c r="D1638" s="9" t="str">
        <f>IFERROR(__xludf.DUMMYFUNCTION("""COMPUTED_VALUE"""),"Taittinger, Comtes de Champagne Rose")</f>
        <v>Taittinger, Comtes de Champagne Rose</v>
      </c>
      <c r="E1638" s="9">
        <f>IFERROR(__xludf.DUMMYFUNCTION("""COMPUTED_VALUE"""),2011.0)</f>
        <v>2011</v>
      </c>
      <c r="F1638" s="9">
        <f>IFERROR(__xludf.DUMMYFUNCTION("""COMPUTED_VALUE"""),750.0)</f>
        <v>750</v>
      </c>
      <c r="G1638" s="9">
        <f>IFERROR(__xludf.DUMMYFUNCTION("""COMPUTED_VALUE"""),3.0)</f>
        <v>3</v>
      </c>
      <c r="H1638" s="10">
        <f>IFERROR(__xludf.DUMMYFUNCTION("""COMPUTED_VALUE"""),1.0)</f>
        <v>1</v>
      </c>
      <c r="I1638" s="11">
        <f>IFERROR(__xludf.DUMMYFUNCTION("""COMPUTED_VALUE"""),557.0)</f>
        <v>557</v>
      </c>
      <c r="J1638" s="9" t="str">
        <f>IFERROR(__xludf.DUMMYFUNCTION("""COMPUTED_VALUE"""),"UK")</f>
        <v>UK</v>
      </c>
      <c r="K1638" s="8"/>
      <c r="L1638" s="12"/>
      <c r="M1638" s="13"/>
      <c r="N1638" s="13" t="str">
        <f>IFERROR(__xludf.DUMMYFUNCTION("IF(ISBLANK(M1638),"""",M1638*GOOGLEFINANCE(""USDGBP""))"),"")</f>
        <v/>
      </c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</row>
    <row r="1639">
      <c r="A1639" s="8" t="str">
        <f>IFERROR(__xludf.DUMMYFUNCTION("""COMPUTED_VALUE"""),"119612820150600750")</f>
        <v>119612820150600750</v>
      </c>
      <c r="B1639" s="9" t="str">
        <f>IFERROR(__xludf.DUMMYFUNCTION("""COMPUTED_VALUE"""),"France")</f>
        <v>France</v>
      </c>
      <c r="C1639" s="9" t="str">
        <f>IFERROR(__xludf.DUMMYFUNCTION("""COMPUTED_VALUE"""),"champagne")</f>
        <v>champagne</v>
      </c>
      <c r="D1639" s="9" t="str">
        <f>IFERROR(__xludf.DUMMYFUNCTION("""COMPUTED_VALUE"""),"Agrapart &amp; Fils, Avizoise Blanc de Blancs Extra Brut Grand Cru, Avize")</f>
        <v>Agrapart &amp; Fils, Avizoise Blanc de Blancs Extra Brut Grand Cru, Avize</v>
      </c>
      <c r="E1639" s="9">
        <f>IFERROR(__xludf.DUMMYFUNCTION("""COMPUTED_VALUE"""),2015.0)</f>
        <v>2015</v>
      </c>
      <c r="F1639" s="9">
        <f>IFERROR(__xludf.DUMMYFUNCTION("""COMPUTED_VALUE"""),750.0)</f>
        <v>750</v>
      </c>
      <c r="G1639" s="9">
        <f>IFERROR(__xludf.DUMMYFUNCTION("""COMPUTED_VALUE"""),6.0)</f>
        <v>6</v>
      </c>
      <c r="H1639" s="10">
        <f>IFERROR(__xludf.DUMMYFUNCTION("""COMPUTED_VALUE"""),1.0)</f>
        <v>1</v>
      </c>
      <c r="I1639" s="11">
        <f>IFERROR(__xludf.DUMMYFUNCTION("""COMPUTED_VALUE"""),728.0)</f>
        <v>728</v>
      </c>
      <c r="J1639" s="9" t="str">
        <f>IFERROR(__xludf.DUMMYFUNCTION("""COMPUTED_VALUE"""),"UK")</f>
        <v>UK</v>
      </c>
      <c r="K1639" s="8"/>
      <c r="L1639" s="12"/>
      <c r="M1639" s="13"/>
      <c r="N1639" s="13" t="str">
        <f>IFERROR(__xludf.DUMMYFUNCTION("IF(ISBLANK(M1639),"""",M1639*GOOGLEFINANCE(""USDGBP""))"),"")</f>
        <v/>
      </c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8"/>
      <c r="FV1639" s="8"/>
      <c r="FW1639" s="8"/>
      <c r="FX1639" s="8"/>
      <c r="FY1639" s="8"/>
      <c r="FZ1639" s="8"/>
      <c r="GA1639" s="8"/>
      <c r="GB1639" s="8"/>
      <c r="GC1639" s="8"/>
      <c r="GD1639" s="8"/>
      <c r="GE1639" s="8"/>
      <c r="GF1639" s="8"/>
      <c r="GG1639" s="8"/>
      <c r="GH1639" s="8"/>
      <c r="GI1639" s="8"/>
      <c r="GJ1639" s="8"/>
      <c r="GK1639" s="8"/>
      <c r="GL1639" s="8"/>
      <c r="GM1639" s="8"/>
      <c r="GN1639" s="8"/>
      <c r="GO1639" s="8"/>
      <c r="GP1639" s="8"/>
      <c r="GQ1639" s="8"/>
      <c r="GR1639" s="8"/>
      <c r="GS1639" s="8"/>
      <c r="GT1639" s="8"/>
      <c r="GU1639" s="8"/>
      <c r="GV1639" s="8"/>
      <c r="GW1639" s="8"/>
      <c r="GX1639" s="8"/>
    </row>
    <row r="1640">
      <c r="A1640" s="8" t="str">
        <f>IFERROR(__xludf.DUMMYFUNCTION("""COMPUTED_VALUE"""),"119613120150600750")</f>
        <v>119613120150600750</v>
      </c>
      <c r="B1640" s="9" t="str">
        <f>IFERROR(__xludf.DUMMYFUNCTION("""COMPUTED_VALUE"""),"France")</f>
        <v>France</v>
      </c>
      <c r="C1640" s="9" t="str">
        <f>IFERROR(__xludf.DUMMYFUNCTION("""COMPUTED_VALUE"""),"champagne")</f>
        <v>champagne</v>
      </c>
      <c r="D1640" s="9" t="str">
        <f>IFERROR(__xludf.DUMMYFUNCTION("""COMPUTED_VALUE"""),"Agrapart &amp; Fils, Experience Blanc de Blancs Brut Nature Grand Cru, Avize")</f>
        <v>Agrapart &amp; Fils, Experience Blanc de Blancs Brut Nature Grand Cru, Avize</v>
      </c>
      <c r="E1640" s="9">
        <f>IFERROR(__xludf.DUMMYFUNCTION("""COMPUTED_VALUE"""),2015.0)</f>
        <v>2015</v>
      </c>
      <c r="F1640" s="9">
        <f>IFERROR(__xludf.DUMMYFUNCTION("""COMPUTED_VALUE"""),750.0)</f>
        <v>750</v>
      </c>
      <c r="G1640" s="9">
        <f>IFERROR(__xludf.DUMMYFUNCTION("""COMPUTED_VALUE"""),6.0)</f>
        <v>6</v>
      </c>
      <c r="H1640" s="10">
        <f>IFERROR(__xludf.DUMMYFUNCTION("""COMPUTED_VALUE"""),3.0)</f>
        <v>3</v>
      </c>
      <c r="I1640" s="11">
        <f>IFERROR(__xludf.DUMMYFUNCTION("""COMPUTED_VALUE"""),1242.0)</f>
        <v>1242</v>
      </c>
      <c r="J1640" s="9" t="str">
        <f>IFERROR(__xludf.DUMMYFUNCTION("""COMPUTED_VALUE"""),"UK")</f>
        <v>UK</v>
      </c>
      <c r="K1640" s="8"/>
      <c r="L1640" s="12"/>
      <c r="M1640" s="13"/>
      <c r="N1640" s="13" t="str">
        <f>IFERROR(__xludf.DUMMYFUNCTION("IF(ISBLANK(M1640),"""",M1640*GOOGLEFINANCE(""USDGBP""))"),"")</f>
        <v/>
      </c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  <c r="GG1640" s="8"/>
      <c r="GH1640" s="8"/>
      <c r="GI1640" s="8"/>
      <c r="GJ1640" s="8"/>
      <c r="GK1640" s="8"/>
      <c r="GL1640" s="8"/>
      <c r="GM1640" s="8"/>
      <c r="GN1640" s="8"/>
      <c r="GO1640" s="8"/>
      <c r="GP1640" s="8"/>
      <c r="GQ1640" s="8"/>
      <c r="GR1640" s="8"/>
      <c r="GS1640" s="8"/>
      <c r="GT1640" s="8"/>
      <c r="GU1640" s="8"/>
      <c r="GV1640" s="8"/>
      <c r="GW1640" s="8"/>
      <c r="GX1640" s="8"/>
    </row>
    <row r="1641">
      <c r="A1641" s="8" t="str">
        <f>IFERROR(__xludf.DUMMYFUNCTION("""COMPUTED_VALUE"""),"162089420060600750")</f>
        <v>162089420060600750</v>
      </c>
      <c r="B1641" s="9" t="str">
        <f>IFERROR(__xludf.DUMMYFUNCTION("""COMPUTED_VALUE"""),"France")</f>
        <v>France</v>
      </c>
      <c r="C1641" s="9" t="str">
        <f>IFERROR(__xludf.DUMMYFUNCTION("""COMPUTED_VALUE"""),"champagne")</f>
        <v>champagne</v>
      </c>
      <c r="D1641" s="9" t="str">
        <f>IFERROR(__xludf.DUMMYFUNCTION("""COMPUTED_VALUE"""),"Billecart-Salmon, Cuvee Louis Blanc de Blancs")</f>
        <v>Billecart-Salmon, Cuvee Louis Blanc de Blancs</v>
      </c>
      <c r="E1641" s="9">
        <f>IFERROR(__xludf.DUMMYFUNCTION("""COMPUTED_VALUE"""),2006.0)</f>
        <v>2006</v>
      </c>
      <c r="F1641" s="9">
        <f>IFERROR(__xludf.DUMMYFUNCTION("""COMPUTED_VALUE"""),750.0)</f>
        <v>750</v>
      </c>
      <c r="G1641" s="9">
        <f>IFERROR(__xludf.DUMMYFUNCTION("""COMPUTED_VALUE"""),6.0)</f>
        <v>6</v>
      </c>
      <c r="H1641" s="10">
        <f>IFERROR(__xludf.DUMMYFUNCTION("""COMPUTED_VALUE"""),4.0)</f>
        <v>4</v>
      </c>
      <c r="I1641" s="11">
        <f>IFERROR(__xludf.DUMMYFUNCTION("""COMPUTED_VALUE"""),979.0)</f>
        <v>979</v>
      </c>
      <c r="J1641" s="9" t="str">
        <f>IFERROR(__xludf.DUMMYFUNCTION("""COMPUTED_VALUE"""),"UK")</f>
        <v>UK</v>
      </c>
      <c r="K1641" s="8"/>
      <c r="L1641" s="12"/>
      <c r="M1641" s="13"/>
      <c r="N1641" s="13" t="str">
        <f>IFERROR(__xludf.DUMMYFUNCTION("IF(ISBLANK(M1641),"""",M1641*GOOGLEFINANCE(""USDGBP""))"),"")</f>
        <v/>
      </c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8"/>
      <c r="FJ1641" s="8"/>
      <c r="FK1641" s="8"/>
      <c r="FL1641" s="8"/>
      <c r="FM1641" s="8"/>
      <c r="FN1641" s="8"/>
      <c r="FO1641" s="8"/>
      <c r="FP1641" s="8"/>
      <c r="FQ1641" s="8"/>
      <c r="FR1641" s="8"/>
      <c r="FS1641" s="8"/>
      <c r="FT1641" s="8"/>
      <c r="FU1641" s="8"/>
      <c r="FV1641" s="8"/>
      <c r="FW1641" s="8"/>
      <c r="FX1641" s="8"/>
      <c r="FY1641" s="8"/>
      <c r="FZ1641" s="8"/>
      <c r="GA1641" s="8"/>
      <c r="GB1641" s="8"/>
      <c r="GC1641" s="8"/>
      <c r="GD1641" s="8"/>
      <c r="GE1641" s="8"/>
      <c r="GF1641" s="8"/>
      <c r="GG1641" s="8"/>
      <c r="GH1641" s="8"/>
      <c r="GI1641" s="8"/>
      <c r="GJ1641" s="8"/>
      <c r="GK1641" s="8"/>
      <c r="GL1641" s="8"/>
      <c r="GM1641" s="8"/>
      <c r="GN1641" s="8"/>
      <c r="GO1641" s="8"/>
      <c r="GP1641" s="8"/>
      <c r="GQ1641" s="8"/>
      <c r="GR1641" s="8"/>
      <c r="GS1641" s="8"/>
      <c r="GT1641" s="8"/>
      <c r="GU1641" s="8"/>
      <c r="GV1641" s="8"/>
      <c r="GW1641" s="8"/>
      <c r="GX1641" s="8"/>
    </row>
    <row r="1642">
      <c r="A1642" s="8" t="str">
        <f>IFERROR(__xludf.DUMMYFUNCTION("""COMPUTED_VALUE"""),"162089420070600750")</f>
        <v>162089420070600750</v>
      </c>
      <c r="B1642" s="9" t="str">
        <f>IFERROR(__xludf.DUMMYFUNCTION("""COMPUTED_VALUE"""),"France")</f>
        <v>France</v>
      </c>
      <c r="C1642" s="9" t="str">
        <f>IFERROR(__xludf.DUMMYFUNCTION("""COMPUTED_VALUE"""),"champagne")</f>
        <v>champagne</v>
      </c>
      <c r="D1642" s="9" t="str">
        <f>IFERROR(__xludf.DUMMYFUNCTION("""COMPUTED_VALUE"""),"Billecart-Salmon, Cuvee Louis Blanc de Blancs")</f>
        <v>Billecart-Salmon, Cuvee Louis Blanc de Blancs</v>
      </c>
      <c r="E1642" s="9">
        <f>IFERROR(__xludf.DUMMYFUNCTION("""COMPUTED_VALUE"""),2007.0)</f>
        <v>2007</v>
      </c>
      <c r="F1642" s="9">
        <f>IFERROR(__xludf.DUMMYFUNCTION("""COMPUTED_VALUE"""),750.0)</f>
        <v>750</v>
      </c>
      <c r="G1642" s="9">
        <f>IFERROR(__xludf.DUMMYFUNCTION("""COMPUTED_VALUE"""),6.0)</f>
        <v>6</v>
      </c>
      <c r="H1642" s="10">
        <f>IFERROR(__xludf.DUMMYFUNCTION("""COMPUTED_VALUE"""),1.0)</f>
        <v>1</v>
      </c>
      <c r="I1642" s="11">
        <f>IFERROR(__xludf.DUMMYFUNCTION("""COMPUTED_VALUE"""),688.0)</f>
        <v>688</v>
      </c>
      <c r="J1642" s="9" t="str">
        <f>IFERROR(__xludf.DUMMYFUNCTION("""COMPUTED_VALUE"""),"UK")</f>
        <v>UK</v>
      </c>
      <c r="K1642" s="8"/>
      <c r="L1642" s="12"/>
      <c r="M1642" s="13"/>
      <c r="N1642" s="13" t="str">
        <f>IFERROR(__xludf.DUMMYFUNCTION("IF(ISBLANK(M1642),"""",M1642*GOOGLEFINANCE(""USDGBP""))"),"")</f>
        <v/>
      </c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8"/>
      <c r="FV1642" s="8"/>
      <c r="FW1642" s="8"/>
      <c r="FX1642" s="8"/>
      <c r="FY1642" s="8"/>
      <c r="FZ1642" s="8"/>
      <c r="GA1642" s="8"/>
      <c r="GB1642" s="8"/>
      <c r="GC1642" s="8"/>
      <c r="GD1642" s="8"/>
      <c r="GE1642" s="8"/>
      <c r="GF1642" s="8"/>
      <c r="GG1642" s="8"/>
      <c r="GH1642" s="8"/>
      <c r="GI1642" s="8"/>
      <c r="GJ1642" s="8"/>
      <c r="GK1642" s="8"/>
      <c r="GL1642" s="8"/>
      <c r="GM1642" s="8"/>
      <c r="GN1642" s="8"/>
      <c r="GO1642" s="8"/>
      <c r="GP1642" s="8"/>
      <c r="GQ1642" s="8"/>
      <c r="GR1642" s="8"/>
      <c r="GS1642" s="8"/>
      <c r="GT1642" s="8"/>
      <c r="GU1642" s="8"/>
      <c r="GV1642" s="8"/>
      <c r="GW1642" s="8"/>
      <c r="GX1642" s="8"/>
    </row>
    <row r="1643">
      <c r="A1643" s="8" t="str">
        <f>IFERROR(__xludf.DUMMYFUNCTION("""COMPUTED_VALUE"""),"162089420080600750")</f>
        <v>162089420080600750</v>
      </c>
      <c r="B1643" s="9" t="str">
        <f>IFERROR(__xludf.DUMMYFUNCTION("""COMPUTED_VALUE"""),"France")</f>
        <v>France</v>
      </c>
      <c r="C1643" s="9" t="str">
        <f>IFERROR(__xludf.DUMMYFUNCTION("""COMPUTED_VALUE"""),"champagne")</f>
        <v>champagne</v>
      </c>
      <c r="D1643" s="9" t="str">
        <f>IFERROR(__xludf.DUMMYFUNCTION("""COMPUTED_VALUE"""),"Billecart-Salmon, Cuvee Louis Blanc de Blancs")</f>
        <v>Billecart-Salmon, Cuvee Louis Blanc de Blancs</v>
      </c>
      <c r="E1643" s="9">
        <f>IFERROR(__xludf.DUMMYFUNCTION("""COMPUTED_VALUE"""),2008.0)</f>
        <v>2008</v>
      </c>
      <c r="F1643" s="9">
        <f>IFERROR(__xludf.DUMMYFUNCTION("""COMPUTED_VALUE"""),750.0)</f>
        <v>750</v>
      </c>
      <c r="G1643" s="9">
        <f>IFERROR(__xludf.DUMMYFUNCTION("""COMPUTED_VALUE"""),6.0)</f>
        <v>6</v>
      </c>
      <c r="H1643" s="10">
        <f>IFERROR(__xludf.DUMMYFUNCTION("""COMPUTED_VALUE"""),1.0)</f>
        <v>1</v>
      </c>
      <c r="I1643" s="11">
        <f>IFERROR(__xludf.DUMMYFUNCTION("""COMPUTED_VALUE"""),876.0)</f>
        <v>876</v>
      </c>
      <c r="J1643" s="9" t="str">
        <f>IFERROR(__xludf.DUMMYFUNCTION("""COMPUTED_VALUE"""),"UK")</f>
        <v>UK</v>
      </c>
      <c r="K1643" s="8"/>
      <c r="L1643" s="12"/>
      <c r="M1643" s="13"/>
      <c r="N1643" s="13" t="str">
        <f>IFERROR(__xludf.DUMMYFUNCTION("IF(ISBLANK(M1643),"""",M1643*GOOGLEFINANCE(""USDGBP""))"),"")</f>
        <v/>
      </c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8"/>
      <c r="FV1643" s="8"/>
      <c r="FW1643" s="8"/>
      <c r="FX1643" s="8"/>
      <c r="FY1643" s="8"/>
      <c r="FZ1643" s="8"/>
      <c r="GA1643" s="8"/>
      <c r="GB1643" s="8"/>
      <c r="GC1643" s="8"/>
      <c r="GD1643" s="8"/>
      <c r="GE1643" s="8"/>
      <c r="GF1643" s="8"/>
      <c r="GG1643" s="8"/>
      <c r="GH1643" s="8"/>
      <c r="GI1643" s="8"/>
      <c r="GJ1643" s="8"/>
      <c r="GK1643" s="8"/>
      <c r="GL1643" s="8"/>
      <c r="GM1643" s="8"/>
      <c r="GN1643" s="8"/>
      <c r="GO1643" s="8"/>
      <c r="GP1643" s="8"/>
      <c r="GQ1643" s="8"/>
      <c r="GR1643" s="8"/>
      <c r="GS1643" s="8"/>
      <c r="GT1643" s="8"/>
      <c r="GU1643" s="8"/>
      <c r="GV1643" s="8"/>
      <c r="GW1643" s="8"/>
      <c r="GX1643" s="8"/>
    </row>
    <row r="1644">
      <c r="A1644" s="8" t="str">
        <f>IFERROR(__xludf.DUMMYFUNCTION("""COMPUTED_VALUE"""),"131669020030300750")</f>
        <v>131669020030300750</v>
      </c>
      <c r="B1644" s="9" t="str">
        <f>IFERROR(__xludf.DUMMYFUNCTION("""COMPUTED_VALUE"""),"France")</f>
        <v>France</v>
      </c>
      <c r="C1644" s="9" t="str">
        <f>IFERROR(__xludf.DUMMYFUNCTION("""COMPUTED_VALUE"""),"champagne")</f>
        <v>champagne</v>
      </c>
      <c r="D1644" s="9" t="str">
        <f>IFERROR(__xludf.DUMMYFUNCTION("""COMPUTED_VALUE"""),"Billecart-Salmon, Le Clos Saint-Hilaire")</f>
        <v>Billecart-Salmon, Le Clos Saint-Hilaire</v>
      </c>
      <c r="E1644" s="9">
        <f>IFERROR(__xludf.DUMMYFUNCTION("""COMPUTED_VALUE"""),2003.0)</f>
        <v>2003</v>
      </c>
      <c r="F1644" s="9">
        <f>IFERROR(__xludf.DUMMYFUNCTION("""COMPUTED_VALUE"""),750.0)</f>
        <v>750</v>
      </c>
      <c r="G1644" s="9">
        <f>IFERROR(__xludf.DUMMYFUNCTION("""COMPUTED_VALUE"""),3.0)</f>
        <v>3</v>
      </c>
      <c r="H1644" s="10">
        <f>IFERROR(__xludf.DUMMYFUNCTION("""COMPUTED_VALUE"""),1.0)</f>
        <v>1</v>
      </c>
      <c r="I1644" s="11">
        <f>IFERROR(__xludf.DUMMYFUNCTION("""COMPUTED_VALUE"""),1208.0)</f>
        <v>1208</v>
      </c>
      <c r="J1644" s="9" t="str">
        <f>IFERROR(__xludf.DUMMYFUNCTION("""COMPUTED_VALUE"""),"UK")</f>
        <v>UK</v>
      </c>
      <c r="K1644" s="8"/>
      <c r="L1644" s="12"/>
      <c r="M1644" s="13"/>
      <c r="N1644" s="13" t="str">
        <f>IFERROR(__xludf.DUMMYFUNCTION("IF(ISBLANK(M1644),"""",M1644*GOOGLEFINANCE(""USDGBP""))"),"")</f>
        <v/>
      </c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8"/>
      <c r="FV1644" s="8"/>
      <c r="FW1644" s="8"/>
      <c r="FX1644" s="8"/>
      <c r="FY1644" s="8"/>
      <c r="FZ1644" s="8"/>
      <c r="GA1644" s="8"/>
      <c r="GB1644" s="8"/>
      <c r="GC1644" s="8"/>
      <c r="GD1644" s="8"/>
      <c r="GE1644" s="8"/>
      <c r="GF1644" s="8"/>
      <c r="GG1644" s="8"/>
      <c r="GH1644" s="8"/>
      <c r="GI1644" s="8"/>
      <c r="GJ1644" s="8"/>
      <c r="GK1644" s="8"/>
      <c r="GL1644" s="8"/>
      <c r="GM1644" s="8"/>
      <c r="GN1644" s="8"/>
      <c r="GO1644" s="8"/>
      <c r="GP1644" s="8"/>
      <c r="GQ1644" s="8"/>
      <c r="GR1644" s="8"/>
      <c r="GS1644" s="8"/>
      <c r="GT1644" s="8"/>
      <c r="GU1644" s="8"/>
      <c r="GV1644" s="8"/>
      <c r="GW1644" s="8"/>
      <c r="GX1644" s="8"/>
    </row>
    <row r="1645">
      <c r="A1645" s="8" t="str">
        <f>IFERROR(__xludf.DUMMYFUNCTION("""COMPUTED_VALUE"""),"108177620060600750")</f>
        <v>108177620060600750</v>
      </c>
      <c r="B1645" s="9" t="str">
        <f>IFERROR(__xludf.DUMMYFUNCTION("""COMPUTED_VALUE"""),"France")</f>
        <v>France</v>
      </c>
      <c r="C1645" s="9" t="str">
        <f>IFERROR(__xludf.DUMMYFUNCTION("""COMPUTED_VALUE"""),"champagne")</f>
        <v>champagne</v>
      </c>
      <c r="D1645" s="9" t="str">
        <f>IFERROR(__xludf.DUMMYFUNCTION("""COMPUTED_VALUE"""),"Billecart-Salmon, Nicolas Francois")</f>
        <v>Billecart-Salmon, Nicolas Francois</v>
      </c>
      <c r="E1645" s="9">
        <f>IFERROR(__xludf.DUMMYFUNCTION("""COMPUTED_VALUE"""),2006.0)</f>
        <v>2006</v>
      </c>
      <c r="F1645" s="9">
        <f>IFERROR(__xludf.DUMMYFUNCTION("""COMPUTED_VALUE"""),750.0)</f>
        <v>750</v>
      </c>
      <c r="G1645" s="9">
        <f>IFERROR(__xludf.DUMMYFUNCTION("""COMPUTED_VALUE"""),6.0)</f>
        <v>6</v>
      </c>
      <c r="H1645" s="10">
        <f>IFERROR(__xludf.DUMMYFUNCTION("""COMPUTED_VALUE"""),6.0)</f>
        <v>6</v>
      </c>
      <c r="I1645" s="11">
        <f>IFERROR(__xludf.DUMMYFUNCTION("""COMPUTED_VALUE"""),681.0)</f>
        <v>681</v>
      </c>
      <c r="J1645" s="9" t="str">
        <f>IFERROR(__xludf.DUMMYFUNCTION("""COMPUTED_VALUE"""),"UK")</f>
        <v>UK</v>
      </c>
      <c r="K1645" s="8"/>
      <c r="L1645" s="12"/>
      <c r="M1645" s="13"/>
      <c r="N1645" s="13" t="str">
        <f>IFERROR(__xludf.DUMMYFUNCTION("IF(ISBLANK(M1645),"""",M1645*GOOGLEFINANCE(""USDGBP""))"),"")</f>
        <v/>
      </c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8"/>
      <c r="FJ1645" s="8"/>
      <c r="FK1645" s="8"/>
      <c r="FL1645" s="8"/>
      <c r="FM1645" s="8"/>
      <c r="FN1645" s="8"/>
      <c r="FO1645" s="8"/>
      <c r="FP1645" s="8"/>
      <c r="FQ1645" s="8"/>
      <c r="FR1645" s="8"/>
      <c r="FS1645" s="8"/>
      <c r="FT1645" s="8"/>
      <c r="FU1645" s="8"/>
      <c r="FV1645" s="8"/>
      <c r="FW1645" s="8"/>
      <c r="FX1645" s="8"/>
      <c r="FY1645" s="8"/>
      <c r="FZ1645" s="8"/>
      <c r="GA1645" s="8"/>
      <c r="GB1645" s="8"/>
      <c r="GC1645" s="8"/>
      <c r="GD1645" s="8"/>
      <c r="GE1645" s="8"/>
      <c r="GF1645" s="8"/>
      <c r="GG1645" s="8"/>
      <c r="GH1645" s="8"/>
      <c r="GI1645" s="8"/>
      <c r="GJ1645" s="8"/>
      <c r="GK1645" s="8"/>
      <c r="GL1645" s="8"/>
      <c r="GM1645" s="8"/>
      <c r="GN1645" s="8"/>
      <c r="GO1645" s="8"/>
      <c r="GP1645" s="8"/>
      <c r="GQ1645" s="8"/>
      <c r="GR1645" s="8"/>
      <c r="GS1645" s="8"/>
      <c r="GT1645" s="8"/>
      <c r="GU1645" s="8"/>
      <c r="GV1645" s="8"/>
      <c r="GW1645" s="8"/>
      <c r="GX1645" s="8"/>
    </row>
    <row r="1646">
      <c r="A1646" s="8" t="str">
        <f>IFERROR(__xludf.DUMMYFUNCTION("""COMPUTED_VALUE"""),"108177620070600750")</f>
        <v>108177620070600750</v>
      </c>
      <c r="B1646" s="9" t="str">
        <f>IFERROR(__xludf.DUMMYFUNCTION("""COMPUTED_VALUE"""),"France")</f>
        <v>France</v>
      </c>
      <c r="C1646" s="9" t="str">
        <f>IFERROR(__xludf.DUMMYFUNCTION("""COMPUTED_VALUE"""),"champagne")</f>
        <v>champagne</v>
      </c>
      <c r="D1646" s="9" t="str">
        <f>IFERROR(__xludf.DUMMYFUNCTION("""COMPUTED_VALUE"""),"Billecart-Salmon, Nicolas Francois")</f>
        <v>Billecart-Salmon, Nicolas Francois</v>
      </c>
      <c r="E1646" s="9">
        <f>IFERROR(__xludf.DUMMYFUNCTION("""COMPUTED_VALUE"""),2007.0)</f>
        <v>2007</v>
      </c>
      <c r="F1646" s="9">
        <f>IFERROR(__xludf.DUMMYFUNCTION("""COMPUTED_VALUE"""),750.0)</f>
        <v>750</v>
      </c>
      <c r="G1646" s="9">
        <f>IFERROR(__xludf.DUMMYFUNCTION("""COMPUTED_VALUE"""),6.0)</f>
        <v>6</v>
      </c>
      <c r="H1646" s="10">
        <f>IFERROR(__xludf.DUMMYFUNCTION("""COMPUTED_VALUE"""),6.0)</f>
        <v>6</v>
      </c>
      <c r="I1646" s="11">
        <f>IFERROR(__xludf.DUMMYFUNCTION("""COMPUTED_VALUE"""),644.0)</f>
        <v>644</v>
      </c>
      <c r="J1646" s="9" t="str">
        <f>IFERROR(__xludf.DUMMYFUNCTION("""COMPUTED_VALUE"""),"UK")</f>
        <v>UK</v>
      </c>
      <c r="K1646" s="8"/>
      <c r="L1646" s="12"/>
      <c r="M1646" s="13"/>
      <c r="N1646" s="13" t="str">
        <f>IFERROR(__xludf.DUMMYFUNCTION("IF(ISBLANK(M1646),"""",M1646*GOOGLEFINANCE(""USDGBP""))"),"")</f>
        <v/>
      </c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8"/>
      <c r="FJ1646" s="8"/>
      <c r="FK1646" s="8"/>
      <c r="FL1646" s="8"/>
      <c r="FM1646" s="8"/>
      <c r="FN1646" s="8"/>
      <c r="FO1646" s="8"/>
      <c r="FP1646" s="8"/>
      <c r="FQ1646" s="8"/>
      <c r="FR1646" s="8"/>
      <c r="FS1646" s="8"/>
      <c r="FT1646" s="8"/>
      <c r="FU1646" s="8"/>
      <c r="FV1646" s="8"/>
      <c r="FW1646" s="8"/>
      <c r="FX1646" s="8"/>
      <c r="FY1646" s="8"/>
      <c r="FZ1646" s="8"/>
      <c r="GA1646" s="8"/>
      <c r="GB1646" s="8"/>
      <c r="GC1646" s="8"/>
      <c r="GD1646" s="8"/>
      <c r="GE1646" s="8"/>
      <c r="GF1646" s="8"/>
      <c r="GG1646" s="8"/>
      <c r="GH1646" s="8"/>
      <c r="GI1646" s="8"/>
      <c r="GJ1646" s="8"/>
      <c r="GK1646" s="8"/>
      <c r="GL1646" s="8"/>
      <c r="GM1646" s="8"/>
      <c r="GN1646" s="8"/>
      <c r="GO1646" s="8"/>
      <c r="GP1646" s="8"/>
      <c r="GQ1646" s="8"/>
      <c r="GR1646" s="8"/>
      <c r="GS1646" s="8"/>
      <c r="GT1646" s="8"/>
      <c r="GU1646" s="8"/>
      <c r="GV1646" s="8"/>
      <c r="GW1646" s="8"/>
      <c r="GX1646" s="8"/>
    </row>
    <row r="1647">
      <c r="A1647" s="8" t="str">
        <f>IFERROR(__xludf.DUMMYFUNCTION("""COMPUTED_VALUE"""),"108178920020600750")</f>
        <v>108178920020600750</v>
      </c>
      <c r="B1647" s="9" t="str">
        <f>IFERROR(__xludf.DUMMYFUNCTION("""COMPUTED_VALUE"""),"France")</f>
        <v>France</v>
      </c>
      <c r="C1647" s="9" t="str">
        <f>IFERROR(__xludf.DUMMYFUNCTION("""COMPUTED_VALUE"""),"champagne")</f>
        <v>champagne</v>
      </c>
      <c r="D1647" s="9" t="str">
        <f>IFERROR(__xludf.DUMMYFUNCTION("""COMPUTED_VALUE"""),"Bollinger, La Grande Annee")</f>
        <v>Bollinger, La Grande Annee</v>
      </c>
      <c r="E1647" s="9">
        <f>IFERROR(__xludf.DUMMYFUNCTION("""COMPUTED_VALUE"""),2002.0)</f>
        <v>2002</v>
      </c>
      <c r="F1647" s="9">
        <f>IFERROR(__xludf.DUMMYFUNCTION("""COMPUTED_VALUE"""),750.0)</f>
        <v>750</v>
      </c>
      <c r="G1647" s="9">
        <f>IFERROR(__xludf.DUMMYFUNCTION("""COMPUTED_VALUE"""),6.0)</f>
        <v>6</v>
      </c>
      <c r="H1647" s="10">
        <f>IFERROR(__xludf.DUMMYFUNCTION("""COMPUTED_VALUE"""),1.0)</f>
        <v>1</v>
      </c>
      <c r="I1647" s="11">
        <f>IFERROR(__xludf.DUMMYFUNCTION("""COMPUTED_VALUE"""),873.0)</f>
        <v>873</v>
      </c>
      <c r="J1647" s="9" t="str">
        <f>IFERROR(__xludf.DUMMYFUNCTION("""COMPUTED_VALUE"""),"UK")</f>
        <v>UK</v>
      </c>
      <c r="K1647" s="8"/>
      <c r="L1647" s="12"/>
      <c r="M1647" s="13"/>
      <c r="N1647" s="13" t="str">
        <f>IFERROR(__xludf.DUMMYFUNCTION("IF(ISBLANK(M1647),"""",M1647*GOOGLEFINANCE(""USDGBP""))"),"")</f>
        <v/>
      </c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  <c r="GO1647" s="8"/>
      <c r="GP1647" s="8"/>
      <c r="GQ1647" s="8"/>
      <c r="GR1647" s="8"/>
      <c r="GS1647" s="8"/>
      <c r="GT1647" s="8"/>
      <c r="GU1647" s="8"/>
      <c r="GV1647" s="8"/>
      <c r="GW1647" s="8"/>
      <c r="GX1647" s="8"/>
    </row>
    <row r="1648">
      <c r="A1648" s="8" t="str">
        <f>IFERROR(__xludf.DUMMYFUNCTION("""COMPUTED_VALUE"""),"108178920040600750")</f>
        <v>108178920040600750</v>
      </c>
      <c r="B1648" s="9" t="str">
        <f>IFERROR(__xludf.DUMMYFUNCTION("""COMPUTED_VALUE"""),"France")</f>
        <v>France</v>
      </c>
      <c r="C1648" s="9" t="str">
        <f>IFERROR(__xludf.DUMMYFUNCTION("""COMPUTED_VALUE"""),"champagne")</f>
        <v>champagne</v>
      </c>
      <c r="D1648" s="9" t="str">
        <f>IFERROR(__xludf.DUMMYFUNCTION("""COMPUTED_VALUE"""),"Bollinger, La Grande Annee")</f>
        <v>Bollinger, La Grande Annee</v>
      </c>
      <c r="E1648" s="9">
        <f>IFERROR(__xludf.DUMMYFUNCTION("""COMPUTED_VALUE"""),2004.0)</f>
        <v>2004</v>
      </c>
      <c r="F1648" s="9">
        <f>IFERROR(__xludf.DUMMYFUNCTION("""COMPUTED_VALUE"""),750.0)</f>
        <v>750</v>
      </c>
      <c r="G1648" s="9">
        <f>IFERROR(__xludf.DUMMYFUNCTION("""COMPUTED_VALUE"""),6.0)</f>
        <v>6</v>
      </c>
      <c r="H1648" s="10">
        <f>IFERROR(__xludf.DUMMYFUNCTION("""COMPUTED_VALUE"""),2.0)</f>
        <v>2</v>
      </c>
      <c r="I1648" s="11">
        <f>IFERROR(__xludf.DUMMYFUNCTION("""COMPUTED_VALUE"""),711.0)</f>
        <v>711</v>
      </c>
      <c r="J1648" s="9" t="str">
        <f>IFERROR(__xludf.DUMMYFUNCTION("""COMPUTED_VALUE"""),"UK")</f>
        <v>UK</v>
      </c>
      <c r="K1648" s="8"/>
      <c r="L1648" s="12"/>
      <c r="M1648" s="13"/>
      <c r="N1648" s="13" t="str">
        <f>IFERROR(__xludf.DUMMYFUNCTION("IF(ISBLANK(M1648),"""",M1648*GOOGLEFINANCE(""USDGBP""))"),"")</f>
        <v/>
      </c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8"/>
      <c r="FV1648" s="8"/>
      <c r="FW1648" s="8"/>
      <c r="FX1648" s="8"/>
      <c r="FY1648" s="8"/>
      <c r="FZ1648" s="8"/>
      <c r="GA1648" s="8"/>
      <c r="GB1648" s="8"/>
      <c r="GC1648" s="8"/>
      <c r="GD1648" s="8"/>
      <c r="GE1648" s="8"/>
      <c r="GF1648" s="8"/>
      <c r="GG1648" s="8"/>
      <c r="GH1648" s="8"/>
      <c r="GI1648" s="8"/>
      <c r="GJ1648" s="8"/>
      <c r="GK1648" s="8"/>
      <c r="GL1648" s="8"/>
      <c r="GM1648" s="8"/>
      <c r="GN1648" s="8"/>
      <c r="GO1648" s="8"/>
      <c r="GP1648" s="8"/>
      <c r="GQ1648" s="8"/>
      <c r="GR1648" s="8"/>
      <c r="GS1648" s="8"/>
      <c r="GT1648" s="8"/>
      <c r="GU1648" s="8"/>
      <c r="GV1648" s="8"/>
      <c r="GW1648" s="8"/>
      <c r="GX1648" s="8"/>
    </row>
    <row r="1649">
      <c r="A1649" s="8" t="str">
        <f>IFERROR(__xludf.DUMMYFUNCTION("""COMPUTED_VALUE"""),"108178920080600750")</f>
        <v>108178920080600750</v>
      </c>
      <c r="B1649" s="9" t="str">
        <f>IFERROR(__xludf.DUMMYFUNCTION("""COMPUTED_VALUE"""),"France")</f>
        <v>France</v>
      </c>
      <c r="C1649" s="9" t="str">
        <f>IFERROR(__xludf.DUMMYFUNCTION("""COMPUTED_VALUE"""),"champagne")</f>
        <v>champagne</v>
      </c>
      <c r="D1649" s="9" t="str">
        <f>IFERROR(__xludf.DUMMYFUNCTION("""COMPUTED_VALUE"""),"Bollinger, La Grande Annee")</f>
        <v>Bollinger, La Grande Annee</v>
      </c>
      <c r="E1649" s="9">
        <f>IFERROR(__xludf.DUMMYFUNCTION("""COMPUTED_VALUE"""),2008.0)</f>
        <v>2008</v>
      </c>
      <c r="F1649" s="9">
        <f>IFERROR(__xludf.DUMMYFUNCTION("""COMPUTED_VALUE"""),750.0)</f>
        <v>750</v>
      </c>
      <c r="G1649" s="9">
        <f>IFERROR(__xludf.DUMMYFUNCTION("""COMPUTED_VALUE"""),6.0)</f>
        <v>6</v>
      </c>
      <c r="H1649" s="10">
        <f>IFERROR(__xludf.DUMMYFUNCTION("""COMPUTED_VALUE"""),2.0)</f>
        <v>2</v>
      </c>
      <c r="I1649" s="11">
        <f>IFERROR(__xludf.DUMMYFUNCTION("""COMPUTED_VALUE"""),856.0)</f>
        <v>856</v>
      </c>
      <c r="J1649" s="9" t="str">
        <f>IFERROR(__xludf.DUMMYFUNCTION("""COMPUTED_VALUE"""),"UK")</f>
        <v>UK</v>
      </c>
      <c r="K1649" s="8"/>
      <c r="L1649" s="12"/>
      <c r="M1649" s="13"/>
      <c r="N1649" s="13" t="str">
        <f>IFERROR(__xludf.DUMMYFUNCTION("IF(ISBLANK(M1649),"""",M1649*GOOGLEFINANCE(""USDGBP""))"),"")</f>
        <v/>
      </c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  <c r="GG1649" s="8"/>
      <c r="GH1649" s="8"/>
      <c r="GI1649" s="8"/>
      <c r="GJ1649" s="8"/>
      <c r="GK1649" s="8"/>
      <c r="GL1649" s="8"/>
      <c r="GM1649" s="8"/>
      <c r="GN1649" s="8"/>
      <c r="GO1649" s="8"/>
      <c r="GP1649" s="8"/>
      <c r="GQ1649" s="8"/>
      <c r="GR1649" s="8"/>
      <c r="GS1649" s="8"/>
      <c r="GT1649" s="8"/>
      <c r="GU1649" s="8"/>
      <c r="GV1649" s="8"/>
      <c r="GW1649" s="8"/>
      <c r="GX1649" s="8"/>
    </row>
    <row r="1650">
      <c r="A1650" s="8" t="str">
        <f>IFERROR(__xludf.DUMMYFUNCTION("""COMPUTED_VALUE"""),"108180620040300750")</f>
        <v>108180620040300750</v>
      </c>
      <c r="B1650" s="9" t="str">
        <f>IFERROR(__xludf.DUMMYFUNCTION("""COMPUTED_VALUE"""),"France")</f>
        <v>France</v>
      </c>
      <c r="C1650" s="9" t="str">
        <f>IFERROR(__xludf.DUMMYFUNCTION("""COMPUTED_VALUE"""),"champagne")</f>
        <v>champagne</v>
      </c>
      <c r="D1650" s="9" t="str">
        <f>IFERROR(__xludf.DUMMYFUNCTION("""COMPUTED_VALUE"""),"Bollinger, R.D., Champagne")</f>
        <v>Bollinger, R.D., Champagne</v>
      </c>
      <c r="E1650" s="9">
        <f>IFERROR(__xludf.DUMMYFUNCTION("""COMPUTED_VALUE"""),2004.0)</f>
        <v>2004</v>
      </c>
      <c r="F1650" s="9">
        <f>IFERROR(__xludf.DUMMYFUNCTION("""COMPUTED_VALUE"""),750.0)</f>
        <v>750</v>
      </c>
      <c r="G1650" s="9">
        <f>IFERROR(__xludf.DUMMYFUNCTION("""COMPUTED_VALUE"""),3.0)</f>
        <v>3</v>
      </c>
      <c r="H1650" s="10">
        <f>IFERROR(__xludf.DUMMYFUNCTION("""COMPUTED_VALUE"""),13.0)</f>
        <v>13</v>
      </c>
      <c r="I1650" s="11">
        <f>IFERROR(__xludf.DUMMYFUNCTION("""COMPUTED_VALUE"""),481.0)</f>
        <v>481</v>
      </c>
      <c r="J1650" s="9" t="str">
        <f>IFERROR(__xludf.DUMMYFUNCTION("""COMPUTED_VALUE"""),"UK")</f>
        <v>UK</v>
      </c>
      <c r="K1650" s="8"/>
      <c r="L1650" s="12"/>
      <c r="M1650" s="13"/>
      <c r="N1650" s="13" t="str">
        <f>IFERROR(__xludf.DUMMYFUNCTION("IF(ISBLANK(M1650),"""",M1650*GOOGLEFINANCE(""USDGBP""))"),"")</f>
        <v/>
      </c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  <c r="GG1650" s="8"/>
      <c r="GH1650" s="8"/>
      <c r="GI1650" s="8"/>
      <c r="GJ1650" s="8"/>
      <c r="GK1650" s="8"/>
      <c r="GL1650" s="8"/>
      <c r="GM1650" s="8"/>
      <c r="GN1650" s="8"/>
      <c r="GO1650" s="8"/>
      <c r="GP1650" s="8"/>
      <c r="GQ1650" s="8"/>
      <c r="GR1650" s="8"/>
      <c r="GS1650" s="8"/>
      <c r="GT1650" s="8"/>
      <c r="GU1650" s="8"/>
      <c r="GV1650" s="8"/>
      <c r="GW1650" s="8"/>
      <c r="GX1650" s="8"/>
    </row>
    <row r="1651">
      <c r="A1651" s="8" t="str">
        <f>IFERROR(__xludf.DUMMYFUNCTION("""COMPUTED_VALUE"""),"108180620070300750")</f>
        <v>108180620070300750</v>
      </c>
      <c r="B1651" s="9" t="str">
        <f>IFERROR(__xludf.DUMMYFUNCTION("""COMPUTED_VALUE"""),"France")</f>
        <v>France</v>
      </c>
      <c r="C1651" s="9" t="str">
        <f>IFERROR(__xludf.DUMMYFUNCTION("""COMPUTED_VALUE"""),"champagne")</f>
        <v>champagne</v>
      </c>
      <c r="D1651" s="9" t="str">
        <f>IFERROR(__xludf.DUMMYFUNCTION("""COMPUTED_VALUE"""),"Bollinger, R.D., Champagne")</f>
        <v>Bollinger, R.D., Champagne</v>
      </c>
      <c r="E1651" s="9">
        <f>IFERROR(__xludf.DUMMYFUNCTION("""COMPUTED_VALUE"""),2007.0)</f>
        <v>2007</v>
      </c>
      <c r="F1651" s="9">
        <f>IFERROR(__xludf.DUMMYFUNCTION("""COMPUTED_VALUE"""),750.0)</f>
        <v>750</v>
      </c>
      <c r="G1651" s="9">
        <f>IFERROR(__xludf.DUMMYFUNCTION("""COMPUTED_VALUE"""),3.0)</f>
        <v>3</v>
      </c>
      <c r="H1651" s="10">
        <f>IFERROR(__xludf.DUMMYFUNCTION("""COMPUTED_VALUE"""),1.0)</f>
        <v>1</v>
      </c>
      <c r="I1651" s="11">
        <f>IFERROR(__xludf.DUMMYFUNCTION("""COMPUTED_VALUE"""),423.0)</f>
        <v>423</v>
      </c>
      <c r="J1651" s="9" t="str">
        <f>IFERROR(__xludf.DUMMYFUNCTION("""COMPUTED_VALUE"""),"UK")</f>
        <v>UK</v>
      </c>
      <c r="K1651" s="8"/>
      <c r="L1651" s="12"/>
      <c r="M1651" s="13"/>
      <c r="N1651" s="13" t="str">
        <f>IFERROR(__xludf.DUMMYFUNCTION("IF(ISBLANK(M1651),"""",M1651*GOOGLEFINANCE(""USDGBP""))"),"")</f>
        <v/>
      </c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8"/>
      <c r="FJ1651" s="8"/>
      <c r="FK1651" s="8"/>
      <c r="FL1651" s="8"/>
      <c r="FM1651" s="8"/>
      <c r="FN1651" s="8"/>
      <c r="FO1651" s="8"/>
      <c r="FP1651" s="8"/>
      <c r="FQ1651" s="8"/>
      <c r="FR1651" s="8"/>
      <c r="FS1651" s="8"/>
      <c r="FT1651" s="8"/>
      <c r="FU1651" s="8"/>
      <c r="FV1651" s="8"/>
      <c r="FW1651" s="8"/>
      <c r="FX1651" s="8"/>
      <c r="FY1651" s="8"/>
      <c r="FZ1651" s="8"/>
      <c r="GA1651" s="8"/>
      <c r="GB1651" s="8"/>
      <c r="GC1651" s="8"/>
      <c r="GD1651" s="8"/>
      <c r="GE1651" s="8"/>
      <c r="GF1651" s="8"/>
      <c r="GG1651" s="8"/>
      <c r="GH1651" s="8"/>
      <c r="GI1651" s="8"/>
      <c r="GJ1651" s="8"/>
      <c r="GK1651" s="8"/>
      <c r="GL1651" s="8"/>
      <c r="GM1651" s="8"/>
      <c r="GN1651" s="8"/>
      <c r="GO1651" s="8"/>
      <c r="GP1651" s="8"/>
      <c r="GQ1651" s="8"/>
      <c r="GR1651" s="8"/>
      <c r="GS1651" s="8"/>
      <c r="GT1651" s="8"/>
      <c r="GU1651" s="8"/>
      <c r="GV1651" s="8"/>
      <c r="GW1651" s="8"/>
      <c r="GX1651" s="8"/>
    </row>
    <row r="1652">
      <c r="A1652" s="8" t="str">
        <f>IFERROR(__xludf.DUMMYFUNCTION("""COMPUTED_VALUE"""),"108182220000100750")</f>
        <v>108182220000100750</v>
      </c>
      <c r="B1652" s="9" t="str">
        <f>IFERROR(__xludf.DUMMYFUNCTION("""COMPUTED_VALUE"""),"France")</f>
        <v>France</v>
      </c>
      <c r="C1652" s="9" t="str">
        <f>IFERROR(__xludf.DUMMYFUNCTION("""COMPUTED_VALUE"""),"champagne")</f>
        <v>champagne</v>
      </c>
      <c r="D1652" s="9" t="str">
        <f>IFERROR(__xludf.DUMMYFUNCTION("""COMPUTED_VALUE"""),"Bollinger, Vieilles Vignes Francaises")</f>
        <v>Bollinger, Vieilles Vignes Francaises</v>
      </c>
      <c r="E1652" s="9">
        <f>IFERROR(__xludf.DUMMYFUNCTION("""COMPUTED_VALUE"""),2000.0)</f>
        <v>2000</v>
      </c>
      <c r="F1652" s="9">
        <f>IFERROR(__xludf.DUMMYFUNCTION("""COMPUTED_VALUE"""),750.0)</f>
        <v>750</v>
      </c>
      <c r="G1652" s="9">
        <f>IFERROR(__xludf.DUMMYFUNCTION("""COMPUTED_VALUE"""),1.0)</f>
        <v>1</v>
      </c>
      <c r="H1652" s="10">
        <f>IFERROR(__xludf.DUMMYFUNCTION("""COMPUTED_VALUE"""),1.0)</f>
        <v>1</v>
      </c>
      <c r="I1652" s="11">
        <f>IFERROR(__xludf.DUMMYFUNCTION("""COMPUTED_VALUE"""),1221.0)</f>
        <v>1221</v>
      </c>
      <c r="J1652" s="9" t="str">
        <f>IFERROR(__xludf.DUMMYFUNCTION("""COMPUTED_VALUE"""),"UK")</f>
        <v>UK</v>
      </c>
      <c r="K1652" s="8"/>
      <c r="L1652" s="12"/>
      <c r="M1652" s="13"/>
      <c r="N1652" s="13" t="str">
        <f>IFERROR(__xludf.DUMMYFUNCTION("IF(ISBLANK(M1652),"""",M1652*GOOGLEFINANCE(""USDGBP""))"),"")</f>
        <v/>
      </c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8"/>
      <c r="FJ1652" s="8"/>
      <c r="FK1652" s="8"/>
      <c r="FL1652" s="8"/>
      <c r="FM1652" s="8"/>
      <c r="FN1652" s="8"/>
      <c r="FO1652" s="8"/>
      <c r="FP1652" s="8"/>
      <c r="FQ1652" s="8"/>
      <c r="FR1652" s="8"/>
      <c r="FS1652" s="8"/>
      <c r="FT1652" s="8"/>
      <c r="FU1652" s="8"/>
      <c r="FV1652" s="8"/>
      <c r="FW1652" s="8"/>
      <c r="FX1652" s="8"/>
      <c r="FY1652" s="8"/>
      <c r="FZ1652" s="8"/>
      <c r="GA1652" s="8"/>
      <c r="GB1652" s="8"/>
      <c r="GC1652" s="8"/>
      <c r="GD1652" s="8"/>
      <c r="GE1652" s="8"/>
      <c r="GF1652" s="8"/>
      <c r="GG1652" s="8"/>
      <c r="GH1652" s="8"/>
      <c r="GI1652" s="8"/>
      <c r="GJ1652" s="8"/>
      <c r="GK1652" s="8"/>
      <c r="GL1652" s="8"/>
      <c r="GM1652" s="8"/>
      <c r="GN1652" s="8"/>
      <c r="GO1652" s="8"/>
      <c r="GP1652" s="8"/>
      <c r="GQ1652" s="8"/>
      <c r="GR1652" s="8"/>
      <c r="GS1652" s="8"/>
      <c r="GT1652" s="8"/>
      <c r="GU1652" s="8"/>
      <c r="GV1652" s="8"/>
      <c r="GW1652" s="8"/>
      <c r="GX1652" s="8"/>
    </row>
    <row r="1653">
      <c r="A1653" s="8" t="str">
        <f>IFERROR(__xludf.DUMMYFUNCTION("""COMPUTED_VALUE"""),"108182220050100750")</f>
        <v>108182220050100750</v>
      </c>
      <c r="B1653" s="9" t="str">
        <f>IFERROR(__xludf.DUMMYFUNCTION("""COMPUTED_VALUE"""),"France")</f>
        <v>France</v>
      </c>
      <c r="C1653" s="9" t="str">
        <f>IFERROR(__xludf.DUMMYFUNCTION("""COMPUTED_VALUE"""),"champagne")</f>
        <v>champagne</v>
      </c>
      <c r="D1653" s="9" t="str">
        <f>IFERROR(__xludf.DUMMYFUNCTION("""COMPUTED_VALUE"""),"Bollinger, Vieilles Vignes Francaises")</f>
        <v>Bollinger, Vieilles Vignes Francaises</v>
      </c>
      <c r="E1653" s="9">
        <f>IFERROR(__xludf.DUMMYFUNCTION("""COMPUTED_VALUE"""),2005.0)</f>
        <v>2005</v>
      </c>
      <c r="F1653" s="9">
        <f>IFERROR(__xludf.DUMMYFUNCTION("""COMPUTED_VALUE"""),750.0)</f>
        <v>750</v>
      </c>
      <c r="G1653" s="9">
        <f>IFERROR(__xludf.DUMMYFUNCTION("""COMPUTED_VALUE"""),1.0)</f>
        <v>1</v>
      </c>
      <c r="H1653" s="10">
        <f>IFERROR(__xludf.DUMMYFUNCTION("""COMPUTED_VALUE"""),1.0)</f>
        <v>1</v>
      </c>
      <c r="I1653" s="11">
        <f>IFERROR(__xludf.DUMMYFUNCTION("""COMPUTED_VALUE"""),1015.0)</f>
        <v>1015</v>
      </c>
      <c r="J1653" s="9" t="str">
        <f>IFERROR(__xludf.DUMMYFUNCTION("""COMPUTED_VALUE"""),"UK")</f>
        <v>UK</v>
      </c>
      <c r="K1653" s="8"/>
      <c r="L1653" s="12"/>
      <c r="M1653" s="13"/>
      <c r="N1653" s="13" t="str">
        <f>IFERROR(__xludf.DUMMYFUNCTION("IF(ISBLANK(M1653),"""",M1653*GOOGLEFINANCE(""USDGBP""))"),"")</f>
        <v/>
      </c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8"/>
      <c r="FJ1653" s="8"/>
      <c r="FK1653" s="8"/>
      <c r="FL1653" s="8"/>
      <c r="FM1653" s="8"/>
      <c r="FN1653" s="8"/>
      <c r="FO1653" s="8"/>
      <c r="FP1653" s="8"/>
      <c r="FQ1653" s="8"/>
      <c r="FR1653" s="8"/>
      <c r="FS1653" s="8"/>
      <c r="FT1653" s="8"/>
      <c r="FU1653" s="8"/>
      <c r="FV1653" s="8"/>
      <c r="FW1653" s="8"/>
      <c r="FX1653" s="8"/>
      <c r="FY1653" s="8"/>
      <c r="FZ1653" s="8"/>
      <c r="GA1653" s="8"/>
      <c r="GB1653" s="8"/>
      <c r="GC1653" s="8"/>
      <c r="GD1653" s="8"/>
      <c r="GE1653" s="8"/>
      <c r="GF1653" s="8"/>
      <c r="GG1653" s="8"/>
      <c r="GH1653" s="8"/>
      <c r="GI1653" s="8"/>
      <c r="GJ1653" s="8"/>
      <c r="GK1653" s="8"/>
      <c r="GL1653" s="8"/>
      <c r="GM1653" s="8"/>
      <c r="GN1653" s="8"/>
      <c r="GO1653" s="8"/>
      <c r="GP1653" s="8"/>
      <c r="GQ1653" s="8"/>
      <c r="GR1653" s="8"/>
      <c r="GS1653" s="8"/>
      <c r="GT1653" s="8"/>
      <c r="GU1653" s="8"/>
      <c r="GV1653" s="8"/>
      <c r="GW1653" s="8"/>
      <c r="GX1653" s="8"/>
    </row>
    <row r="1654">
      <c r="A1654" s="8" t="str">
        <f>IFERROR(__xludf.DUMMYFUNCTION("""COMPUTED_VALUE"""),"108182220070300750")</f>
        <v>108182220070300750</v>
      </c>
      <c r="B1654" s="9" t="str">
        <f>IFERROR(__xludf.DUMMYFUNCTION("""COMPUTED_VALUE"""),"France")</f>
        <v>France</v>
      </c>
      <c r="C1654" s="9" t="str">
        <f>IFERROR(__xludf.DUMMYFUNCTION("""COMPUTED_VALUE"""),"champagne")</f>
        <v>champagne</v>
      </c>
      <c r="D1654" s="9" t="str">
        <f>IFERROR(__xludf.DUMMYFUNCTION("""COMPUTED_VALUE"""),"Bollinger, Vieilles Vignes Francaises")</f>
        <v>Bollinger, Vieilles Vignes Francaises</v>
      </c>
      <c r="E1654" s="9">
        <f>IFERROR(__xludf.DUMMYFUNCTION("""COMPUTED_VALUE"""),2007.0)</f>
        <v>2007</v>
      </c>
      <c r="F1654" s="9">
        <f>IFERROR(__xludf.DUMMYFUNCTION("""COMPUTED_VALUE"""),750.0)</f>
        <v>750</v>
      </c>
      <c r="G1654" s="9">
        <f>IFERROR(__xludf.DUMMYFUNCTION("""COMPUTED_VALUE"""),3.0)</f>
        <v>3</v>
      </c>
      <c r="H1654" s="10">
        <f>IFERROR(__xludf.DUMMYFUNCTION("""COMPUTED_VALUE"""),1.0)</f>
        <v>1</v>
      </c>
      <c r="I1654" s="11">
        <f>IFERROR(__xludf.DUMMYFUNCTION("""COMPUTED_VALUE"""),3138.0)</f>
        <v>3138</v>
      </c>
      <c r="J1654" s="9" t="str">
        <f>IFERROR(__xludf.DUMMYFUNCTION("""COMPUTED_VALUE"""),"UK")</f>
        <v>UK</v>
      </c>
      <c r="K1654" s="8"/>
      <c r="L1654" s="12"/>
      <c r="M1654" s="13"/>
      <c r="N1654" s="13" t="str">
        <f>IFERROR(__xludf.DUMMYFUNCTION("IF(ISBLANK(M1654),"""",M1654*GOOGLEFINANCE(""USDGBP""))"),"")</f>
        <v/>
      </c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8"/>
      <c r="FJ1654" s="8"/>
      <c r="FK1654" s="8"/>
      <c r="FL1654" s="8"/>
      <c r="FM1654" s="8"/>
      <c r="FN1654" s="8"/>
      <c r="FO1654" s="8"/>
      <c r="FP1654" s="8"/>
      <c r="FQ1654" s="8"/>
      <c r="FR1654" s="8"/>
      <c r="FS1654" s="8"/>
      <c r="FT1654" s="8"/>
      <c r="FU1654" s="8"/>
      <c r="FV1654" s="8"/>
      <c r="FW1654" s="8"/>
      <c r="FX1654" s="8"/>
      <c r="FY1654" s="8"/>
      <c r="FZ1654" s="8"/>
      <c r="GA1654" s="8"/>
      <c r="GB1654" s="8"/>
      <c r="GC1654" s="8"/>
      <c r="GD1654" s="8"/>
      <c r="GE1654" s="8"/>
      <c r="GF1654" s="8"/>
      <c r="GG1654" s="8"/>
      <c r="GH1654" s="8"/>
      <c r="GI1654" s="8"/>
      <c r="GJ1654" s="8"/>
      <c r="GK1654" s="8"/>
      <c r="GL1654" s="8"/>
      <c r="GM1654" s="8"/>
      <c r="GN1654" s="8"/>
      <c r="GO1654" s="8"/>
      <c r="GP1654" s="8"/>
      <c r="GQ1654" s="8"/>
      <c r="GR1654" s="8"/>
      <c r="GS1654" s="8"/>
      <c r="GT1654" s="8"/>
      <c r="GU1654" s="8"/>
      <c r="GV1654" s="8"/>
      <c r="GW1654" s="8"/>
      <c r="GX1654" s="8"/>
    </row>
    <row r="1655">
      <c r="A1655" s="8" t="str">
        <f>IFERROR(__xludf.DUMMYFUNCTION("""COMPUTED_VALUE"""),"108182220070100750")</f>
        <v>108182220070100750</v>
      </c>
      <c r="B1655" s="9" t="str">
        <f>IFERROR(__xludf.DUMMYFUNCTION("""COMPUTED_VALUE"""),"France")</f>
        <v>France</v>
      </c>
      <c r="C1655" s="9" t="str">
        <f>IFERROR(__xludf.DUMMYFUNCTION("""COMPUTED_VALUE"""),"champagne")</f>
        <v>champagne</v>
      </c>
      <c r="D1655" s="9" t="str">
        <f>IFERROR(__xludf.DUMMYFUNCTION("""COMPUTED_VALUE"""),"Bollinger, Vieilles Vignes Francaises")</f>
        <v>Bollinger, Vieilles Vignes Francaises</v>
      </c>
      <c r="E1655" s="9">
        <f>IFERROR(__xludf.DUMMYFUNCTION("""COMPUTED_VALUE"""),2007.0)</f>
        <v>2007</v>
      </c>
      <c r="F1655" s="9">
        <f>IFERROR(__xludf.DUMMYFUNCTION("""COMPUTED_VALUE"""),750.0)</f>
        <v>750</v>
      </c>
      <c r="G1655" s="9">
        <f>IFERROR(__xludf.DUMMYFUNCTION("""COMPUTED_VALUE"""),1.0)</f>
        <v>1</v>
      </c>
      <c r="H1655" s="10">
        <f>IFERROR(__xludf.DUMMYFUNCTION("""COMPUTED_VALUE"""),1.0)</f>
        <v>1</v>
      </c>
      <c r="I1655" s="11">
        <f>IFERROR(__xludf.DUMMYFUNCTION("""COMPUTED_VALUE"""),1046.0)</f>
        <v>1046</v>
      </c>
      <c r="J1655" s="9" t="str">
        <f>IFERROR(__xludf.DUMMYFUNCTION("""COMPUTED_VALUE"""),"UK")</f>
        <v>UK</v>
      </c>
      <c r="K1655" s="8"/>
      <c r="L1655" s="12"/>
      <c r="M1655" s="13"/>
      <c r="N1655" s="13" t="str">
        <f>IFERROR(__xludf.DUMMYFUNCTION("IF(ISBLANK(M1655),"""",M1655*GOOGLEFINANCE(""USDGBP""))"),"")</f>
        <v/>
      </c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8"/>
      <c r="FJ1655" s="8"/>
      <c r="FK1655" s="8"/>
      <c r="FL1655" s="8"/>
      <c r="FM1655" s="8"/>
      <c r="FN1655" s="8"/>
      <c r="FO1655" s="8"/>
      <c r="FP1655" s="8"/>
      <c r="FQ1655" s="8"/>
      <c r="FR1655" s="8"/>
      <c r="FS1655" s="8"/>
      <c r="FT1655" s="8"/>
      <c r="FU1655" s="8"/>
      <c r="FV1655" s="8"/>
      <c r="FW1655" s="8"/>
      <c r="FX1655" s="8"/>
      <c r="FY1655" s="8"/>
      <c r="FZ1655" s="8"/>
      <c r="GA1655" s="8"/>
      <c r="GB1655" s="8"/>
      <c r="GC1655" s="8"/>
      <c r="GD1655" s="8"/>
      <c r="GE1655" s="8"/>
      <c r="GF1655" s="8"/>
      <c r="GG1655" s="8"/>
      <c r="GH1655" s="8"/>
      <c r="GI1655" s="8"/>
      <c r="GJ1655" s="8"/>
      <c r="GK1655" s="8"/>
      <c r="GL1655" s="8"/>
      <c r="GM1655" s="8"/>
      <c r="GN1655" s="8"/>
      <c r="GO1655" s="8"/>
      <c r="GP1655" s="8"/>
      <c r="GQ1655" s="8"/>
      <c r="GR1655" s="8"/>
      <c r="GS1655" s="8"/>
      <c r="GT1655" s="8"/>
      <c r="GU1655" s="8"/>
      <c r="GV1655" s="8"/>
      <c r="GW1655" s="8"/>
      <c r="GX1655" s="8"/>
    </row>
    <row r="1656">
      <c r="A1656" s="8" t="str">
        <f>IFERROR(__xludf.DUMMYFUNCTION("""COMPUTED_VALUE"""),"108182220080300750")</f>
        <v>108182220080300750</v>
      </c>
      <c r="B1656" s="9" t="str">
        <f>IFERROR(__xludf.DUMMYFUNCTION("""COMPUTED_VALUE"""),"France")</f>
        <v>France</v>
      </c>
      <c r="C1656" s="9" t="str">
        <f>IFERROR(__xludf.DUMMYFUNCTION("""COMPUTED_VALUE"""),"champagne")</f>
        <v>champagne</v>
      </c>
      <c r="D1656" s="9" t="str">
        <f>IFERROR(__xludf.DUMMYFUNCTION("""COMPUTED_VALUE"""),"Bollinger, Vieilles Vignes Francaises")</f>
        <v>Bollinger, Vieilles Vignes Francaises</v>
      </c>
      <c r="E1656" s="9">
        <f>IFERROR(__xludf.DUMMYFUNCTION("""COMPUTED_VALUE"""),2008.0)</f>
        <v>2008</v>
      </c>
      <c r="F1656" s="9">
        <f>IFERROR(__xludf.DUMMYFUNCTION("""COMPUTED_VALUE"""),750.0)</f>
        <v>750</v>
      </c>
      <c r="G1656" s="9">
        <f>IFERROR(__xludf.DUMMYFUNCTION("""COMPUTED_VALUE"""),3.0)</f>
        <v>3</v>
      </c>
      <c r="H1656" s="10">
        <f>IFERROR(__xludf.DUMMYFUNCTION("""COMPUTED_VALUE"""),2.0)</f>
        <v>2</v>
      </c>
      <c r="I1656" s="11">
        <f>IFERROR(__xludf.DUMMYFUNCTION("""COMPUTED_VALUE"""),5933.0)</f>
        <v>5933</v>
      </c>
      <c r="J1656" s="9" t="str">
        <f>IFERROR(__xludf.DUMMYFUNCTION("""COMPUTED_VALUE"""),"UK")</f>
        <v>UK</v>
      </c>
      <c r="K1656" s="8"/>
      <c r="L1656" s="12"/>
      <c r="M1656" s="13"/>
      <c r="N1656" s="13" t="str">
        <f>IFERROR(__xludf.DUMMYFUNCTION("IF(ISBLANK(M1656),"""",M1656*GOOGLEFINANCE(""USDGBP""))"),"")</f>
        <v/>
      </c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8"/>
      <c r="FV1656" s="8"/>
      <c r="FW1656" s="8"/>
      <c r="FX1656" s="8"/>
      <c r="FY1656" s="8"/>
      <c r="FZ1656" s="8"/>
      <c r="GA1656" s="8"/>
      <c r="GB1656" s="8"/>
      <c r="GC1656" s="8"/>
      <c r="GD1656" s="8"/>
      <c r="GE1656" s="8"/>
      <c r="GF1656" s="8"/>
      <c r="GG1656" s="8"/>
      <c r="GH1656" s="8"/>
      <c r="GI1656" s="8"/>
      <c r="GJ1656" s="8"/>
      <c r="GK1656" s="8"/>
      <c r="GL1656" s="8"/>
      <c r="GM1656" s="8"/>
      <c r="GN1656" s="8"/>
      <c r="GO1656" s="8"/>
      <c r="GP1656" s="8"/>
      <c r="GQ1656" s="8"/>
      <c r="GR1656" s="8"/>
      <c r="GS1656" s="8"/>
      <c r="GT1656" s="8"/>
      <c r="GU1656" s="8"/>
      <c r="GV1656" s="8"/>
      <c r="GW1656" s="8"/>
      <c r="GX1656" s="8"/>
    </row>
    <row r="1657">
      <c r="A1657" s="8" t="str">
        <f>IFERROR(__xludf.DUMMYFUNCTION("""COMPUTED_VALUE"""),"108182220080100750")</f>
        <v>108182220080100750</v>
      </c>
      <c r="B1657" s="9" t="str">
        <f>IFERROR(__xludf.DUMMYFUNCTION("""COMPUTED_VALUE"""),"France")</f>
        <v>France</v>
      </c>
      <c r="C1657" s="9" t="str">
        <f>IFERROR(__xludf.DUMMYFUNCTION("""COMPUTED_VALUE"""),"champagne")</f>
        <v>champagne</v>
      </c>
      <c r="D1657" s="9" t="str">
        <f>IFERROR(__xludf.DUMMYFUNCTION("""COMPUTED_VALUE"""),"Bollinger, Vieilles Vignes Francaises")</f>
        <v>Bollinger, Vieilles Vignes Francaises</v>
      </c>
      <c r="E1657" s="9">
        <f>IFERROR(__xludf.DUMMYFUNCTION("""COMPUTED_VALUE"""),2008.0)</f>
        <v>2008</v>
      </c>
      <c r="F1657" s="9">
        <f>IFERROR(__xludf.DUMMYFUNCTION("""COMPUTED_VALUE"""),750.0)</f>
        <v>750</v>
      </c>
      <c r="G1657" s="9">
        <f>IFERROR(__xludf.DUMMYFUNCTION("""COMPUTED_VALUE"""),1.0)</f>
        <v>1</v>
      </c>
      <c r="H1657" s="10">
        <f>IFERROR(__xludf.DUMMYFUNCTION("""COMPUTED_VALUE"""),1.0)</f>
        <v>1</v>
      </c>
      <c r="I1657" s="11">
        <f>IFERROR(__xludf.DUMMYFUNCTION("""COMPUTED_VALUE"""),1978.0)</f>
        <v>1978</v>
      </c>
      <c r="J1657" s="9" t="str">
        <f>IFERROR(__xludf.DUMMYFUNCTION("""COMPUTED_VALUE"""),"UK")</f>
        <v>UK</v>
      </c>
      <c r="K1657" s="8"/>
      <c r="L1657" s="12"/>
      <c r="M1657" s="13"/>
      <c r="N1657" s="13" t="str">
        <f>IFERROR(__xludf.DUMMYFUNCTION("IF(ISBLANK(M1657),"""",M1657*GOOGLEFINANCE(""USDGBP""))"),"")</f>
        <v/>
      </c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8"/>
      <c r="FJ1657" s="8"/>
      <c r="FK1657" s="8"/>
      <c r="FL1657" s="8"/>
      <c r="FM1657" s="8"/>
      <c r="FN1657" s="8"/>
      <c r="FO1657" s="8"/>
      <c r="FP1657" s="8"/>
      <c r="FQ1657" s="8"/>
      <c r="FR1657" s="8"/>
      <c r="FS1657" s="8"/>
      <c r="FT1657" s="8"/>
      <c r="FU1657" s="8"/>
      <c r="FV1657" s="8"/>
      <c r="FW1657" s="8"/>
      <c r="FX1657" s="8"/>
      <c r="FY1657" s="8"/>
      <c r="FZ1657" s="8"/>
      <c r="GA1657" s="8"/>
      <c r="GB1657" s="8"/>
      <c r="GC1657" s="8"/>
      <c r="GD1657" s="8"/>
      <c r="GE1657" s="8"/>
      <c r="GF1657" s="8"/>
      <c r="GG1657" s="8"/>
      <c r="GH1657" s="8"/>
      <c r="GI1657" s="8"/>
      <c r="GJ1657" s="8"/>
      <c r="GK1657" s="8"/>
      <c r="GL1657" s="8"/>
      <c r="GM1657" s="8"/>
      <c r="GN1657" s="8"/>
      <c r="GO1657" s="8"/>
      <c r="GP1657" s="8"/>
      <c r="GQ1657" s="8"/>
      <c r="GR1657" s="8"/>
      <c r="GS1657" s="8"/>
      <c r="GT1657" s="8"/>
      <c r="GU1657" s="8"/>
      <c r="GV1657" s="8"/>
      <c r="GW1657" s="8"/>
      <c r="GX1657" s="8"/>
    </row>
    <row r="1658">
      <c r="A1658" s="8" t="str">
        <f>IFERROR(__xludf.DUMMYFUNCTION("""COMPUTED_VALUE"""),"108182220090300750")</f>
        <v>108182220090300750</v>
      </c>
      <c r="B1658" s="9" t="str">
        <f>IFERROR(__xludf.DUMMYFUNCTION("""COMPUTED_VALUE"""),"France")</f>
        <v>France</v>
      </c>
      <c r="C1658" s="9" t="str">
        <f>IFERROR(__xludf.DUMMYFUNCTION("""COMPUTED_VALUE"""),"champagne")</f>
        <v>champagne</v>
      </c>
      <c r="D1658" s="9" t="str">
        <f>IFERROR(__xludf.DUMMYFUNCTION("""COMPUTED_VALUE"""),"Bollinger, Vieilles Vignes Francaises")</f>
        <v>Bollinger, Vieilles Vignes Francaises</v>
      </c>
      <c r="E1658" s="9">
        <f>IFERROR(__xludf.DUMMYFUNCTION("""COMPUTED_VALUE"""),2009.0)</f>
        <v>2009</v>
      </c>
      <c r="F1658" s="9">
        <f>IFERROR(__xludf.DUMMYFUNCTION("""COMPUTED_VALUE"""),750.0)</f>
        <v>750</v>
      </c>
      <c r="G1658" s="9">
        <f>IFERROR(__xludf.DUMMYFUNCTION("""COMPUTED_VALUE"""),3.0)</f>
        <v>3</v>
      </c>
      <c r="H1658" s="10">
        <f>IFERROR(__xludf.DUMMYFUNCTION("""COMPUTED_VALUE"""),2.0)</f>
        <v>2</v>
      </c>
      <c r="I1658" s="11">
        <f>IFERROR(__xludf.DUMMYFUNCTION("""COMPUTED_VALUE"""),3190.0)</f>
        <v>3190</v>
      </c>
      <c r="J1658" s="9" t="str">
        <f>IFERROR(__xludf.DUMMYFUNCTION("""COMPUTED_VALUE"""),"UK")</f>
        <v>UK</v>
      </c>
      <c r="K1658" s="8"/>
      <c r="L1658" s="12"/>
      <c r="M1658" s="13"/>
      <c r="N1658" s="13" t="str">
        <f>IFERROR(__xludf.DUMMYFUNCTION("IF(ISBLANK(M1658),"""",M1658*GOOGLEFINANCE(""USDGBP""))"),"")</f>
        <v/>
      </c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8"/>
      <c r="FJ1658" s="8"/>
      <c r="FK1658" s="8"/>
      <c r="FL1658" s="8"/>
      <c r="FM1658" s="8"/>
      <c r="FN1658" s="8"/>
      <c r="FO1658" s="8"/>
      <c r="FP1658" s="8"/>
      <c r="FQ1658" s="8"/>
      <c r="FR1658" s="8"/>
      <c r="FS1658" s="8"/>
      <c r="FT1658" s="8"/>
      <c r="FU1658" s="8"/>
      <c r="FV1658" s="8"/>
      <c r="FW1658" s="8"/>
      <c r="FX1658" s="8"/>
      <c r="FY1658" s="8"/>
      <c r="FZ1658" s="8"/>
      <c r="GA1658" s="8"/>
      <c r="GB1658" s="8"/>
      <c r="GC1658" s="8"/>
      <c r="GD1658" s="8"/>
      <c r="GE1658" s="8"/>
      <c r="GF1658" s="8"/>
      <c r="GG1658" s="8"/>
      <c r="GH1658" s="8"/>
      <c r="GI1658" s="8"/>
      <c r="GJ1658" s="8"/>
      <c r="GK1658" s="8"/>
      <c r="GL1658" s="8"/>
      <c r="GM1658" s="8"/>
      <c r="GN1658" s="8"/>
      <c r="GO1658" s="8"/>
      <c r="GP1658" s="8"/>
      <c r="GQ1658" s="8"/>
      <c r="GR1658" s="8"/>
      <c r="GS1658" s="8"/>
      <c r="GT1658" s="8"/>
      <c r="GU1658" s="8"/>
      <c r="GV1658" s="8"/>
      <c r="GW1658" s="8"/>
      <c r="GX1658" s="8"/>
    </row>
    <row r="1659">
      <c r="A1659" s="8" t="str">
        <f>IFERROR(__xludf.DUMMYFUNCTION("""COMPUTED_VALUE"""),"108182220090100750")</f>
        <v>108182220090100750</v>
      </c>
      <c r="B1659" s="9" t="str">
        <f>IFERROR(__xludf.DUMMYFUNCTION("""COMPUTED_VALUE"""),"France")</f>
        <v>France</v>
      </c>
      <c r="C1659" s="9" t="str">
        <f>IFERROR(__xludf.DUMMYFUNCTION("""COMPUTED_VALUE"""),"champagne")</f>
        <v>champagne</v>
      </c>
      <c r="D1659" s="9" t="str">
        <f>IFERROR(__xludf.DUMMYFUNCTION("""COMPUTED_VALUE"""),"Bollinger, Vieilles Vignes Francaises")</f>
        <v>Bollinger, Vieilles Vignes Francaises</v>
      </c>
      <c r="E1659" s="9">
        <f>IFERROR(__xludf.DUMMYFUNCTION("""COMPUTED_VALUE"""),2009.0)</f>
        <v>2009</v>
      </c>
      <c r="F1659" s="9">
        <f>IFERROR(__xludf.DUMMYFUNCTION("""COMPUTED_VALUE"""),750.0)</f>
        <v>750</v>
      </c>
      <c r="G1659" s="9">
        <f>IFERROR(__xludf.DUMMYFUNCTION("""COMPUTED_VALUE"""),1.0)</f>
        <v>1</v>
      </c>
      <c r="H1659" s="10">
        <f>IFERROR(__xludf.DUMMYFUNCTION("""COMPUTED_VALUE"""),9.0)</f>
        <v>9</v>
      </c>
      <c r="I1659" s="11">
        <f>IFERROR(__xludf.DUMMYFUNCTION("""COMPUTED_VALUE"""),1063.0)</f>
        <v>1063</v>
      </c>
      <c r="J1659" s="9" t="str">
        <f>IFERROR(__xludf.DUMMYFUNCTION("""COMPUTED_VALUE"""),"UK")</f>
        <v>UK</v>
      </c>
      <c r="K1659" s="8"/>
      <c r="L1659" s="12"/>
      <c r="M1659" s="13"/>
      <c r="N1659" s="13" t="str">
        <f>IFERROR(__xludf.DUMMYFUNCTION("IF(ISBLANK(M1659),"""",M1659*GOOGLEFINANCE(""USDGBP""))"),"")</f>
        <v/>
      </c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  <c r="GA1659" s="8"/>
      <c r="GB1659" s="8"/>
      <c r="GC1659" s="8"/>
      <c r="GD1659" s="8"/>
      <c r="GE1659" s="8"/>
      <c r="GF1659" s="8"/>
      <c r="GG1659" s="8"/>
      <c r="GH1659" s="8"/>
      <c r="GI1659" s="8"/>
      <c r="GJ1659" s="8"/>
      <c r="GK1659" s="8"/>
      <c r="GL1659" s="8"/>
      <c r="GM1659" s="8"/>
      <c r="GN1659" s="8"/>
      <c r="GO1659" s="8"/>
      <c r="GP1659" s="8"/>
      <c r="GQ1659" s="8"/>
      <c r="GR1659" s="8"/>
      <c r="GS1659" s="8"/>
      <c r="GT1659" s="8"/>
      <c r="GU1659" s="8"/>
      <c r="GV1659" s="8"/>
      <c r="GW1659" s="8"/>
      <c r="GX1659" s="8"/>
    </row>
    <row r="1660">
      <c r="A1660" s="8" t="str">
        <f>IFERROR(__xludf.DUMMYFUNCTION("""COMPUTED_VALUE"""),"108182220100100750")</f>
        <v>108182220100100750</v>
      </c>
      <c r="B1660" s="9" t="str">
        <f>IFERROR(__xludf.DUMMYFUNCTION("""COMPUTED_VALUE"""),"France")</f>
        <v>France</v>
      </c>
      <c r="C1660" s="9" t="str">
        <f>IFERROR(__xludf.DUMMYFUNCTION("""COMPUTED_VALUE"""),"champagne")</f>
        <v>champagne</v>
      </c>
      <c r="D1660" s="9" t="str">
        <f>IFERROR(__xludf.DUMMYFUNCTION("""COMPUTED_VALUE"""),"Bollinger, Vieilles Vignes Francaises")</f>
        <v>Bollinger, Vieilles Vignes Francaises</v>
      </c>
      <c r="E1660" s="9">
        <f>IFERROR(__xludf.DUMMYFUNCTION("""COMPUTED_VALUE"""),2010.0)</f>
        <v>2010</v>
      </c>
      <c r="F1660" s="9">
        <f>IFERROR(__xludf.DUMMYFUNCTION("""COMPUTED_VALUE"""),750.0)</f>
        <v>750</v>
      </c>
      <c r="G1660" s="9">
        <f>IFERROR(__xludf.DUMMYFUNCTION("""COMPUTED_VALUE"""),1.0)</f>
        <v>1</v>
      </c>
      <c r="H1660" s="10">
        <f>IFERROR(__xludf.DUMMYFUNCTION("""COMPUTED_VALUE"""),1.0)</f>
        <v>1</v>
      </c>
      <c r="I1660" s="11">
        <f>IFERROR(__xludf.DUMMYFUNCTION("""COMPUTED_VALUE"""),1283.0)</f>
        <v>1283</v>
      </c>
      <c r="J1660" s="9" t="str">
        <f>IFERROR(__xludf.DUMMYFUNCTION("""COMPUTED_VALUE"""),"UK")</f>
        <v>UK</v>
      </c>
      <c r="K1660" s="8"/>
      <c r="L1660" s="12"/>
      <c r="M1660" s="13"/>
      <c r="N1660" s="13" t="str">
        <f>IFERROR(__xludf.DUMMYFUNCTION("IF(ISBLANK(M1660),"""",M1660*GOOGLEFINANCE(""USDGBP""))"),"")</f>
        <v/>
      </c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8"/>
      <c r="FJ1660" s="8"/>
      <c r="FK1660" s="8"/>
      <c r="FL1660" s="8"/>
      <c r="FM1660" s="8"/>
      <c r="FN1660" s="8"/>
      <c r="FO1660" s="8"/>
      <c r="FP1660" s="8"/>
      <c r="FQ1660" s="8"/>
      <c r="FR1660" s="8"/>
      <c r="FS1660" s="8"/>
      <c r="FT1660" s="8"/>
      <c r="FU1660" s="8"/>
      <c r="FV1660" s="8"/>
      <c r="FW1660" s="8"/>
      <c r="FX1660" s="8"/>
      <c r="FY1660" s="8"/>
      <c r="FZ1660" s="8"/>
      <c r="GA1660" s="8"/>
      <c r="GB1660" s="8"/>
      <c r="GC1660" s="8"/>
      <c r="GD1660" s="8"/>
      <c r="GE1660" s="8"/>
      <c r="GF1660" s="8"/>
      <c r="GG1660" s="8"/>
      <c r="GH1660" s="8"/>
      <c r="GI1660" s="8"/>
      <c r="GJ1660" s="8"/>
      <c r="GK1660" s="8"/>
      <c r="GL1660" s="8"/>
      <c r="GM1660" s="8"/>
      <c r="GN1660" s="8"/>
      <c r="GO1660" s="8"/>
      <c r="GP1660" s="8"/>
      <c r="GQ1660" s="8"/>
      <c r="GR1660" s="8"/>
      <c r="GS1660" s="8"/>
      <c r="GT1660" s="8"/>
      <c r="GU1660" s="8"/>
      <c r="GV1660" s="8"/>
      <c r="GW1660" s="8"/>
      <c r="GX1660" s="8"/>
    </row>
    <row r="1661">
      <c r="A1661" s="8" t="str">
        <f>IFERROR(__xludf.DUMMYFUNCTION("""COMPUTED_VALUE"""),"108182220100300750")</f>
        <v>108182220100300750</v>
      </c>
      <c r="B1661" s="9" t="str">
        <f>IFERROR(__xludf.DUMMYFUNCTION("""COMPUTED_VALUE"""),"France")</f>
        <v>France</v>
      </c>
      <c r="C1661" s="9" t="str">
        <f>IFERROR(__xludf.DUMMYFUNCTION("""COMPUTED_VALUE"""),"champagne")</f>
        <v>champagne</v>
      </c>
      <c r="D1661" s="9" t="str">
        <f>IFERROR(__xludf.DUMMYFUNCTION("""COMPUTED_VALUE"""),"Bollinger, Vieilles Vignes Francaises")</f>
        <v>Bollinger, Vieilles Vignes Francaises</v>
      </c>
      <c r="E1661" s="9">
        <f>IFERROR(__xludf.DUMMYFUNCTION("""COMPUTED_VALUE"""),2010.0)</f>
        <v>2010</v>
      </c>
      <c r="F1661" s="9">
        <f>IFERROR(__xludf.DUMMYFUNCTION("""COMPUTED_VALUE"""),750.0)</f>
        <v>750</v>
      </c>
      <c r="G1661" s="9">
        <f>IFERROR(__xludf.DUMMYFUNCTION("""COMPUTED_VALUE"""),3.0)</f>
        <v>3</v>
      </c>
      <c r="H1661" s="10">
        <f>IFERROR(__xludf.DUMMYFUNCTION("""COMPUTED_VALUE"""),1.0)</f>
        <v>1</v>
      </c>
      <c r="I1661" s="11">
        <f>IFERROR(__xludf.DUMMYFUNCTION("""COMPUTED_VALUE"""),3848.0)</f>
        <v>3848</v>
      </c>
      <c r="J1661" s="9" t="str">
        <f>IFERROR(__xludf.DUMMYFUNCTION("""COMPUTED_VALUE"""),"UK")</f>
        <v>UK</v>
      </c>
      <c r="K1661" s="8"/>
      <c r="L1661" s="12"/>
      <c r="M1661" s="13"/>
      <c r="N1661" s="13" t="str">
        <f>IFERROR(__xludf.DUMMYFUNCTION("IF(ISBLANK(M1661),"""",M1661*GOOGLEFINANCE(""USDGBP""))"),"")</f>
        <v/>
      </c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  <c r="GA1661" s="8"/>
      <c r="GB1661" s="8"/>
      <c r="GC1661" s="8"/>
      <c r="GD1661" s="8"/>
      <c r="GE1661" s="8"/>
      <c r="GF1661" s="8"/>
      <c r="GG1661" s="8"/>
      <c r="GH1661" s="8"/>
      <c r="GI1661" s="8"/>
      <c r="GJ1661" s="8"/>
      <c r="GK1661" s="8"/>
      <c r="GL1661" s="8"/>
      <c r="GM1661" s="8"/>
      <c r="GN1661" s="8"/>
      <c r="GO1661" s="8"/>
      <c r="GP1661" s="8"/>
      <c r="GQ1661" s="8"/>
      <c r="GR1661" s="8"/>
      <c r="GS1661" s="8"/>
      <c r="GT1661" s="8"/>
      <c r="GU1661" s="8"/>
      <c r="GV1661" s="8"/>
      <c r="GW1661" s="8"/>
      <c r="GX1661" s="8"/>
    </row>
    <row r="1662">
      <c r="A1662" s="8" t="str">
        <f>IFERROR(__xludf.DUMMYFUNCTION("""COMPUTED_VALUE"""),"122222920060600750")</f>
        <v>122222920060600750</v>
      </c>
      <c r="B1662" s="9" t="str">
        <f>IFERROR(__xludf.DUMMYFUNCTION("""COMPUTED_VALUE"""),"France")</f>
        <v>France</v>
      </c>
      <c r="C1662" s="9" t="str">
        <f>IFERROR(__xludf.DUMMYFUNCTION("""COMPUTED_VALUE"""),"champagne")</f>
        <v>champagne</v>
      </c>
      <c r="D1662" s="9" t="str">
        <f>IFERROR(__xludf.DUMMYFUNCTION("""COMPUTED_VALUE"""),"Bruno Paillard, Blanc de Blancs Brut Millesime")</f>
        <v>Bruno Paillard, Blanc de Blancs Brut Millesime</v>
      </c>
      <c r="E1662" s="9">
        <f>IFERROR(__xludf.DUMMYFUNCTION("""COMPUTED_VALUE"""),2006.0)</f>
        <v>2006</v>
      </c>
      <c r="F1662" s="9">
        <f>IFERROR(__xludf.DUMMYFUNCTION("""COMPUTED_VALUE"""),750.0)</f>
        <v>750</v>
      </c>
      <c r="G1662" s="9">
        <f>IFERROR(__xludf.DUMMYFUNCTION("""COMPUTED_VALUE"""),6.0)</f>
        <v>6</v>
      </c>
      <c r="H1662" s="10">
        <f>IFERROR(__xludf.DUMMYFUNCTION("""COMPUTED_VALUE"""),1.0)</f>
        <v>1</v>
      </c>
      <c r="I1662" s="11">
        <f>IFERROR(__xludf.DUMMYFUNCTION("""COMPUTED_VALUE"""),662.0)</f>
        <v>662</v>
      </c>
      <c r="J1662" s="9" t="str">
        <f>IFERROR(__xludf.DUMMYFUNCTION("""COMPUTED_VALUE"""),"UK")</f>
        <v>UK</v>
      </c>
      <c r="K1662" s="8"/>
      <c r="L1662" s="12"/>
      <c r="M1662" s="13"/>
      <c r="N1662" s="13" t="str">
        <f>IFERROR(__xludf.DUMMYFUNCTION("IF(ISBLANK(M1662),"""",M1662*GOOGLEFINANCE(""USDGBP""))"),"")</f>
        <v/>
      </c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8"/>
      <c r="FV1662" s="8"/>
      <c r="FW1662" s="8"/>
      <c r="FX1662" s="8"/>
      <c r="FY1662" s="8"/>
      <c r="FZ1662" s="8"/>
      <c r="GA1662" s="8"/>
      <c r="GB1662" s="8"/>
      <c r="GC1662" s="8"/>
      <c r="GD1662" s="8"/>
      <c r="GE1662" s="8"/>
      <c r="GF1662" s="8"/>
      <c r="GG1662" s="8"/>
      <c r="GH1662" s="8"/>
      <c r="GI1662" s="8"/>
      <c r="GJ1662" s="8"/>
      <c r="GK1662" s="8"/>
      <c r="GL1662" s="8"/>
      <c r="GM1662" s="8"/>
      <c r="GN1662" s="8"/>
      <c r="GO1662" s="8"/>
      <c r="GP1662" s="8"/>
      <c r="GQ1662" s="8"/>
      <c r="GR1662" s="8"/>
      <c r="GS1662" s="8"/>
      <c r="GT1662" s="8"/>
      <c r="GU1662" s="8"/>
      <c r="GV1662" s="8"/>
      <c r="GW1662" s="8"/>
      <c r="GX1662" s="8"/>
    </row>
    <row r="1663">
      <c r="A1663" s="8" t="str">
        <f>IFERROR(__xludf.DUMMYFUNCTION("""COMPUTED_VALUE"""),"121774020060600750")</f>
        <v>121774020060600750</v>
      </c>
      <c r="B1663" s="9" t="str">
        <f>IFERROR(__xludf.DUMMYFUNCTION("""COMPUTED_VALUE"""),"France")</f>
        <v>France</v>
      </c>
      <c r="C1663" s="9" t="str">
        <f>IFERROR(__xludf.DUMMYFUNCTION("""COMPUTED_VALUE"""),"champagne")</f>
        <v>champagne</v>
      </c>
      <c r="D1663" s="9" t="str">
        <f>IFERROR(__xludf.DUMMYFUNCTION("""COMPUTED_VALUE"""),"Charles Heidsieck, Blanc des Millenaires Brut")</f>
        <v>Charles Heidsieck, Blanc des Millenaires Brut</v>
      </c>
      <c r="E1663" s="9">
        <f>IFERROR(__xludf.DUMMYFUNCTION("""COMPUTED_VALUE"""),2006.0)</f>
        <v>2006</v>
      </c>
      <c r="F1663" s="9">
        <f>IFERROR(__xludf.DUMMYFUNCTION("""COMPUTED_VALUE"""),750.0)</f>
        <v>750</v>
      </c>
      <c r="G1663" s="9">
        <f>IFERROR(__xludf.DUMMYFUNCTION("""COMPUTED_VALUE"""),6.0)</f>
        <v>6</v>
      </c>
      <c r="H1663" s="10">
        <f>IFERROR(__xludf.DUMMYFUNCTION("""COMPUTED_VALUE"""),6.0)</f>
        <v>6</v>
      </c>
      <c r="I1663" s="11">
        <f>IFERROR(__xludf.DUMMYFUNCTION("""COMPUTED_VALUE"""),678.0)</f>
        <v>678</v>
      </c>
      <c r="J1663" s="9" t="str">
        <f>IFERROR(__xludf.DUMMYFUNCTION("""COMPUTED_VALUE"""),"UK")</f>
        <v>UK</v>
      </c>
      <c r="K1663" s="8"/>
      <c r="L1663" s="12"/>
      <c r="M1663" s="13"/>
      <c r="N1663" s="13" t="str">
        <f>IFERROR(__xludf.DUMMYFUNCTION("IF(ISBLANK(M1663),"""",M1663*GOOGLEFINANCE(""USDGBP""))"),"")</f>
        <v/>
      </c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8"/>
      <c r="FJ1663" s="8"/>
      <c r="FK1663" s="8"/>
      <c r="FL1663" s="8"/>
      <c r="FM1663" s="8"/>
      <c r="FN1663" s="8"/>
      <c r="FO1663" s="8"/>
      <c r="FP1663" s="8"/>
      <c r="FQ1663" s="8"/>
      <c r="FR1663" s="8"/>
      <c r="FS1663" s="8"/>
      <c r="FT1663" s="8"/>
      <c r="FU1663" s="8"/>
      <c r="FV1663" s="8"/>
      <c r="FW1663" s="8"/>
      <c r="FX1663" s="8"/>
      <c r="FY1663" s="8"/>
      <c r="FZ1663" s="8"/>
      <c r="GA1663" s="8"/>
      <c r="GB1663" s="8"/>
      <c r="GC1663" s="8"/>
      <c r="GD1663" s="8"/>
      <c r="GE1663" s="8"/>
      <c r="GF1663" s="8"/>
      <c r="GG1663" s="8"/>
      <c r="GH1663" s="8"/>
      <c r="GI1663" s="8"/>
      <c r="GJ1663" s="8"/>
      <c r="GK1663" s="8"/>
      <c r="GL1663" s="8"/>
      <c r="GM1663" s="8"/>
      <c r="GN1663" s="8"/>
      <c r="GO1663" s="8"/>
      <c r="GP1663" s="8"/>
      <c r="GQ1663" s="8"/>
      <c r="GR1663" s="8"/>
      <c r="GS1663" s="8"/>
      <c r="GT1663" s="8"/>
      <c r="GU1663" s="8"/>
      <c r="GV1663" s="8"/>
      <c r="GW1663" s="8"/>
      <c r="GX1663" s="8"/>
    </row>
    <row r="1664">
      <c r="A1664" s="8" t="str">
        <f>IFERROR(__xludf.DUMMYFUNCTION("""COMPUTED_VALUE"""),"138717120150600750")</f>
        <v>138717120150600750</v>
      </c>
      <c r="B1664" s="9" t="str">
        <f>IFERROR(__xludf.DUMMYFUNCTION("""COMPUTED_VALUE"""),"France")</f>
        <v>France</v>
      </c>
      <c r="C1664" s="9" t="str">
        <f>IFERROR(__xludf.DUMMYFUNCTION("""COMPUTED_VALUE"""),"champagne")</f>
        <v>champagne</v>
      </c>
      <c r="D1664" s="9" t="str">
        <f>IFERROR(__xludf.DUMMYFUNCTION("""COMPUTED_VALUE"""),"Chartogne-Taillet, Orizeaux Extra Brut")</f>
        <v>Chartogne-Taillet, Orizeaux Extra Brut</v>
      </c>
      <c r="E1664" s="9">
        <f>IFERROR(__xludf.DUMMYFUNCTION("""COMPUTED_VALUE"""),2015.0)</f>
        <v>2015</v>
      </c>
      <c r="F1664" s="9">
        <f>IFERROR(__xludf.DUMMYFUNCTION("""COMPUTED_VALUE"""),750.0)</f>
        <v>750</v>
      </c>
      <c r="G1664" s="9">
        <f>IFERROR(__xludf.DUMMYFUNCTION("""COMPUTED_VALUE"""),6.0)</f>
        <v>6</v>
      </c>
      <c r="H1664" s="10">
        <f>IFERROR(__xludf.DUMMYFUNCTION("""COMPUTED_VALUE"""),1.0)</f>
        <v>1</v>
      </c>
      <c r="I1664" s="11">
        <f>IFERROR(__xludf.DUMMYFUNCTION("""COMPUTED_VALUE"""),705.0)</f>
        <v>705</v>
      </c>
      <c r="J1664" s="9" t="str">
        <f>IFERROR(__xludf.DUMMYFUNCTION("""COMPUTED_VALUE"""),"UK")</f>
        <v>UK</v>
      </c>
      <c r="K1664" s="8"/>
      <c r="L1664" s="12"/>
      <c r="M1664" s="13"/>
      <c r="N1664" s="13" t="str">
        <f>IFERROR(__xludf.DUMMYFUNCTION("IF(ISBLANK(M1664),"""",M1664*GOOGLEFINANCE(""USDGBP""))"),"")</f>
        <v/>
      </c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  <c r="GA1664" s="8"/>
      <c r="GB1664" s="8"/>
      <c r="GC1664" s="8"/>
      <c r="GD1664" s="8"/>
      <c r="GE1664" s="8"/>
      <c r="GF1664" s="8"/>
      <c r="GG1664" s="8"/>
      <c r="GH1664" s="8"/>
      <c r="GI1664" s="8"/>
      <c r="GJ1664" s="8"/>
      <c r="GK1664" s="8"/>
      <c r="GL1664" s="8"/>
      <c r="GM1664" s="8"/>
      <c r="GN1664" s="8"/>
      <c r="GO1664" s="8"/>
      <c r="GP1664" s="8"/>
      <c r="GQ1664" s="8"/>
      <c r="GR1664" s="8"/>
      <c r="GS1664" s="8"/>
      <c r="GT1664" s="8"/>
      <c r="GU1664" s="8"/>
      <c r="GV1664" s="8"/>
      <c r="GW1664" s="8"/>
      <c r="GX1664" s="8"/>
    </row>
    <row r="1665">
      <c r="A1665" s="8" t="str">
        <f>IFERROR(__xludf.DUMMYFUNCTION("""COMPUTED_VALUE"""),"158466820100600750")</f>
        <v>158466820100600750</v>
      </c>
      <c r="B1665" s="9" t="str">
        <f>IFERROR(__xludf.DUMMYFUNCTION("""COMPUTED_VALUE"""),"France")</f>
        <v>France</v>
      </c>
      <c r="C1665" s="9" t="str">
        <f>IFERROR(__xludf.DUMMYFUNCTION("""COMPUTED_VALUE"""),"champagne")</f>
        <v>champagne</v>
      </c>
      <c r="D1665" s="9" t="str">
        <f>IFERROR(__xludf.DUMMYFUNCTION("""COMPUTED_VALUE"""),"Deutz, Hommage William Deutz Parcelles d'Ay")</f>
        <v>Deutz, Hommage William Deutz Parcelles d'Ay</v>
      </c>
      <c r="E1665" s="9">
        <f>IFERROR(__xludf.DUMMYFUNCTION("""COMPUTED_VALUE"""),2010.0)</f>
        <v>2010</v>
      </c>
      <c r="F1665" s="9">
        <f>IFERROR(__xludf.DUMMYFUNCTION("""COMPUTED_VALUE"""),750.0)</f>
        <v>750</v>
      </c>
      <c r="G1665" s="9">
        <f>IFERROR(__xludf.DUMMYFUNCTION("""COMPUTED_VALUE"""),6.0)</f>
        <v>6</v>
      </c>
      <c r="H1665" s="10">
        <f>IFERROR(__xludf.DUMMYFUNCTION("""COMPUTED_VALUE"""),1.0)</f>
        <v>1</v>
      </c>
      <c r="I1665" s="11">
        <f>IFERROR(__xludf.DUMMYFUNCTION("""COMPUTED_VALUE"""),549.0)</f>
        <v>549</v>
      </c>
      <c r="J1665" s="9" t="str">
        <f>IFERROR(__xludf.DUMMYFUNCTION("""COMPUTED_VALUE"""),"UK")</f>
        <v>UK</v>
      </c>
      <c r="K1665" s="8"/>
      <c r="L1665" s="12"/>
      <c r="M1665" s="13"/>
      <c r="N1665" s="13" t="str">
        <f>IFERROR(__xludf.DUMMYFUNCTION("IF(ISBLANK(M1665),"""",M1665*GOOGLEFINANCE(""USDGBP""))"),"")</f>
        <v/>
      </c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8"/>
      <c r="FV1665" s="8"/>
      <c r="FW1665" s="8"/>
      <c r="FX1665" s="8"/>
      <c r="FY1665" s="8"/>
      <c r="FZ1665" s="8"/>
      <c r="GA1665" s="8"/>
      <c r="GB1665" s="8"/>
      <c r="GC1665" s="8"/>
      <c r="GD1665" s="8"/>
      <c r="GE1665" s="8"/>
      <c r="GF1665" s="8"/>
      <c r="GG1665" s="8"/>
      <c r="GH1665" s="8"/>
      <c r="GI1665" s="8"/>
      <c r="GJ1665" s="8"/>
      <c r="GK1665" s="8"/>
      <c r="GL1665" s="8"/>
      <c r="GM1665" s="8"/>
      <c r="GN1665" s="8"/>
      <c r="GO1665" s="8"/>
      <c r="GP1665" s="8"/>
      <c r="GQ1665" s="8"/>
      <c r="GR1665" s="8"/>
      <c r="GS1665" s="8"/>
      <c r="GT1665" s="8"/>
      <c r="GU1665" s="8"/>
      <c r="GV1665" s="8"/>
      <c r="GW1665" s="8"/>
      <c r="GX1665" s="8"/>
    </row>
    <row r="1666">
      <c r="A1666" s="8" t="str">
        <f>IFERROR(__xludf.DUMMYFUNCTION("""COMPUTED_VALUE"""),"165906520140300750")</f>
        <v>165906520140300750</v>
      </c>
      <c r="B1666" s="9" t="str">
        <f>IFERROR(__xludf.DUMMYFUNCTION("""COMPUTED_VALUE"""),"France")</f>
        <v>France</v>
      </c>
      <c r="C1666" s="9" t="str">
        <f>IFERROR(__xludf.DUMMYFUNCTION("""COMPUTED_VALUE"""),"champagne")</f>
        <v>champagne</v>
      </c>
      <c r="D1666" s="9" t="str">
        <f>IFERROR(__xludf.DUMMYFUNCTION("""COMPUTED_VALUE"""),"Dhondt Grellet, Le Bateau Vieilles Vigne Extra Brut Grand Cru, Cramant")</f>
        <v>Dhondt Grellet, Le Bateau Vieilles Vigne Extra Brut Grand Cru, Cramant</v>
      </c>
      <c r="E1666" s="9">
        <f>IFERROR(__xludf.DUMMYFUNCTION("""COMPUTED_VALUE"""),2014.0)</f>
        <v>2014</v>
      </c>
      <c r="F1666" s="9">
        <f>IFERROR(__xludf.DUMMYFUNCTION("""COMPUTED_VALUE"""),750.0)</f>
        <v>750</v>
      </c>
      <c r="G1666" s="9">
        <f>IFERROR(__xludf.DUMMYFUNCTION("""COMPUTED_VALUE"""),3.0)</f>
        <v>3</v>
      </c>
      <c r="H1666" s="10">
        <f>IFERROR(__xludf.DUMMYFUNCTION("""COMPUTED_VALUE"""),1.0)</f>
        <v>1</v>
      </c>
      <c r="I1666" s="11">
        <f>IFERROR(__xludf.DUMMYFUNCTION("""COMPUTED_VALUE"""),530.0)</f>
        <v>530</v>
      </c>
      <c r="J1666" s="9" t="str">
        <f>IFERROR(__xludf.DUMMYFUNCTION("""COMPUTED_VALUE"""),"UK")</f>
        <v>UK</v>
      </c>
      <c r="K1666" s="8"/>
      <c r="L1666" s="12"/>
      <c r="M1666" s="13"/>
      <c r="N1666" s="13" t="str">
        <f>IFERROR(__xludf.DUMMYFUNCTION("IF(ISBLANK(M1666),"""",M1666*GOOGLEFINANCE(""USDGBP""))"),"")</f>
        <v/>
      </c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8"/>
      <c r="FV1666" s="8"/>
      <c r="FW1666" s="8"/>
      <c r="FX1666" s="8"/>
      <c r="FY1666" s="8"/>
      <c r="FZ1666" s="8"/>
      <c r="GA1666" s="8"/>
      <c r="GB1666" s="8"/>
      <c r="GC1666" s="8"/>
      <c r="GD1666" s="8"/>
      <c r="GE1666" s="8"/>
      <c r="GF1666" s="8"/>
      <c r="GG1666" s="8"/>
      <c r="GH1666" s="8"/>
      <c r="GI1666" s="8"/>
      <c r="GJ1666" s="8"/>
      <c r="GK1666" s="8"/>
      <c r="GL1666" s="8"/>
      <c r="GM1666" s="8"/>
      <c r="GN1666" s="8"/>
      <c r="GO1666" s="8"/>
      <c r="GP1666" s="8"/>
      <c r="GQ1666" s="8"/>
      <c r="GR1666" s="8"/>
      <c r="GS1666" s="8"/>
      <c r="GT1666" s="8"/>
      <c r="GU1666" s="8"/>
      <c r="GV1666" s="8"/>
      <c r="GW1666" s="8"/>
      <c r="GX1666" s="8"/>
    </row>
    <row r="1667">
      <c r="A1667" s="8" t="str">
        <f>IFERROR(__xludf.DUMMYFUNCTION("""COMPUTED_VALUE"""),"108265620000101500")</f>
        <v>108265620000101500</v>
      </c>
      <c r="B1667" s="9" t="str">
        <f>IFERROR(__xludf.DUMMYFUNCTION("""COMPUTED_VALUE"""),"France")</f>
        <v>France</v>
      </c>
      <c r="C1667" s="9" t="str">
        <f>IFERROR(__xludf.DUMMYFUNCTION("""COMPUTED_VALUE"""),"champagne")</f>
        <v>champagne</v>
      </c>
      <c r="D1667" s="9" t="str">
        <f>IFERROR(__xludf.DUMMYFUNCTION("""COMPUTED_VALUE"""),"Dom Perignon")</f>
        <v>Dom Perignon</v>
      </c>
      <c r="E1667" s="9">
        <f>IFERROR(__xludf.DUMMYFUNCTION("""COMPUTED_VALUE"""),2000.0)</f>
        <v>2000</v>
      </c>
      <c r="F1667" s="9">
        <f>IFERROR(__xludf.DUMMYFUNCTION("""COMPUTED_VALUE"""),1500.0)</f>
        <v>1500</v>
      </c>
      <c r="G1667" s="9">
        <f>IFERROR(__xludf.DUMMYFUNCTION("""COMPUTED_VALUE"""),1.0)</f>
        <v>1</v>
      </c>
      <c r="H1667" s="10">
        <f>IFERROR(__xludf.DUMMYFUNCTION("""COMPUTED_VALUE"""),1.0)</f>
        <v>1</v>
      </c>
      <c r="I1667" s="11">
        <f>IFERROR(__xludf.DUMMYFUNCTION("""COMPUTED_VALUE"""),651.0)</f>
        <v>651</v>
      </c>
      <c r="J1667" s="9" t="str">
        <f>IFERROR(__xludf.DUMMYFUNCTION("""COMPUTED_VALUE"""),"UK")</f>
        <v>UK</v>
      </c>
      <c r="K1667" s="8"/>
      <c r="L1667" s="12"/>
      <c r="M1667" s="13"/>
      <c r="N1667" s="13" t="str">
        <f>IFERROR(__xludf.DUMMYFUNCTION("IF(ISBLANK(M1667),"""",M1667*GOOGLEFINANCE(""USDGBP""))"),"")</f>
        <v/>
      </c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8"/>
      <c r="FJ1667" s="8"/>
      <c r="FK1667" s="8"/>
      <c r="FL1667" s="8"/>
      <c r="FM1667" s="8"/>
      <c r="FN1667" s="8"/>
      <c r="FO1667" s="8"/>
      <c r="FP1667" s="8"/>
      <c r="FQ1667" s="8"/>
      <c r="FR1667" s="8"/>
      <c r="FS1667" s="8"/>
      <c r="FT1667" s="8"/>
      <c r="FU1667" s="8"/>
      <c r="FV1667" s="8"/>
      <c r="FW1667" s="8"/>
      <c r="FX1667" s="8"/>
      <c r="FY1667" s="8"/>
      <c r="FZ1667" s="8"/>
      <c r="GA1667" s="8"/>
      <c r="GB1667" s="8"/>
      <c r="GC1667" s="8"/>
      <c r="GD1667" s="8"/>
      <c r="GE1667" s="8"/>
      <c r="GF1667" s="8"/>
      <c r="GG1667" s="8"/>
      <c r="GH1667" s="8"/>
      <c r="GI1667" s="8"/>
      <c r="GJ1667" s="8"/>
      <c r="GK1667" s="8"/>
      <c r="GL1667" s="8"/>
      <c r="GM1667" s="8"/>
      <c r="GN1667" s="8"/>
      <c r="GO1667" s="8"/>
      <c r="GP1667" s="8"/>
      <c r="GQ1667" s="8"/>
      <c r="GR1667" s="8"/>
      <c r="GS1667" s="8"/>
      <c r="GT1667" s="8"/>
      <c r="GU1667" s="8"/>
      <c r="GV1667" s="8"/>
      <c r="GW1667" s="8"/>
      <c r="GX1667" s="8"/>
    </row>
    <row r="1668">
      <c r="A1668" s="8" t="str">
        <f>IFERROR(__xludf.DUMMYFUNCTION("""COMPUTED_VALUE"""),"108265620020600750")</f>
        <v>108265620020600750</v>
      </c>
      <c r="B1668" s="9" t="str">
        <f>IFERROR(__xludf.DUMMYFUNCTION("""COMPUTED_VALUE"""),"France")</f>
        <v>France</v>
      </c>
      <c r="C1668" s="9" t="str">
        <f>IFERROR(__xludf.DUMMYFUNCTION("""COMPUTED_VALUE"""),"champagne")</f>
        <v>champagne</v>
      </c>
      <c r="D1668" s="9" t="str">
        <f>IFERROR(__xludf.DUMMYFUNCTION("""COMPUTED_VALUE"""),"Dom Perignon")</f>
        <v>Dom Perignon</v>
      </c>
      <c r="E1668" s="9">
        <f>IFERROR(__xludf.DUMMYFUNCTION("""COMPUTED_VALUE"""),2002.0)</f>
        <v>2002</v>
      </c>
      <c r="F1668" s="9">
        <f>IFERROR(__xludf.DUMMYFUNCTION("""COMPUTED_VALUE"""),750.0)</f>
        <v>750</v>
      </c>
      <c r="G1668" s="9">
        <f>IFERROR(__xludf.DUMMYFUNCTION("""COMPUTED_VALUE"""),6.0)</f>
        <v>6</v>
      </c>
      <c r="H1668" s="10">
        <f>IFERROR(__xludf.DUMMYFUNCTION("""COMPUTED_VALUE"""),2.0)</f>
        <v>2</v>
      </c>
      <c r="I1668" s="11">
        <f>IFERROR(__xludf.DUMMYFUNCTION("""COMPUTED_VALUE"""),1131.0)</f>
        <v>1131</v>
      </c>
      <c r="J1668" s="9" t="str">
        <f>IFERROR(__xludf.DUMMYFUNCTION("""COMPUTED_VALUE"""),"UK")</f>
        <v>UK</v>
      </c>
      <c r="K1668" s="8"/>
      <c r="L1668" s="12"/>
      <c r="M1668" s="13"/>
      <c r="N1668" s="13" t="str">
        <f>IFERROR(__xludf.DUMMYFUNCTION("IF(ISBLANK(M1668),"""",M1668*GOOGLEFINANCE(""USDGBP""))"),"")</f>
        <v/>
      </c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  <c r="GA1668" s="8"/>
      <c r="GB1668" s="8"/>
      <c r="GC1668" s="8"/>
      <c r="GD1668" s="8"/>
      <c r="GE1668" s="8"/>
      <c r="GF1668" s="8"/>
      <c r="GG1668" s="8"/>
      <c r="GH1668" s="8"/>
      <c r="GI1668" s="8"/>
      <c r="GJ1668" s="8"/>
      <c r="GK1668" s="8"/>
      <c r="GL1668" s="8"/>
      <c r="GM1668" s="8"/>
      <c r="GN1668" s="8"/>
      <c r="GO1668" s="8"/>
      <c r="GP1668" s="8"/>
      <c r="GQ1668" s="8"/>
      <c r="GR1668" s="8"/>
      <c r="GS1668" s="8"/>
      <c r="GT1668" s="8"/>
      <c r="GU1668" s="8"/>
      <c r="GV1668" s="8"/>
      <c r="GW1668" s="8"/>
      <c r="GX1668" s="8"/>
    </row>
    <row r="1669">
      <c r="A1669" s="8" t="str">
        <f>IFERROR(__xludf.DUMMYFUNCTION("""COMPUTED_VALUE"""),"108265620090600750")</f>
        <v>108265620090600750</v>
      </c>
      <c r="B1669" s="9" t="str">
        <f>IFERROR(__xludf.DUMMYFUNCTION("""COMPUTED_VALUE"""),"France")</f>
        <v>France</v>
      </c>
      <c r="C1669" s="9" t="str">
        <f>IFERROR(__xludf.DUMMYFUNCTION("""COMPUTED_VALUE"""),"champagne")</f>
        <v>champagne</v>
      </c>
      <c r="D1669" s="9" t="str">
        <f>IFERROR(__xludf.DUMMYFUNCTION("""COMPUTED_VALUE"""),"Dom Perignon")</f>
        <v>Dom Perignon</v>
      </c>
      <c r="E1669" s="9">
        <f>IFERROR(__xludf.DUMMYFUNCTION("""COMPUTED_VALUE"""),2009.0)</f>
        <v>2009</v>
      </c>
      <c r="F1669" s="9">
        <f>IFERROR(__xludf.DUMMYFUNCTION("""COMPUTED_VALUE"""),750.0)</f>
        <v>750</v>
      </c>
      <c r="G1669" s="9">
        <f>IFERROR(__xludf.DUMMYFUNCTION("""COMPUTED_VALUE"""),6.0)</f>
        <v>6</v>
      </c>
      <c r="H1669" s="10">
        <f>IFERROR(__xludf.DUMMYFUNCTION("""COMPUTED_VALUE"""),1.0)</f>
        <v>1</v>
      </c>
      <c r="I1669" s="11">
        <f>IFERROR(__xludf.DUMMYFUNCTION("""COMPUTED_VALUE"""),984.0)</f>
        <v>984</v>
      </c>
      <c r="J1669" s="9" t="str">
        <f>IFERROR(__xludf.DUMMYFUNCTION("""COMPUTED_VALUE"""),"UK")</f>
        <v>UK</v>
      </c>
      <c r="K1669" s="8"/>
      <c r="L1669" s="12"/>
      <c r="M1669" s="13"/>
      <c r="N1669" s="13" t="str">
        <f>IFERROR(__xludf.DUMMYFUNCTION("IF(ISBLANK(M1669),"""",M1669*GOOGLEFINANCE(""USDGBP""))"),"")</f>
        <v/>
      </c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8"/>
      <c r="FV1669" s="8"/>
      <c r="FW1669" s="8"/>
      <c r="FX1669" s="8"/>
      <c r="FY1669" s="8"/>
      <c r="FZ1669" s="8"/>
      <c r="GA1669" s="8"/>
      <c r="GB1669" s="8"/>
      <c r="GC1669" s="8"/>
      <c r="GD1669" s="8"/>
      <c r="GE1669" s="8"/>
      <c r="GF1669" s="8"/>
      <c r="GG1669" s="8"/>
      <c r="GH1669" s="8"/>
      <c r="GI1669" s="8"/>
      <c r="GJ1669" s="8"/>
      <c r="GK1669" s="8"/>
      <c r="GL1669" s="8"/>
      <c r="GM1669" s="8"/>
      <c r="GN1669" s="8"/>
      <c r="GO1669" s="8"/>
      <c r="GP1669" s="8"/>
      <c r="GQ1669" s="8"/>
      <c r="GR1669" s="8"/>
      <c r="GS1669" s="8"/>
      <c r="GT1669" s="8"/>
      <c r="GU1669" s="8"/>
      <c r="GV1669" s="8"/>
      <c r="GW1669" s="8"/>
      <c r="GX1669" s="8"/>
    </row>
    <row r="1670">
      <c r="A1670" s="8" t="str">
        <f>IFERROR(__xludf.DUMMYFUNCTION("""COMPUTED_VALUE"""),"108265620100600750")</f>
        <v>108265620100600750</v>
      </c>
      <c r="B1670" s="9" t="str">
        <f>IFERROR(__xludf.DUMMYFUNCTION("""COMPUTED_VALUE"""),"France")</f>
        <v>France</v>
      </c>
      <c r="C1670" s="9" t="str">
        <f>IFERROR(__xludf.DUMMYFUNCTION("""COMPUTED_VALUE"""),"champagne")</f>
        <v>champagne</v>
      </c>
      <c r="D1670" s="9" t="str">
        <f>IFERROR(__xludf.DUMMYFUNCTION("""COMPUTED_VALUE"""),"Dom Perignon")</f>
        <v>Dom Perignon</v>
      </c>
      <c r="E1670" s="9">
        <f>IFERROR(__xludf.DUMMYFUNCTION("""COMPUTED_VALUE"""),2010.0)</f>
        <v>2010</v>
      </c>
      <c r="F1670" s="9">
        <f>IFERROR(__xludf.DUMMYFUNCTION("""COMPUTED_VALUE"""),750.0)</f>
        <v>750</v>
      </c>
      <c r="G1670" s="9">
        <f>IFERROR(__xludf.DUMMYFUNCTION("""COMPUTED_VALUE"""),6.0)</f>
        <v>6</v>
      </c>
      <c r="H1670" s="10">
        <f>IFERROR(__xludf.DUMMYFUNCTION("""COMPUTED_VALUE"""),13.0)</f>
        <v>13</v>
      </c>
      <c r="I1670" s="11">
        <f>IFERROR(__xludf.DUMMYFUNCTION("""COMPUTED_VALUE"""),966.0)</f>
        <v>966</v>
      </c>
      <c r="J1670" s="9" t="str">
        <f>IFERROR(__xludf.DUMMYFUNCTION("""COMPUTED_VALUE"""),"UK")</f>
        <v>UK</v>
      </c>
      <c r="K1670" s="8"/>
      <c r="L1670" s="12"/>
      <c r="M1670" s="13"/>
      <c r="N1670" s="13" t="str">
        <f>IFERROR(__xludf.DUMMYFUNCTION("IF(ISBLANK(M1670),"""",M1670*GOOGLEFINANCE(""USDGBP""))"),"")</f>
        <v/>
      </c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8"/>
      <c r="FV1670" s="8"/>
      <c r="FW1670" s="8"/>
      <c r="FX1670" s="8"/>
      <c r="FY1670" s="8"/>
      <c r="FZ1670" s="8"/>
      <c r="GA1670" s="8"/>
      <c r="GB1670" s="8"/>
      <c r="GC1670" s="8"/>
      <c r="GD1670" s="8"/>
      <c r="GE1670" s="8"/>
      <c r="GF1670" s="8"/>
      <c r="GG1670" s="8"/>
      <c r="GH1670" s="8"/>
      <c r="GI1670" s="8"/>
      <c r="GJ1670" s="8"/>
      <c r="GK1670" s="8"/>
      <c r="GL1670" s="8"/>
      <c r="GM1670" s="8"/>
      <c r="GN1670" s="8"/>
      <c r="GO1670" s="8"/>
      <c r="GP1670" s="8"/>
      <c r="GQ1670" s="8"/>
      <c r="GR1670" s="8"/>
      <c r="GS1670" s="8"/>
      <c r="GT1670" s="8"/>
      <c r="GU1670" s="8"/>
      <c r="GV1670" s="8"/>
      <c r="GW1670" s="8"/>
      <c r="GX1670" s="8"/>
    </row>
    <row r="1671">
      <c r="A1671" s="8" t="str">
        <f>IFERROR(__xludf.DUMMYFUNCTION("""COMPUTED_VALUE"""),"108265620100301500")</f>
        <v>108265620100301500</v>
      </c>
      <c r="B1671" s="9" t="str">
        <f>IFERROR(__xludf.DUMMYFUNCTION("""COMPUTED_VALUE"""),"France")</f>
        <v>France</v>
      </c>
      <c r="C1671" s="9" t="str">
        <f>IFERROR(__xludf.DUMMYFUNCTION("""COMPUTED_VALUE"""),"champagne")</f>
        <v>champagne</v>
      </c>
      <c r="D1671" s="9" t="str">
        <f>IFERROR(__xludf.DUMMYFUNCTION("""COMPUTED_VALUE"""),"Dom Perignon")</f>
        <v>Dom Perignon</v>
      </c>
      <c r="E1671" s="9">
        <f>IFERROR(__xludf.DUMMYFUNCTION("""COMPUTED_VALUE"""),2010.0)</f>
        <v>2010</v>
      </c>
      <c r="F1671" s="9">
        <f>IFERROR(__xludf.DUMMYFUNCTION("""COMPUTED_VALUE"""),1500.0)</f>
        <v>1500</v>
      </c>
      <c r="G1671" s="9">
        <f>IFERROR(__xludf.DUMMYFUNCTION("""COMPUTED_VALUE"""),3.0)</f>
        <v>3</v>
      </c>
      <c r="H1671" s="10">
        <f>IFERROR(__xludf.DUMMYFUNCTION("""COMPUTED_VALUE"""),1.0)</f>
        <v>1</v>
      </c>
      <c r="I1671" s="11">
        <f>IFERROR(__xludf.DUMMYFUNCTION("""COMPUTED_VALUE"""),1164.0)</f>
        <v>1164</v>
      </c>
      <c r="J1671" s="9" t="str">
        <f>IFERROR(__xludf.DUMMYFUNCTION("""COMPUTED_VALUE"""),"UK")</f>
        <v>UK</v>
      </c>
      <c r="K1671" s="8"/>
      <c r="L1671" s="12"/>
      <c r="M1671" s="13"/>
      <c r="N1671" s="13" t="str">
        <f>IFERROR(__xludf.DUMMYFUNCTION("IF(ISBLANK(M1671),"""",M1671*GOOGLEFINANCE(""USDGBP""))"),"")</f>
        <v/>
      </c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8"/>
      <c r="FV1671" s="8"/>
      <c r="FW1671" s="8"/>
      <c r="FX1671" s="8"/>
      <c r="FY1671" s="8"/>
      <c r="FZ1671" s="8"/>
      <c r="GA1671" s="8"/>
      <c r="GB1671" s="8"/>
      <c r="GC1671" s="8"/>
      <c r="GD1671" s="8"/>
      <c r="GE1671" s="8"/>
      <c r="GF1671" s="8"/>
      <c r="GG1671" s="8"/>
      <c r="GH1671" s="8"/>
      <c r="GI1671" s="8"/>
      <c r="GJ1671" s="8"/>
      <c r="GK1671" s="8"/>
      <c r="GL1671" s="8"/>
      <c r="GM1671" s="8"/>
      <c r="GN1671" s="8"/>
      <c r="GO1671" s="8"/>
      <c r="GP1671" s="8"/>
      <c r="GQ1671" s="8"/>
      <c r="GR1671" s="8"/>
      <c r="GS1671" s="8"/>
      <c r="GT1671" s="8"/>
      <c r="GU1671" s="8"/>
      <c r="GV1671" s="8"/>
      <c r="GW1671" s="8"/>
      <c r="GX1671" s="8"/>
    </row>
    <row r="1672">
      <c r="A1672" s="8" t="str">
        <f>IFERROR(__xludf.DUMMYFUNCTION("""COMPUTED_VALUE"""),"108265620130600750")</f>
        <v>108265620130600750</v>
      </c>
      <c r="B1672" s="9" t="str">
        <f>IFERROR(__xludf.DUMMYFUNCTION("""COMPUTED_VALUE"""),"France")</f>
        <v>France</v>
      </c>
      <c r="C1672" s="9" t="str">
        <f>IFERROR(__xludf.DUMMYFUNCTION("""COMPUTED_VALUE"""),"champagne")</f>
        <v>champagne</v>
      </c>
      <c r="D1672" s="9" t="str">
        <f>IFERROR(__xludf.DUMMYFUNCTION("""COMPUTED_VALUE"""),"Dom Perignon")</f>
        <v>Dom Perignon</v>
      </c>
      <c r="E1672" s="9">
        <f>IFERROR(__xludf.DUMMYFUNCTION("""COMPUTED_VALUE"""),2013.0)</f>
        <v>2013</v>
      </c>
      <c r="F1672" s="9">
        <f>IFERROR(__xludf.DUMMYFUNCTION("""COMPUTED_VALUE"""),750.0)</f>
        <v>750</v>
      </c>
      <c r="G1672" s="9">
        <f>IFERROR(__xludf.DUMMYFUNCTION("""COMPUTED_VALUE"""),6.0)</f>
        <v>6</v>
      </c>
      <c r="H1672" s="10">
        <f>IFERROR(__xludf.DUMMYFUNCTION("""COMPUTED_VALUE"""),2.0)</f>
        <v>2</v>
      </c>
      <c r="I1672" s="11">
        <f>IFERROR(__xludf.DUMMYFUNCTION("""COMPUTED_VALUE"""),873.0)</f>
        <v>873</v>
      </c>
      <c r="J1672" s="9" t="str">
        <f>IFERROR(__xludf.DUMMYFUNCTION("""COMPUTED_VALUE"""),"UK")</f>
        <v>UK</v>
      </c>
      <c r="K1672" s="8"/>
      <c r="L1672" s="12"/>
      <c r="M1672" s="13"/>
      <c r="N1672" s="13" t="str">
        <f>IFERROR(__xludf.DUMMYFUNCTION("IF(ISBLANK(M1672),"""",M1672*GOOGLEFINANCE(""USDGBP""))"),"")</f>
        <v/>
      </c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8"/>
      <c r="FJ1672" s="8"/>
      <c r="FK1672" s="8"/>
      <c r="FL1672" s="8"/>
      <c r="FM1672" s="8"/>
      <c r="FN1672" s="8"/>
      <c r="FO1672" s="8"/>
      <c r="FP1672" s="8"/>
      <c r="FQ1672" s="8"/>
      <c r="FR1672" s="8"/>
      <c r="FS1672" s="8"/>
      <c r="FT1672" s="8"/>
      <c r="FU1672" s="8"/>
      <c r="FV1672" s="8"/>
      <c r="FW1672" s="8"/>
      <c r="FX1672" s="8"/>
      <c r="FY1672" s="8"/>
      <c r="FZ1672" s="8"/>
      <c r="GA1672" s="8"/>
      <c r="GB1672" s="8"/>
      <c r="GC1672" s="8"/>
      <c r="GD1672" s="8"/>
      <c r="GE1672" s="8"/>
      <c r="GF1672" s="8"/>
      <c r="GG1672" s="8"/>
      <c r="GH1672" s="8"/>
      <c r="GI1672" s="8"/>
      <c r="GJ1672" s="8"/>
      <c r="GK1672" s="8"/>
      <c r="GL1672" s="8"/>
      <c r="GM1672" s="8"/>
      <c r="GN1672" s="8"/>
      <c r="GO1672" s="8"/>
      <c r="GP1672" s="8"/>
      <c r="GQ1672" s="8"/>
      <c r="GR1672" s="8"/>
      <c r="GS1672" s="8"/>
      <c r="GT1672" s="8"/>
      <c r="GU1672" s="8"/>
      <c r="GV1672" s="8"/>
      <c r="GW1672" s="8"/>
      <c r="GX1672" s="8"/>
    </row>
    <row r="1673">
      <c r="A1673" s="8" t="str">
        <f>IFERROR(__xludf.DUMMYFUNCTION("""COMPUTED_VALUE"""),"174060820080600750")</f>
        <v>174060820080600750</v>
      </c>
      <c r="B1673" s="9" t="str">
        <f>IFERROR(__xludf.DUMMYFUNCTION("""COMPUTED_VALUE"""),"France")</f>
        <v>France</v>
      </c>
      <c r="C1673" s="9" t="str">
        <f>IFERROR(__xludf.DUMMYFUNCTION("""COMPUTED_VALUE"""),"champagne")</f>
        <v>champagne</v>
      </c>
      <c r="D1673" s="9" t="str">
        <f>IFERROR(__xludf.DUMMYFUNCTION("""COMPUTED_VALUE"""),"Dom Perignon, Chef de Cave Legacy Edition")</f>
        <v>Dom Perignon, Chef de Cave Legacy Edition</v>
      </c>
      <c r="E1673" s="9">
        <f>IFERROR(__xludf.DUMMYFUNCTION("""COMPUTED_VALUE"""),2008.0)</f>
        <v>2008</v>
      </c>
      <c r="F1673" s="9">
        <f>IFERROR(__xludf.DUMMYFUNCTION("""COMPUTED_VALUE"""),750.0)</f>
        <v>750</v>
      </c>
      <c r="G1673" s="9">
        <f>IFERROR(__xludf.DUMMYFUNCTION("""COMPUTED_VALUE"""),6.0)</f>
        <v>6</v>
      </c>
      <c r="H1673" s="10">
        <f>IFERROR(__xludf.DUMMYFUNCTION("""COMPUTED_VALUE"""),1.0)</f>
        <v>1</v>
      </c>
      <c r="I1673" s="11">
        <f>IFERROR(__xludf.DUMMYFUNCTION("""COMPUTED_VALUE"""),1258.0)</f>
        <v>1258</v>
      </c>
      <c r="J1673" s="9" t="str">
        <f>IFERROR(__xludf.DUMMYFUNCTION("""COMPUTED_VALUE"""),"UK")</f>
        <v>UK</v>
      </c>
      <c r="K1673" s="8"/>
      <c r="L1673" s="12"/>
      <c r="M1673" s="13"/>
      <c r="N1673" s="13" t="str">
        <f>IFERROR(__xludf.DUMMYFUNCTION("IF(ISBLANK(M1673),"""",M1673*GOOGLEFINANCE(""USDGBP""))"),"")</f>
        <v/>
      </c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  <c r="GA1673" s="8"/>
      <c r="GB1673" s="8"/>
      <c r="GC1673" s="8"/>
      <c r="GD1673" s="8"/>
      <c r="GE1673" s="8"/>
      <c r="GF1673" s="8"/>
      <c r="GG1673" s="8"/>
      <c r="GH1673" s="8"/>
      <c r="GI1673" s="8"/>
      <c r="GJ1673" s="8"/>
      <c r="GK1673" s="8"/>
      <c r="GL1673" s="8"/>
      <c r="GM1673" s="8"/>
      <c r="GN1673" s="8"/>
      <c r="GO1673" s="8"/>
      <c r="GP1673" s="8"/>
      <c r="GQ1673" s="8"/>
      <c r="GR1673" s="8"/>
      <c r="GS1673" s="8"/>
      <c r="GT1673" s="8"/>
      <c r="GU1673" s="8"/>
      <c r="GV1673" s="8"/>
      <c r="GW1673" s="8"/>
      <c r="GX1673" s="8"/>
    </row>
    <row r="1674">
      <c r="A1674" s="8" t="str">
        <f>IFERROR(__xludf.DUMMYFUNCTION("""COMPUTED_VALUE"""),"119841220080300750")</f>
        <v>119841220080300750</v>
      </c>
      <c r="B1674" s="9" t="str">
        <f>IFERROR(__xludf.DUMMYFUNCTION("""COMPUTED_VALUE"""),"France")</f>
        <v>France</v>
      </c>
      <c r="C1674" s="9" t="str">
        <f>IFERROR(__xludf.DUMMYFUNCTION("""COMPUTED_VALUE"""),"champagne")</f>
        <v>champagne</v>
      </c>
      <c r="D1674" s="9" t="str">
        <f>IFERROR(__xludf.DUMMYFUNCTION("""COMPUTED_VALUE"""),"Dom Perignon, Luminous")</f>
        <v>Dom Perignon, Luminous</v>
      </c>
      <c r="E1674" s="9">
        <f>IFERROR(__xludf.DUMMYFUNCTION("""COMPUTED_VALUE"""),2008.0)</f>
        <v>2008</v>
      </c>
      <c r="F1674" s="9">
        <f>IFERROR(__xludf.DUMMYFUNCTION("""COMPUTED_VALUE"""),750.0)</f>
        <v>750</v>
      </c>
      <c r="G1674" s="9">
        <f>IFERROR(__xludf.DUMMYFUNCTION("""COMPUTED_VALUE"""),3.0)</f>
        <v>3</v>
      </c>
      <c r="H1674" s="10">
        <f>IFERROR(__xludf.DUMMYFUNCTION("""COMPUTED_VALUE"""),84.0)</f>
        <v>84</v>
      </c>
      <c r="I1674" s="11">
        <f>IFERROR(__xludf.DUMMYFUNCTION("""COMPUTED_VALUE"""),831.0)</f>
        <v>831</v>
      </c>
      <c r="J1674" s="9" t="str">
        <f>IFERROR(__xludf.DUMMYFUNCTION("""COMPUTED_VALUE"""),"UK")</f>
        <v>UK</v>
      </c>
      <c r="K1674" s="8"/>
      <c r="L1674" s="12"/>
      <c r="M1674" s="13"/>
      <c r="N1674" s="13" t="str">
        <f>IFERROR(__xludf.DUMMYFUNCTION("IF(ISBLANK(M1674),"""",M1674*GOOGLEFINANCE(""USDGBP""))"),"")</f>
        <v/>
      </c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  <c r="GA1674" s="8"/>
      <c r="GB1674" s="8"/>
      <c r="GC1674" s="8"/>
      <c r="GD1674" s="8"/>
      <c r="GE1674" s="8"/>
      <c r="GF1674" s="8"/>
      <c r="GG1674" s="8"/>
      <c r="GH1674" s="8"/>
      <c r="GI1674" s="8"/>
      <c r="GJ1674" s="8"/>
      <c r="GK1674" s="8"/>
      <c r="GL1674" s="8"/>
      <c r="GM1674" s="8"/>
      <c r="GN1674" s="8"/>
      <c r="GO1674" s="8"/>
      <c r="GP1674" s="8"/>
      <c r="GQ1674" s="8"/>
      <c r="GR1674" s="8"/>
      <c r="GS1674" s="8"/>
      <c r="GT1674" s="8"/>
      <c r="GU1674" s="8"/>
      <c r="GV1674" s="8"/>
      <c r="GW1674" s="8"/>
      <c r="GX1674" s="8"/>
    </row>
    <row r="1675">
      <c r="A1675" s="8" t="str">
        <f>IFERROR(__xludf.DUMMYFUNCTION("""COMPUTED_VALUE"""),"119841220080301500")</f>
        <v>119841220080301500</v>
      </c>
      <c r="B1675" s="9" t="str">
        <f>IFERROR(__xludf.DUMMYFUNCTION("""COMPUTED_VALUE"""),"France")</f>
        <v>France</v>
      </c>
      <c r="C1675" s="9" t="str">
        <f>IFERROR(__xludf.DUMMYFUNCTION("""COMPUTED_VALUE"""),"champagne")</f>
        <v>champagne</v>
      </c>
      <c r="D1675" s="9" t="str">
        <f>IFERROR(__xludf.DUMMYFUNCTION("""COMPUTED_VALUE"""),"Dom Perignon, Luminous")</f>
        <v>Dom Perignon, Luminous</v>
      </c>
      <c r="E1675" s="9">
        <f>IFERROR(__xludf.DUMMYFUNCTION("""COMPUTED_VALUE"""),2008.0)</f>
        <v>2008</v>
      </c>
      <c r="F1675" s="9">
        <f>IFERROR(__xludf.DUMMYFUNCTION("""COMPUTED_VALUE"""),1500.0)</f>
        <v>1500</v>
      </c>
      <c r="G1675" s="9">
        <f>IFERROR(__xludf.DUMMYFUNCTION("""COMPUTED_VALUE"""),3.0)</f>
        <v>3</v>
      </c>
      <c r="H1675" s="10">
        <f>IFERROR(__xludf.DUMMYFUNCTION("""COMPUTED_VALUE"""),11.0)</f>
        <v>11</v>
      </c>
      <c r="I1675" s="11">
        <f>IFERROR(__xludf.DUMMYFUNCTION("""COMPUTED_VALUE"""),1975.0)</f>
        <v>1975</v>
      </c>
      <c r="J1675" s="9" t="str">
        <f>IFERROR(__xludf.DUMMYFUNCTION("""COMPUTED_VALUE"""),"UK")</f>
        <v>UK</v>
      </c>
      <c r="K1675" s="8"/>
      <c r="L1675" s="12"/>
      <c r="M1675" s="13"/>
      <c r="N1675" s="13" t="str">
        <f>IFERROR(__xludf.DUMMYFUNCTION("IF(ISBLANK(M1675),"""",M1675*GOOGLEFINANCE(""USDGBP""))"),"")</f>
        <v/>
      </c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</row>
    <row r="1676">
      <c r="A1676" s="8" t="str">
        <f>IFERROR(__xludf.DUMMYFUNCTION("""COMPUTED_VALUE"""),"119841220100300750")</f>
        <v>119841220100300750</v>
      </c>
      <c r="B1676" s="9" t="str">
        <f>IFERROR(__xludf.DUMMYFUNCTION("""COMPUTED_VALUE"""),"France")</f>
        <v>France</v>
      </c>
      <c r="C1676" s="9" t="str">
        <f>IFERROR(__xludf.DUMMYFUNCTION("""COMPUTED_VALUE"""),"champagne")</f>
        <v>champagne</v>
      </c>
      <c r="D1676" s="9" t="str">
        <f>IFERROR(__xludf.DUMMYFUNCTION("""COMPUTED_VALUE"""),"Dom Perignon, Luminous")</f>
        <v>Dom Perignon, Luminous</v>
      </c>
      <c r="E1676" s="9">
        <f>IFERROR(__xludf.DUMMYFUNCTION("""COMPUTED_VALUE"""),2010.0)</f>
        <v>2010</v>
      </c>
      <c r="F1676" s="9">
        <f>IFERROR(__xludf.DUMMYFUNCTION("""COMPUTED_VALUE"""),750.0)</f>
        <v>750</v>
      </c>
      <c r="G1676" s="9">
        <f>IFERROR(__xludf.DUMMYFUNCTION("""COMPUTED_VALUE"""),3.0)</f>
        <v>3</v>
      </c>
      <c r="H1676" s="10">
        <f>IFERROR(__xludf.DUMMYFUNCTION("""COMPUTED_VALUE"""),74.0)</f>
        <v>74</v>
      </c>
      <c r="I1676" s="11">
        <f>IFERROR(__xludf.DUMMYFUNCTION("""COMPUTED_VALUE"""),757.0)</f>
        <v>757</v>
      </c>
      <c r="J1676" s="9" t="str">
        <f>IFERROR(__xludf.DUMMYFUNCTION("""COMPUTED_VALUE"""),"UK")</f>
        <v>UK</v>
      </c>
      <c r="K1676" s="8"/>
      <c r="L1676" s="12"/>
      <c r="M1676" s="13"/>
      <c r="N1676" s="13" t="str">
        <f>IFERROR(__xludf.DUMMYFUNCTION("IF(ISBLANK(M1676),"""",M1676*GOOGLEFINANCE(""USDGBP""))"),"")</f>
        <v/>
      </c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8"/>
      <c r="FV1676" s="8"/>
      <c r="FW1676" s="8"/>
      <c r="FX1676" s="8"/>
      <c r="FY1676" s="8"/>
      <c r="FZ1676" s="8"/>
      <c r="GA1676" s="8"/>
      <c r="GB1676" s="8"/>
      <c r="GC1676" s="8"/>
      <c r="GD1676" s="8"/>
      <c r="GE1676" s="8"/>
      <c r="GF1676" s="8"/>
      <c r="GG1676" s="8"/>
      <c r="GH1676" s="8"/>
      <c r="GI1676" s="8"/>
      <c r="GJ1676" s="8"/>
      <c r="GK1676" s="8"/>
      <c r="GL1676" s="8"/>
      <c r="GM1676" s="8"/>
      <c r="GN1676" s="8"/>
      <c r="GO1676" s="8"/>
      <c r="GP1676" s="8"/>
      <c r="GQ1676" s="8"/>
      <c r="GR1676" s="8"/>
      <c r="GS1676" s="8"/>
      <c r="GT1676" s="8"/>
      <c r="GU1676" s="8"/>
      <c r="GV1676" s="8"/>
      <c r="GW1676" s="8"/>
      <c r="GX1676" s="8"/>
    </row>
    <row r="1677">
      <c r="A1677" s="8" t="str">
        <f>IFERROR(__xludf.DUMMYFUNCTION("""COMPUTED_VALUE"""),"127735920000600750")</f>
        <v>127735920000600750</v>
      </c>
      <c r="B1677" s="9" t="str">
        <f>IFERROR(__xludf.DUMMYFUNCTION("""COMPUTED_VALUE"""),"France")</f>
        <v>France</v>
      </c>
      <c r="C1677" s="9" t="str">
        <f>IFERROR(__xludf.DUMMYFUNCTION("""COMPUTED_VALUE"""),"champagne")</f>
        <v>champagne</v>
      </c>
      <c r="D1677" s="9" t="str">
        <f>IFERROR(__xludf.DUMMYFUNCTION("""COMPUTED_VALUE"""),"Dom Perignon, P2")</f>
        <v>Dom Perignon, P2</v>
      </c>
      <c r="E1677" s="9">
        <f>IFERROR(__xludf.DUMMYFUNCTION("""COMPUTED_VALUE"""),2000.0)</f>
        <v>2000</v>
      </c>
      <c r="F1677" s="9">
        <f>IFERROR(__xludf.DUMMYFUNCTION("""COMPUTED_VALUE"""),750.0)</f>
        <v>750</v>
      </c>
      <c r="G1677" s="9">
        <f>IFERROR(__xludf.DUMMYFUNCTION("""COMPUTED_VALUE"""),6.0)</f>
        <v>6</v>
      </c>
      <c r="H1677" s="10">
        <f>IFERROR(__xludf.DUMMYFUNCTION("""COMPUTED_VALUE"""),2.0)</f>
        <v>2</v>
      </c>
      <c r="I1677" s="11">
        <f>IFERROR(__xludf.DUMMYFUNCTION("""COMPUTED_VALUE"""),2069.0)</f>
        <v>2069</v>
      </c>
      <c r="J1677" s="9" t="str">
        <f>IFERROR(__xludf.DUMMYFUNCTION("""COMPUTED_VALUE"""),"UK")</f>
        <v>UK</v>
      </c>
      <c r="K1677" s="8"/>
      <c r="L1677" s="12"/>
      <c r="M1677" s="13"/>
      <c r="N1677" s="13" t="str">
        <f>IFERROR(__xludf.DUMMYFUNCTION("IF(ISBLANK(M1677),"""",M1677*GOOGLEFINANCE(""USDGBP""))"),"")</f>
        <v/>
      </c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8"/>
      <c r="FJ1677" s="8"/>
      <c r="FK1677" s="8"/>
      <c r="FL1677" s="8"/>
      <c r="FM1677" s="8"/>
      <c r="FN1677" s="8"/>
      <c r="FO1677" s="8"/>
      <c r="FP1677" s="8"/>
      <c r="FQ1677" s="8"/>
      <c r="FR1677" s="8"/>
      <c r="FS1677" s="8"/>
      <c r="FT1677" s="8"/>
      <c r="FU1677" s="8"/>
      <c r="FV1677" s="8"/>
      <c r="FW1677" s="8"/>
      <c r="FX1677" s="8"/>
      <c r="FY1677" s="8"/>
      <c r="FZ1677" s="8"/>
      <c r="GA1677" s="8"/>
      <c r="GB1677" s="8"/>
      <c r="GC1677" s="8"/>
      <c r="GD1677" s="8"/>
      <c r="GE1677" s="8"/>
      <c r="GF1677" s="8"/>
      <c r="GG1677" s="8"/>
      <c r="GH1677" s="8"/>
      <c r="GI1677" s="8"/>
      <c r="GJ1677" s="8"/>
      <c r="GK1677" s="8"/>
      <c r="GL1677" s="8"/>
      <c r="GM1677" s="8"/>
      <c r="GN1677" s="8"/>
      <c r="GO1677" s="8"/>
      <c r="GP1677" s="8"/>
      <c r="GQ1677" s="8"/>
      <c r="GR1677" s="8"/>
      <c r="GS1677" s="8"/>
      <c r="GT1677" s="8"/>
      <c r="GU1677" s="8"/>
      <c r="GV1677" s="8"/>
      <c r="GW1677" s="8"/>
      <c r="GX1677" s="8"/>
    </row>
    <row r="1678">
      <c r="A1678" s="8" t="str">
        <f>IFERROR(__xludf.DUMMYFUNCTION("""COMPUTED_VALUE"""),"117922020110600750")</f>
        <v>117922020110600750</v>
      </c>
      <c r="B1678" s="9" t="str">
        <f>IFERROR(__xludf.DUMMYFUNCTION("""COMPUTED_VALUE"""),"France")</f>
        <v>France</v>
      </c>
      <c r="C1678" s="9" t="str">
        <f>IFERROR(__xludf.DUMMYFUNCTION("""COMPUTED_VALUE"""),"champagne")</f>
        <v>champagne</v>
      </c>
      <c r="D1678" s="9" t="str">
        <f>IFERROR(__xludf.DUMMYFUNCTION("""COMPUTED_VALUE"""),"Egly-Ouriet, Brut Millesime Grand Cru")</f>
        <v>Egly-Ouriet, Brut Millesime Grand Cru</v>
      </c>
      <c r="E1678" s="9">
        <f>IFERROR(__xludf.DUMMYFUNCTION("""COMPUTED_VALUE"""),2011.0)</f>
        <v>2011</v>
      </c>
      <c r="F1678" s="9">
        <f>IFERROR(__xludf.DUMMYFUNCTION("""COMPUTED_VALUE"""),750.0)</f>
        <v>750</v>
      </c>
      <c r="G1678" s="9">
        <f>IFERROR(__xludf.DUMMYFUNCTION("""COMPUTED_VALUE"""),6.0)</f>
        <v>6</v>
      </c>
      <c r="H1678" s="10">
        <f>IFERROR(__xludf.DUMMYFUNCTION("""COMPUTED_VALUE"""),1.0)</f>
        <v>1</v>
      </c>
      <c r="I1678" s="11">
        <f>IFERROR(__xludf.DUMMYFUNCTION("""COMPUTED_VALUE"""),1457.0)</f>
        <v>1457</v>
      </c>
      <c r="J1678" s="9" t="str">
        <f>IFERROR(__xludf.DUMMYFUNCTION("""COMPUTED_VALUE"""),"UK")</f>
        <v>UK</v>
      </c>
      <c r="K1678" s="8"/>
      <c r="L1678" s="12"/>
      <c r="M1678" s="13"/>
      <c r="N1678" s="13" t="str">
        <f>IFERROR(__xludf.DUMMYFUNCTION("IF(ISBLANK(M1678),"""",M1678*GOOGLEFINANCE(""USDGBP""))"),"")</f>
        <v/>
      </c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8"/>
      <c r="FV1678" s="8"/>
      <c r="FW1678" s="8"/>
      <c r="FX1678" s="8"/>
      <c r="FY1678" s="8"/>
      <c r="FZ1678" s="8"/>
      <c r="GA1678" s="8"/>
      <c r="GB1678" s="8"/>
      <c r="GC1678" s="8"/>
      <c r="GD1678" s="8"/>
      <c r="GE1678" s="8"/>
      <c r="GF1678" s="8"/>
      <c r="GG1678" s="8"/>
      <c r="GH1678" s="8"/>
      <c r="GI1678" s="8"/>
      <c r="GJ1678" s="8"/>
      <c r="GK1678" s="8"/>
      <c r="GL1678" s="8"/>
      <c r="GM1678" s="8"/>
      <c r="GN1678" s="8"/>
      <c r="GO1678" s="8"/>
      <c r="GP1678" s="8"/>
      <c r="GQ1678" s="8"/>
      <c r="GR1678" s="8"/>
      <c r="GS1678" s="8"/>
      <c r="GT1678" s="8"/>
      <c r="GU1678" s="8"/>
      <c r="GV1678" s="8"/>
      <c r="GW1678" s="8"/>
      <c r="GX1678" s="8"/>
    </row>
    <row r="1679">
      <c r="A1679" s="8" t="str">
        <f>IFERROR(__xludf.DUMMYFUNCTION("""COMPUTED_VALUE"""),"125642420070600750")</f>
        <v>125642420070600750</v>
      </c>
      <c r="B1679" s="9" t="str">
        <f>IFERROR(__xludf.DUMMYFUNCTION("""COMPUTED_VALUE"""),"France")</f>
        <v>France</v>
      </c>
      <c r="C1679" s="9" t="str">
        <f>IFERROR(__xludf.DUMMYFUNCTION("""COMPUTED_VALUE"""),"champagne")</f>
        <v>champagne</v>
      </c>
      <c r="D1679" s="9" t="str">
        <f>IFERROR(__xludf.DUMMYFUNCTION("""COMPUTED_VALUE"""),"Gosset, Celebris Vintage")</f>
        <v>Gosset, Celebris Vintage</v>
      </c>
      <c r="E1679" s="9">
        <f>IFERROR(__xludf.DUMMYFUNCTION("""COMPUTED_VALUE"""),2007.0)</f>
        <v>2007</v>
      </c>
      <c r="F1679" s="9">
        <f>IFERROR(__xludf.DUMMYFUNCTION("""COMPUTED_VALUE"""),750.0)</f>
        <v>750</v>
      </c>
      <c r="G1679" s="9">
        <f>IFERROR(__xludf.DUMMYFUNCTION("""COMPUTED_VALUE"""),6.0)</f>
        <v>6</v>
      </c>
      <c r="H1679" s="10">
        <f>IFERROR(__xludf.DUMMYFUNCTION("""COMPUTED_VALUE"""),2.0)</f>
        <v>2</v>
      </c>
      <c r="I1679" s="11">
        <f>IFERROR(__xludf.DUMMYFUNCTION("""COMPUTED_VALUE"""),565.0)</f>
        <v>565</v>
      </c>
      <c r="J1679" s="9" t="str">
        <f>IFERROR(__xludf.DUMMYFUNCTION("""COMPUTED_VALUE"""),"UK")</f>
        <v>UK</v>
      </c>
      <c r="K1679" s="8"/>
      <c r="L1679" s="12"/>
      <c r="M1679" s="13"/>
      <c r="N1679" s="13" t="str">
        <f>IFERROR(__xludf.DUMMYFUNCTION("IF(ISBLANK(M1679),"""",M1679*GOOGLEFINANCE(""USDGBP""))"),"")</f>
        <v/>
      </c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8"/>
      <c r="FJ1679" s="8"/>
      <c r="FK1679" s="8"/>
      <c r="FL1679" s="8"/>
      <c r="FM1679" s="8"/>
      <c r="FN1679" s="8"/>
      <c r="FO1679" s="8"/>
      <c r="FP1679" s="8"/>
      <c r="FQ1679" s="8"/>
      <c r="FR1679" s="8"/>
      <c r="FS1679" s="8"/>
      <c r="FT1679" s="8"/>
      <c r="FU1679" s="8"/>
      <c r="FV1679" s="8"/>
      <c r="FW1679" s="8"/>
      <c r="FX1679" s="8"/>
      <c r="FY1679" s="8"/>
      <c r="FZ1679" s="8"/>
      <c r="GA1679" s="8"/>
      <c r="GB1679" s="8"/>
      <c r="GC1679" s="8"/>
      <c r="GD1679" s="8"/>
      <c r="GE1679" s="8"/>
      <c r="GF1679" s="8"/>
      <c r="GG1679" s="8"/>
      <c r="GH1679" s="8"/>
      <c r="GI1679" s="8"/>
      <c r="GJ1679" s="8"/>
      <c r="GK1679" s="8"/>
      <c r="GL1679" s="8"/>
      <c r="GM1679" s="8"/>
      <c r="GN1679" s="8"/>
      <c r="GO1679" s="8"/>
      <c r="GP1679" s="8"/>
      <c r="GQ1679" s="8"/>
      <c r="GR1679" s="8"/>
      <c r="GS1679" s="8"/>
      <c r="GT1679" s="8"/>
      <c r="GU1679" s="8"/>
      <c r="GV1679" s="8"/>
      <c r="GW1679" s="8"/>
      <c r="GX1679" s="8"/>
    </row>
    <row r="1680">
      <c r="A1680" s="8" t="str">
        <f>IFERROR(__xludf.DUMMYFUNCTION("""COMPUTED_VALUE"""),"108220720090600750")</f>
        <v>108220720090600750</v>
      </c>
      <c r="B1680" s="9" t="str">
        <f>IFERROR(__xludf.DUMMYFUNCTION("""COMPUTED_VALUE"""),"France")</f>
        <v>France</v>
      </c>
      <c r="C1680" s="9" t="str">
        <f>IFERROR(__xludf.DUMMYFUNCTION("""COMPUTED_VALUE"""),"champagne")</f>
        <v>champagne</v>
      </c>
      <c r="D1680" s="9" t="str">
        <f>IFERROR(__xludf.DUMMYFUNCTION("""COMPUTED_VALUE"""),"Guy Charlemagne, Mesnillesime Grand Cru")</f>
        <v>Guy Charlemagne, Mesnillesime Grand Cru</v>
      </c>
      <c r="E1680" s="9">
        <f>IFERROR(__xludf.DUMMYFUNCTION("""COMPUTED_VALUE"""),2009.0)</f>
        <v>2009</v>
      </c>
      <c r="F1680" s="9">
        <f>IFERROR(__xludf.DUMMYFUNCTION("""COMPUTED_VALUE"""),750.0)</f>
        <v>750</v>
      </c>
      <c r="G1680" s="9">
        <f>IFERROR(__xludf.DUMMYFUNCTION("""COMPUTED_VALUE"""),6.0)</f>
        <v>6</v>
      </c>
      <c r="H1680" s="10">
        <f>IFERROR(__xludf.DUMMYFUNCTION("""COMPUTED_VALUE"""),18.0)</f>
        <v>18</v>
      </c>
      <c r="I1680" s="11">
        <f>IFERROR(__xludf.DUMMYFUNCTION("""COMPUTED_VALUE"""),559.0)</f>
        <v>559</v>
      </c>
      <c r="J1680" s="9" t="str">
        <f>IFERROR(__xludf.DUMMYFUNCTION("""COMPUTED_VALUE"""),"UK")</f>
        <v>UK</v>
      </c>
      <c r="K1680" s="8"/>
      <c r="L1680" s="12"/>
      <c r="M1680" s="13"/>
      <c r="N1680" s="13" t="str">
        <f>IFERROR(__xludf.DUMMYFUNCTION("IF(ISBLANK(M1680),"""",M1680*GOOGLEFINANCE(""USDGBP""))"),"")</f>
        <v/>
      </c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  <c r="GG1680" s="8"/>
      <c r="GH1680" s="8"/>
      <c r="GI1680" s="8"/>
      <c r="GJ1680" s="8"/>
      <c r="GK1680" s="8"/>
      <c r="GL1680" s="8"/>
      <c r="GM1680" s="8"/>
      <c r="GN1680" s="8"/>
      <c r="GO1680" s="8"/>
      <c r="GP1680" s="8"/>
      <c r="GQ1680" s="8"/>
      <c r="GR1680" s="8"/>
      <c r="GS1680" s="8"/>
      <c r="GT1680" s="8"/>
      <c r="GU1680" s="8"/>
      <c r="GV1680" s="8"/>
      <c r="GW1680" s="8"/>
      <c r="GX1680" s="8"/>
    </row>
    <row r="1681">
      <c r="A1681" s="8" t="str">
        <f>IFERROR(__xludf.DUMMYFUNCTION("""COMPUTED_VALUE"""),"117627420140600750")</f>
        <v>117627420140600750</v>
      </c>
      <c r="B1681" s="9" t="str">
        <f>IFERROR(__xludf.DUMMYFUNCTION("""COMPUTED_VALUE"""),"France")</f>
        <v>France</v>
      </c>
      <c r="C1681" s="9" t="str">
        <f>IFERROR(__xludf.DUMMYFUNCTION("""COMPUTED_VALUE"""),"champagne")</f>
        <v>champagne</v>
      </c>
      <c r="D1681" s="9" t="str">
        <f>IFERROR(__xludf.DUMMYFUNCTION("""COMPUTED_VALUE"""),"Henri Giraud, Argonne Grand Cru, Ay")</f>
        <v>Henri Giraud, Argonne Grand Cru, Ay</v>
      </c>
      <c r="E1681" s="9">
        <f>IFERROR(__xludf.DUMMYFUNCTION("""COMPUTED_VALUE"""),2014.0)</f>
        <v>2014</v>
      </c>
      <c r="F1681" s="9">
        <f>IFERROR(__xludf.DUMMYFUNCTION("""COMPUTED_VALUE"""),750.0)</f>
        <v>750</v>
      </c>
      <c r="G1681" s="9">
        <f>IFERROR(__xludf.DUMMYFUNCTION("""COMPUTED_VALUE"""),6.0)</f>
        <v>6</v>
      </c>
      <c r="H1681" s="10">
        <f>IFERROR(__xludf.DUMMYFUNCTION("""COMPUTED_VALUE"""),1.0)</f>
        <v>1</v>
      </c>
      <c r="I1681" s="11">
        <f>IFERROR(__xludf.DUMMYFUNCTION("""COMPUTED_VALUE"""),2054.0)</f>
        <v>2054</v>
      </c>
      <c r="J1681" s="9" t="str">
        <f>IFERROR(__xludf.DUMMYFUNCTION("""COMPUTED_VALUE"""),"UK")</f>
        <v>UK</v>
      </c>
      <c r="K1681" s="8"/>
      <c r="L1681" s="12"/>
      <c r="M1681" s="13"/>
      <c r="N1681" s="13" t="str">
        <f>IFERROR(__xludf.DUMMYFUNCTION("IF(ISBLANK(M1681),"""",M1681*GOOGLEFINANCE(""USDGBP""))"),"")</f>
        <v/>
      </c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8"/>
      <c r="FJ1681" s="8"/>
      <c r="FK1681" s="8"/>
      <c r="FL1681" s="8"/>
      <c r="FM1681" s="8"/>
      <c r="FN1681" s="8"/>
      <c r="FO1681" s="8"/>
      <c r="FP1681" s="8"/>
      <c r="FQ1681" s="8"/>
      <c r="FR1681" s="8"/>
      <c r="FS1681" s="8"/>
      <c r="FT1681" s="8"/>
      <c r="FU1681" s="8"/>
      <c r="FV1681" s="8"/>
      <c r="FW1681" s="8"/>
      <c r="FX1681" s="8"/>
      <c r="FY1681" s="8"/>
      <c r="FZ1681" s="8"/>
      <c r="GA1681" s="8"/>
      <c r="GB1681" s="8"/>
      <c r="GC1681" s="8"/>
      <c r="GD1681" s="8"/>
      <c r="GE1681" s="8"/>
      <c r="GF1681" s="8"/>
      <c r="GG1681" s="8"/>
      <c r="GH1681" s="8"/>
      <c r="GI1681" s="8"/>
      <c r="GJ1681" s="8"/>
      <c r="GK1681" s="8"/>
      <c r="GL1681" s="8"/>
      <c r="GM1681" s="8"/>
      <c r="GN1681" s="8"/>
      <c r="GO1681" s="8"/>
      <c r="GP1681" s="8"/>
      <c r="GQ1681" s="8"/>
      <c r="GR1681" s="8"/>
      <c r="GS1681" s="8"/>
      <c r="GT1681" s="8"/>
      <c r="GU1681" s="8"/>
      <c r="GV1681" s="8"/>
      <c r="GW1681" s="8"/>
      <c r="GX1681" s="8"/>
    </row>
    <row r="1682">
      <c r="A1682" s="8" t="str">
        <f>IFERROR(__xludf.DUMMYFUNCTION("""COMPUTED_VALUE"""),"108227820080600750")</f>
        <v>108227820080600750</v>
      </c>
      <c r="B1682" s="9" t="str">
        <f>IFERROR(__xludf.DUMMYFUNCTION("""COMPUTED_VALUE"""),"France")</f>
        <v>France</v>
      </c>
      <c r="C1682" s="9" t="str">
        <f>IFERROR(__xludf.DUMMYFUNCTION("""COMPUTED_VALUE"""),"champagne")</f>
        <v>champagne</v>
      </c>
      <c r="D1682" s="9" t="str">
        <f>IFERROR(__xludf.DUMMYFUNCTION("""COMPUTED_VALUE"""),"Henriot, Brut Millesime")</f>
        <v>Henriot, Brut Millesime</v>
      </c>
      <c r="E1682" s="9">
        <f>IFERROR(__xludf.DUMMYFUNCTION("""COMPUTED_VALUE"""),2008.0)</f>
        <v>2008</v>
      </c>
      <c r="F1682" s="9">
        <f>IFERROR(__xludf.DUMMYFUNCTION("""COMPUTED_VALUE"""),750.0)</f>
        <v>750</v>
      </c>
      <c r="G1682" s="9">
        <f>IFERROR(__xludf.DUMMYFUNCTION("""COMPUTED_VALUE"""),6.0)</f>
        <v>6</v>
      </c>
      <c r="H1682" s="10">
        <f>IFERROR(__xludf.DUMMYFUNCTION("""COMPUTED_VALUE"""),4.0)</f>
        <v>4</v>
      </c>
      <c r="I1682" s="11">
        <f>IFERROR(__xludf.DUMMYFUNCTION("""COMPUTED_VALUE"""),376.0)</f>
        <v>376</v>
      </c>
      <c r="J1682" s="9" t="str">
        <f>IFERROR(__xludf.DUMMYFUNCTION("""COMPUTED_VALUE"""),"UK")</f>
        <v>UK</v>
      </c>
      <c r="K1682" s="8"/>
      <c r="L1682" s="12"/>
      <c r="M1682" s="13"/>
      <c r="N1682" s="13" t="str">
        <f>IFERROR(__xludf.DUMMYFUNCTION("IF(ISBLANK(M1682),"""",M1682*GOOGLEFINANCE(""USDGBP""))"),"")</f>
        <v/>
      </c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8"/>
      <c r="FJ1682" s="8"/>
      <c r="FK1682" s="8"/>
      <c r="FL1682" s="8"/>
      <c r="FM1682" s="8"/>
      <c r="FN1682" s="8"/>
      <c r="FO1682" s="8"/>
      <c r="FP1682" s="8"/>
      <c r="FQ1682" s="8"/>
      <c r="FR1682" s="8"/>
      <c r="FS1682" s="8"/>
      <c r="FT1682" s="8"/>
      <c r="FU1682" s="8"/>
      <c r="FV1682" s="8"/>
      <c r="FW1682" s="8"/>
      <c r="FX1682" s="8"/>
      <c r="FY1682" s="8"/>
      <c r="FZ1682" s="8"/>
      <c r="GA1682" s="8"/>
      <c r="GB1682" s="8"/>
      <c r="GC1682" s="8"/>
      <c r="GD1682" s="8"/>
      <c r="GE1682" s="8"/>
      <c r="GF1682" s="8"/>
      <c r="GG1682" s="8"/>
      <c r="GH1682" s="8"/>
      <c r="GI1682" s="8"/>
      <c r="GJ1682" s="8"/>
      <c r="GK1682" s="8"/>
      <c r="GL1682" s="8"/>
      <c r="GM1682" s="8"/>
      <c r="GN1682" s="8"/>
      <c r="GO1682" s="8"/>
      <c r="GP1682" s="8"/>
      <c r="GQ1682" s="8"/>
      <c r="GR1682" s="8"/>
      <c r="GS1682" s="8"/>
      <c r="GT1682" s="8"/>
      <c r="GU1682" s="8"/>
      <c r="GV1682" s="8"/>
      <c r="GW1682" s="8"/>
      <c r="GX1682" s="8"/>
    </row>
    <row r="1683">
      <c r="A1683" s="8" t="str">
        <f>IFERROR(__xludf.DUMMYFUNCTION("""COMPUTED_VALUE"""),"167500920080600750")</f>
        <v>167500920080600750</v>
      </c>
      <c r="B1683" s="9" t="str">
        <f>IFERROR(__xludf.DUMMYFUNCTION("""COMPUTED_VALUE"""),"France")</f>
        <v>France</v>
      </c>
      <c r="C1683" s="9" t="str">
        <f>IFERROR(__xludf.DUMMYFUNCTION("""COMPUTED_VALUE"""),"champagne")</f>
        <v>champagne</v>
      </c>
      <c r="D1683" s="9" t="str">
        <f>IFERROR(__xludf.DUMMYFUNCTION("""COMPUTED_VALUE"""),"Henriot, Cuvee Hemera")</f>
        <v>Henriot, Cuvee Hemera</v>
      </c>
      <c r="E1683" s="9">
        <f>IFERROR(__xludf.DUMMYFUNCTION("""COMPUTED_VALUE"""),2008.0)</f>
        <v>2008</v>
      </c>
      <c r="F1683" s="9">
        <f>IFERROR(__xludf.DUMMYFUNCTION("""COMPUTED_VALUE"""),750.0)</f>
        <v>750</v>
      </c>
      <c r="G1683" s="9">
        <f>IFERROR(__xludf.DUMMYFUNCTION("""COMPUTED_VALUE"""),6.0)</f>
        <v>6</v>
      </c>
      <c r="H1683" s="10">
        <f>IFERROR(__xludf.DUMMYFUNCTION("""COMPUTED_VALUE"""),4.0)</f>
        <v>4</v>
      </c>
      <c r="I1683" s="11">
        <f>IFERROR(__xludf.DUMMYFUNCTION("""COMPUTED_VALUE"""),750.0)</f>
        <v>750</v>
      </c>
      <c r="J1683" s="9" t="str">
        <f>IFERROR(__xludf.DUMMYFUNCTION("""COMPUTED_VALUE"""),"UK")</f>
        <v>UK</v>
      </c>
      <c r="K1683" s="8"/>
      <c r="L1683" s="12"/>
      <c r="M1683" s="13"/>
      <c r="N1683" s="13" t="str">
        <f>IFERROR(__xludf.DUMMYFUNCTION("IF(ISBLANK(M1683),"""",M1683*GOOGLEFINANCE(""USDGBP""))"),"")</f>
        <v/>
      </c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8"/>
      <c r="FV1683" s="8"/>
      <c r="FW1683" s="8"/>
      <c r="FX1683" s="8"/>
      <c r="FY1683" s="8"/>
      <c r="FZ1683" s="8"/>
      <c r="GA1683" s="8"/>
      <c r="GB1683" s="8"/>
      <c r="GC1683" s="8"/>
      <c r="GD1683" s="8"/>
      <c r="GE1683" s="8"/>
      <c r="GF1683" s="8"/>
      <c r="GG1683" s="8"/>
      <c r="GH1683" s="8"/>
      <c r="GI1683" s="8"/>
      <c r="GJ1683" s="8"/>
      <c r="GK1683" s="8"/>
      <c r="GL1683" s="8"/>
      <c r="GM1683" s="8"/>
      <c r="GN1683" s="8"/>
      <c r="GO1683" s="8"/>
      <c r="GP1683" s="8"/>
      <c r="GQ1683" s="8"/>
      <c r="GR1683" s="8"/>
      <c r="GS1683" s="8"/>
      <c r="GT1683" s="8"/>
      <c r="GU1683" s="8"/>
      <c r="GV1683" s="8"/>
      <c r="GW1683" s="8"/>
      <c r="GX1683" s="8"/>
    </row>
    <row r="1684">
      <c r="A1684" s="8" t="str">
        <f>IFERROR(__xludf.DUMMYFUNCTION("""COMPUTED_VALUE"""),"122615520070600750")</f>
        <v>122615520070600750</v>
      </c>
      <c r="B1684" s="9" t="str">
        <f>IFERROR(__xludf.DUMMYFUNCTION("""COMPUTED_VALUE"""),"France")</f>
        <v>France</v>
      </c>
      <c r="C1684" s="9" t="str">
        <f>IFERROR(__xludf.DUMMYFUNCTION("""COMPUTED_VALUE"""),"champagne")</f>
        <v>champagne</v>
      </c>
      <c r="D1684" s="9" t="str">
        <f>IFERROR(__xludf.DUMMYFUNCTION("""COMPUTED_VALUE"""),"Jacques Selosse, Millesime")</f>
        <v>Jacques Selosse, Millesime</v>
      </c>
      <c r="E1684" s="9">
        <f>IFERROR(__xludf.DUMMYFUNCTION("""COMPUTED_VALUE"""),2007.0)</f>
        <v>2007</v>
      </c>
      <c r="F1684" s="9">
        <f>IFERROR(__xludf.DUMMYFUNCTION("""COMPUTED_VALUE"""),750.0)</f>
        <v>750</v>
      </c>
      <c r="G1684" s="9">
        <f>IFERROR(__xludf.DUMMYFUNCTION("""COMPUTED_VALUE"""),6.0)</f>
        <v>6</v>
      </c>
      <c r="H1684" s="10">
        <f>IFERROR(__xludf.DUMMYFUNCTION("""COMPUTED_VALUE"""),1.0)</f>
        <v>1</v>
      </c>
      <c r="I1684" s="11">
        <f>IFERROR(__xludf.DUMMYFUNCTION("""COMPUTED_VALUE"""),9635.0)</f>
        <v>9635</v>
      </c>
      <c r="J1684" s="9" t="str">
        <f>IFERROR(__xludf.DUMMYFUNCTION("""COMPUTED_VALUE"""),"UK")</f>
        <v>UK</v>
      </c>
      <c r="K1684" s="8"/>
      <c r="L1684" s="12"/>
      <c r="M1684" s="13"/>
      <c r="N1684" s="13" t="str">
        <f>IFERROR(__xludf.DUMMYFUNCTION("IF(ISBLANK(M1684),"""",M1684*GOOGLEFINANCE(""USDGBP""))"),"")</f>
        <v/>
      </c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8"/>
      <c r="FJ1684" s="8"/>
      <c r="FK1684" s="8"/>
      <c r="FL1684" s="8"/>
      <c r="FM1684" s="8"/>
      <c r="FN1684" s="8"/>
      <c r="FO1684" s="8"/>
      <c r="FP1684" s="8"/>
      <c r="FQ1684" s="8"/>
      <c r="FR1684" s="8"/>
      <c r="FS1684" s="8"/>
      <c r="FT1684" s="8"/>
      <c r="FU1684" s="8"/>
      <c r="FV1684" s="8"/>
      <c r="FW1684" s="8"/>
      <c r="FX1684" s="8"/>
      <c r="FY1684" s="8"/>
      <c r="FZ1684" s="8"/>
      <c r="GA1684" s="8"/>
      <c r="GB1684" s="8"/>
      <c r="GC1684" s="8"/>
      <c r="GD1684" s="8"/>
      <c r="GE1684" s="8"/>
      <c r="GF1684" s="8"/>
      <c r="GG1684" s="8"/>
      <c r="GH1684" s="8"/>
      <c r="GI1684" s="8"/>
      <c r="GJ1684" s="8"/>
      <c r="GK1684" s="8"/>
      <c r="GL1684" s="8"/>
      <c r="GM1684" s="8"/>
      <c r="GN1684" s="8"/>
      <c r="GO1684" s="8"/>
      <c r="GP1684" s="8"/>
      <c r="GQ1684" s="8"/>
      <c r="GR1684" s="8"/>
      <c r="GS1684" s="8"/>
      <c r="GT1684" s="8"/>
      <c r="GU1684" s="8"/>
      <c r="GV1684" s="8"/>
      <c r="GW1684" s="8"/>
      <c r="GX1684" s="8"/>
    </row>
    <row r="1685">
      <c r="A1685" s="8" t="str">
        <f>IFERROR(__xludf.DUMMYFUNCTION("""COMPUTED_VALUE"""),"122615520090100750")</f>
        <v>122615520090100750</v>
      </c>
      <c r="B1685" s="9" t="str">
        <f>IFERROR(__xludf.DUMMYFUNCTION("""COMPUTED_VALUE"""),"France")</f>
        <v>France</v>
      </c>
      <c r="C1685" s="9" t="str">
        <f>IFERROR(__xludf.DUMMYFUNCTION("""COMPUTED_VALUE"""),"champagne")</f>
        <v>champagne</v>
      </c>
      <c r="D1685" s="9" t="str">
        <f>IFERROR(__xludf.DUMMYFUNCTION("""COMPUTED_VALUE"""),"Jacques Selosse, Millesime")</f>
        <v>Jacques Selosse, Millesime</v>
      </c>
      <c r="E1685" s="9">
        <f>IFERROR(__xludf.DUMMYFUNCTION("""COMPUTED_VALUE"""),2009.0)</f>
        <v>2009</v>
      </c>
      <c r="F1685" s="9">
        <f>IFERROR(__xludf.DUMMYFUNCTION("""COMPUTED_VALUE"""),750.0)</f>
        <v>750</v>
      </c>
      <c r="G1685" s="9">
        <f>IFERROR(__xludf.DUMMYFUNCTION("""COMPUTED_VALUE"""),1.0)</f>
        <v>1</v>
      </c>
      <c r="H1685" s="10">
        <f>IFERROR(__xludf.DUMMYFUNCTION("""COMPUTED_VALUE"""),2.0)</f>
        <v>2</v>
      </c>
      <c r="I1685" s="11">
        <f>IFERROR(__xludf.DUMMYFUNCTION("""COMPUTED_VALUE"""),1413.0)</f>
        <v>1413</v>
      </c>
      <c r="J1685" s="9" t="str">
        <f>IFERROR(__xludf.DUMMYFUNCTION("""COMPUTED_VALUE"""),"UK")</f>
        <v>UK</v>
      </c>
      <c r="K1685" s="8"/>
      <c r="L1685" s="12"/>
      <c r="M1685" s="13"/>
      <c r="N1685" s="13" t="str">
        <f>IFERROR(__xludf.DUMMYFUNCTION("IF(ISBLANK(M1685),"""",M1685*GOOGLEFINANCE(""USDGBP""))"),"")</f>
        <v/>
      </c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  <c r="GG1685" s="8"/>
      <c r="GH1685" s="8"/>
      <c r="GI1685" s="8"/>
      <c r="GJ1685" s="8"/>
      <c r="GK1685" s="8"/>
      <c r="GL1685" s="8"/>
      <c r="GM1685" s="8"/>
      <c r="GN1685" s="8"/>
      <c r="GO1685" s="8"/>
      <c r="GP1685" s="8"/>
      <c r="GQ1685" s="8"/>
      <c r="GR1685" s="8"/>
      <c r="GS1685" s="8"/>
      <c r="GT1685" s="8"/>
      <c r="GU1685" s="8"/>
      <c r="GV1685" s="8"/>
      <c r="GW1685" s="8"/>
      <c r="GX1685" s="8"/>
    </row>
    <row r="1686">
      <c r="A1686" s="8" t="str">
        <f>IFERROR(__xludf.DUMMYFUNCTION("""COMPUTED_VALUE"""),"108235320080600750")</f>
        <v>108235320080600750</v>
      </c>
      <c r="B1686" s="9" t="str">
        <f>IFERROR(__xludf.DUMMYFUNCTION("""COMPUTED_VALUE"""),"France")</f>
        <v>France</v>
      </c>
      <c r="C1686" s="9" t="str">
        <f>IFERROR(__xludf.DUMMYFUNCTION("""COMPUTED_VALUE"""),"champagne")</f>
        <v>champagne</v>
      </c>
      <c r="D1686" s="9" t="str">
        <f>IFERROR(__xludf.DUMMYFUNCTION("""COMPUTED_VALUE"""),"Joseph Perrier, Cuvee Josephine")</f>
        <v>Joseph Perrier, Cuvee Josephine</v>
      </c>
      <c r="E1686" s="9">
        <f>IFERROR(__xludf.DUMMYFUNCTION("""COMPUTED_VALUE"""),2008.0)</f>
        <v>2008</v>
      </c>
      <c r="F1686" s="9">
        <f>IFERROR(__xludf.DUMMYFUNCTION("""COMPUTED_VALUE"""),750.0)</f>
        <v>750</v>
      </c>
      <c r="G1686" s="9">
        <f>IFERROR(__xludf.DUMMYFUNCTION("""COMPUTED_VALUE"""),6.0)</f>
        <v>6</v>
      </c>
      <c r="H1686" s="10">
        <f>IFERROR(__xludf.DUMMYFUNCTION("""COMPUTED_VALUE"""),3.0)</f>
        <v>3</v>
      </c>
      <c r="I1686" s="11">
        <f>IFERROR(__xludf.DUMMYFUNCTION("""COMPUTED_VALUE"""),621.0)</f>
        <v>621</v>
      </c>
      <c r="J1686" s="9" t="str">
        <f>IFERROR(__xludf.DUMMYFUNCTION("""COMPUTED_VALUE"""),"UK")</f>
        <v>UK</v>
      </c>
      <c r="K1686" s="8"/>
      <c r="L1686" s="12"/>
      <c r="M1686" s="13"/>
      <c r="N1686" s="13" t="str">
        <f>IFERROR(__xludf.DUMMYFUNCTION("IF(ISBLANK(M1686),"""",M1686*GOOGLEFINANCE(""USDGBP""))"),"")</f>
        <v/>
      </c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8"/>
      <c r="FJ1686" s="8"/>
      <c r="FK1686" s="8"/>
      <c r="FL1686" s="8"/>
      <c r="FM1686" s="8"/>
      <c r="FN1686" s="8"/>
      <c r="FO1686" s="8"/>
      <c r="FP1686" s="8"/>
      <c r="FQ1686" s="8"/>
      <c r="FR1686" s="8"/>
      <c r="FS1686" s="8"/>
      <c r="FT1686" s="8"/>
      <c r="FU1686" s="8"/>
      <c r="FV1686" s="8"/>
      <c r="FW1686" s="8"/>
      <c r="FX1686" s="8"/>
      <c r="FY1686" s="8"/>
      <c r="FZ1686" s="8"/>
      <c r="GA1686" s="8"/>
      <c r="GB1686" s="8"/>
      <c r="GC1686" s="8"/>
      <c r="GD1686" s="8"/>
      <c r="GE1686" s="8"/>
      <c r="GF1686" s="8"/>
      <c r="GG1686" s="8"/>
      <c r="GH1686" s="8"/>
      <c r="GI1686" s="8"/>
      <c r="GJ1686" s="8"/>
      <c r="GK1686" s="8"/>
      <c r="GL1686" s="8"/>
      <c r="GM1686" s="8"/>
      <c r="GN1686" s="8"/>
      <c r="GO1686" s="8"/>
      <c r="GP1686" s="8"/>
      <c r="GQ1686" s="8"/>
      <c r="GR1686" s="8"/>
      <c r="GS1686" s="8"/>
      <c r="GT1686" s="8"/>
      <c r="GU1686" s="8"/>
      <c r="GV1686" s="8"/>
      <c r="GW1686" s="8"/>
      <c r="GX1686" s="8"/>
    </row>
    <row r="1687">
      <c r="A1687" s="8" t="str">
        <f>IFERROR(__xludf.DUMMYFUNCTION("""COMPUTED_VALUE"""),"122379220080600750")</f>
        <v>122379220080600750</v>
      </c>
      <c r="B1687" s="9" t="str">
        <f>IFERROR(__xludf.DUMMYFUNCTION("""COMPUTED_VALUE"""),"France")</f>
        <v>France</v>
      </c>
      <c r="C1687" s="9" t="str">
        <f>IFERROR(__xludf.DUMMYFUNCTION("""COMPUTED_VALUE"""),"champagne")</f>
        <v>champagne</v>
      </c>
      <c r="D1687" s="9" t="str">
        <f>IFERROR(__xludf.DUMMYFUNCTION("""COMPUTED_VALUE"""),"Joseph Perrier, Cuvee Royale Brut Vintage")</f>
        <v>Joseph Perrier, Cuvee Royale Brut Vintage</v>
      </c>
      <c r="E1687" s="9">
        <f>IFERROR(__xludf.DUMMYFUNCTION("""COMPUTED_VALUE"""),2008.0)</f>
        <v>2008</v>
      </c>
      <c r="F1687" s="9">
        <f>IFERROR(__xludf.DUMMYFUNCTION("""COMPUTED_VALUE"""),750.0)</f>
        <v>750</v>
      </c>
      <c r="G1687" s="9">
        <f>IFERROR(__xludf.DUMMYFUNCTION("""COMPUTED_VALUE"""),6.0)</f>
        <v>6</v>
      </c>
      <c r="H1687" s="10">
        <f>IFERROR(__xludf.DUMMYFUNCTION("""COMPUTED_VALUE"""),1.0)</f>
        <v>1</v>
      </c>
      <c r="I1687" s="11">
        <f>IFERROR(__xludf.DUMMYFUNCTION("""COMPUTED_VALUE"""),274.0)</f>
        <v>274</v>
      </c>
      <c r="J1687" s="9" t="str">
        <f>IFERROR(__xludf.DUMMYFUNCTION("""COMPUTED_VALUE"""),"UK")</f>
        <v>UK</v>
      </c>
      <c r="K1687" s="8"/>
      <c r="L1687" s="12"/>
      <c r="M1687" s="13"/>
      <c r="N1687" s="13" t="str">
        <f>IFERROR(__xludf.DUMMYFUNCTION("IF(ISBLANK(M1687),"""",M1687*GOOGLEFINANCE(""USDGBP""))"),"")</f>
        <v/>
      </c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8"/>
      <c r="FJ1687" s="8"/>
      <c r="FK1687" s="8"/>
      <c r="FL1687" s="8"/>
      <c r="FM1687" s="8"/>
      <c r="FN1687" s="8"/>
      <c r="FO1687" s="8"/>
      <c r="FP1687" s="8"/>
      <c r="FQ1687" s="8"/>
      <c r="FR1687" s="8"/>
      <c r="FS1687" s="8"/>
      <c r="FT1687" s="8"/>
      <c r="FU1687" s="8"/>
      <c r="FV1687" s="8"/>
      <c r="FW1687" s="8"/>
      <c r="FX1687" s="8"/>
      <c r="FY1687" s="8"/>
      <c r="FZ1687" s="8"/>
      <c r="GA1687" s="8"/>
      <c r="GB1687" s="8"/>
      <c r="GC1687" s="8"/>
      <c r="GD1687" s="8"/>
      <c r="GE1687" s="8"/>
      <c r="GF1687" s="8"/>
      <c r="GG1687" s="8"/>
      <c r="GH1687" s="8"/>
      <c r="GI1687" s="8"/>
      <c r="GJ1687" s="8"/>
      <c r="GK1687" s="8"/>
      <c r="GL1687" s="8"/>
      <c r="GM1687" s="8"/>
      <c r="GN1687" s="8"/>
      <c r="GO1687" s="8"/>
      <c r="GP1687" s="8"/>
      <c r="GQ1687" s="8"/>
      <c r="GR1687" s="8"/>
      <c r="GS1687" s="8"/>
      <c r="GT1687" s="8"/>
      <c r="GU1687" s="8"/>
      <c r="GV1687" s="8"/>
      <c r="GW1687" s="8"/>
      <c r="GX1687" s="8"/>
    </row>
    <row r="1688">
      <c r="A1688" s="8" t="str">
        <f>IFERROR(__xludf.DUMMYFUNCTION("""COMPUTED_VALUE"""),"108238220020100750")</f>
        <v>108238220020100750</v>
      </c>
      <c r="B1688" s="9" t="str">
        <f>IFERROR(__xludf.DUMMYFUNCTION("""COMPUTED_VALUE"""),"France")</f>
        <v>France</v>
      </c>
      <c r="C1688" s="9" t="str">
        <f>IFERROR(__xludf.DUMMYFUNCTION("""COMPUTED_VALUE"""),"champagne")</f>
        <v>champagne</v>
      </c>
      <c r="D1688" s="9" t="str">
        <f>IFERROR(__xludf.DUMMYFUNCTION("""COMPUTED_VALUE"""),"Krug, Clos d'Ambonnay")</f>
        <v>Krug, Clos d'Ambonnay</v>
      </c>
      <c r="E1688" s="9">
        <f>IFERROR(__xludf.DUMMYFUNCTION("""COMPUTED_VALUE"""),2002.0)</f>
        <v>2002</v>
      </c>
      <c r="F1688" s="9">
        <f>IFERROR(__xludf.DUMMYFUNCTION("""COMPUTED_VALUE"""),750.0)</f>
        <v>750</v>
      </c>
      <c r="G1688" s="9">
        <f>IFERROR(__xludf.DUMMYFUNCTION("""COMPUTED_VALUE"""),1.0)</f>
        <v>1</v>
      </c>
      <c r="H1688" s="10">
        <f>IFERROR(__xludf.DUMMYFUNCTION("""COMPUTED_VALUE"""),3.0)</f>
        <v>3</v>
      </c>
      <c r="I1688" s="11">
        <f>IFERROR(__xludf.DUMMYFUNCTION("""COMPUTED_VALUE"""),2532.0)</f>
        <v>2532</v>
      </c>
      <c r="J1688" s="9" t="str">
        <f>IFERROR(__xludf.DUMMYFUNCTION("""COMPUTED_VALUE"""),"UK")</f>
        <v>UK</v>
      </c>
      <c r="K1688" s="8"/>
      <c r="L1688" s="12"/>
      <c r="M1688" s="13"/>
      <c r="N1688" s="13" t="str">
        <f>IFERROR(__xludf.DUMMYFUNCTION("IF(ISBLANK(M1688),"""",M1688*GOOGLEFINANCE(""USDGBP""))"),"")</f>
        <v/>
      </c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8"/>
      <c r="FJ1688" s="8"/>
      <c r="FK1688" s="8"/>
      <c r="FL1688" s="8"/>
      <c r="FM1688" s="8"/>
      <c r="FN1688" s="8"/>
      <c r="FO1688" s="8"/>
      <c r="FP1688" s="8"/>
      <c r="FQ1688" s="8"/>
      <c r="FR1688" s="8"/>
      <c r="FS1688" s="8"/>
      <c r="FT1688" s="8"/>
      <c r="FU1688" s="8"/>
      <c r="FV1688" s="8"/>
      <c r="FW1688" s="8"/>
      <c r="FX1688" s="8"/>
      <c r="FY1688" s="8"/>
      <c r="FZ1688" s="8"/>
      <c r="GA1688" s="8"/>
      <c r="GB1688" s="8"/>
      <c r="GC1688" s="8"/>
      <c r="GD1688" s="8"/>
      <c r="GE1688" s="8"/>
      <c r="GF1688" s="8"/>
      <c r="GG1688" s="8"/>
      <c r="GH1688" s="8"/>
      <c r="GI1688" s="8"/>
      <c r="GJ1688" s="8"/>
      <c r="GK1688" s="8"/>
      <c r="GL1688" s="8"/>
      <c r="GM1688" s="8"/>
      <c r="GN1688" s="8"/>
      <c r="GO1688" s="8"/>
      <c r="GP1688" s="8"/>
      <c r="GQ1688" s="8"/>
      <c r="GR1688" s="8"/>
      <c r="GS1688" s="8"/>
      <c r="GT1688" s="8"/>
      <c r="GU1688" s="8"/>
      <c r="GV1688" s="8"/>
      <c r="GW1688" s="8"/>
      <c r="GX1688" s="8"/>
    </row>
    <row r="1689">
      <c r="A1689" s="8" t="str">
        <f>IFERROR(__xludf.DUMMYFUNCTION("""COMPUTED_VALUE"""),"142236820060300750")</f>
        <v>142236820060300750</v>
      </c>
      <c r="B1689" s="9" t="str">
        <f>IFERROR(__xludf.DUMMYFUNCTION("""COMPUTED_VALUE"""),"France")</f>
        <v>France</v>
      </c>
      <c r="C1689" s="9" t="str">
        <f>IFERROR(__xludf.DUMMYFUNCTION("""COMPUTED_VALUE"""),"champagne")</f>
        <v>champagne</v>
      </c>
      <c r="D1689" s="9" t="str">
        <f>IFERROR(__xludf.DUMMYFUNCTION("""COMPUTED_VALUE"""),"Krug, Du Point A l'Univers Assortment Case")</f>
        <v>Krug, Du Point A l'Univers Assortment Case</v>
      </c>
      <c r="E1689" s="9">
        <f>IFERROR(__xludf.DUMMYFUNCTION("""COMPUTED_VALUE"""),2006.0)</f>
        <v>2006</v>
      </c>
      <c r="F1689" s="9">
        <f>IFERROR(__xludf.DUMMYFUNCTION("""COMPUTED_VALUE"""),750.0)</f>
        <v>750</v>
      </c>
      <c r="G1689" s="9">
        <f>IFERROR(__xludf.DUMMYFUNCTION("""COMPUTED_VALUE"""),3.0)</f>
        <v>3</v>
      </c>
      <c r="H1689" s="10">
        <f>IFERROR(__xludf.DUMMYFUNCTION("""COMPUTED_VALUE"""),2.0)</f>
        <v>2</v>
      </c>
      <c r="I1689" s="11">
        <f>IFERROR(__xludf.DUMMYFUNCTION("""COMPUTED_VALUE"""),5621.0)</f>
        <v>5621</v>
      </c>
      <c r="J1689" s="9" t="str">
        <f>IFERROR(__xludf.DUMMYFUNCTION("""COMPUTED_VALUE"""),"UK")</f>
        <v>UK</v>
      </c>
      <c r="K1689" s="8"/>
      <c r="L1689" s="12"/>
      <c r="M1689" s="13"/>
      <c r="N1689" s="13" t="str">
        <f>IFERROR(__xludf.DUMMYFUNCTION("IF(ISBLANK(M1689),"""",M1689*GOOGLEFINANCE(""USDGBP""))"),"")</f>
        <v/>
      </c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8"/>
      <c r="FJ1689" s="8"/>
      <c r="FK1689" s="8"/>
      <c r="FL1689" s="8"/>
      <c r="FM1689" s="8"/>
      <c r="FN1689" s="8"/>
      <c r="FO1689" s="8"/>
      <c r="FP1689" s="8"/>
      <c r="FQ1689" s="8"/>
      <c r="FR1689" s="8"/>
      <c r="FS1689" s="8"/>
      <c r="FT1689" s="8"/>
      <c r="FU1689" s="8"/>
      <c r="FV1689" s="8"/>
      <c r="FW1689" s="8"/>
      <c r="FX1689" s="8"/>
      <c r="FY1689" s="8"/>
      <c r="FZ1689" s="8"/>
      <c r="GA1689" s="8"/>
      <c r="GB1689" s="8"/>
      <c r="GC1689" s="8"/>
      <c r="GD1689" s="8"/>
      <c r="GE1689" s="8"/>
      <c r="GF1689" s="8"/>
      <c r="GG1689" s="8"/>
      <c r="GH1689" s="8"/>
      <c r="GI1689" s="8"/>
      <c r="GJ1689" s="8"/>
      <c r="GK1689" s="8"/>
      <c r="GL1689" s="8"/>
      <c r="GM1689" s="8"/>
      <c r="GN1689" s="8"/>
      <c r="GO1689" s="8"/>
      <c r="GP1689" s="8"/>
      <c r="GQ1689" s="8"/>
      <c r="GR1689" s="8"/>
      <c r="GS1689" s="8"/>
      <c r="GT1689" s="8"/>
      <c r="GU1689" s="8"/>
      <c r="GV1689" s="8"/>
      <c r="GW1689" s="8"/>
      <c r="GX1689" s="8"/>
    </row>
    <row r="1690">
      <c r="A1690" s="8" t="str">
        <f>IFERROR(__xludf.DUMMYFUNCTION("""COMPUTED_VALUE"""),"131693519880100750")</f>
        <v>131693519880100750</v>
      </c>
      <c r="B1690" s="9" t="str">
        <f>IFERROR(__xludf.DUMMYFUNCTION("""COMPUTED_VALUE"""),"France")</f>
        <v>France</v>
      </c>
      <c r="C1690" s="9" t="str">
        <f>IFERROR(__xludf.DUMMYFUNCTION("""COMPUTED_VALUE"""),"champagne")</f>
        <v>champagne</v>
      </c>
      <c r="D1690" s="9" t="str">
        <f>IFERROR(__xludf.DUMMYFUNCTION("""COMPUTED_VALUE"""),"Krug, Vintage Brut")</f>
        <v>Krug, Vintage Brut</v>
      </c>
      <c r="E1690" s="9">
        <f>IFERROR(__xludf.DUMMYFUNCTION("""COMPUTED_VALUE"""),1988.0)</f>
        <v>1988</v>
      </c>
      <c r="F1690" s="9">
        <f>IFERROR(__xludf.DUMMYFUNCTION("""COMPUTED_VALUE"""),750.0)</f>
        <v>750</v>
      </c>
      <c r="G1690" s="9">
        <f>IFERROR(__xludf.DUMMYFUNCTION("""COMPUTED_VALUE"""),1.0)</f>
        <v>1</v>
      </c>
      <c r="H1690" s="10">
        <f>IFERROR(__xludf.DUMMYFUNCTION("""COMPUTED_VALUE"""),1.0)</f>
        <v>1</v>
      </c>
      <c r="I1690" s="11">
        <f>IFERROR(__xludf.DUMMYFUNCTION("""COMPUTED_VALUE"""),819.0)</f>
        <v>819</v>
      </c>
      <c r="J1690" s="9" t="str">
        <f>IFERROR(__xludf.DUMMYFUNCTION("""COMPUTED_VALUE"""),"UK")</f>
        <v>UK</v>
      </c>
      <c r="K1690" s="8"/>
      <c r="L1690" s="12"/>
      <c r="M1690" s="13"/>
      <c r="N1690" s="13" t="str">
        <f>IFERROR(__xludf.DUMMYFUNCTION("IF(ISBLANK(M1690),"""",M1690*GOOGLEFINANCE(""USDGBP""))"),"")</f>
        <v/>
      </c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8"/>
      <c r="FJ1690" s="8"/>
      <c r="FK1690" s="8"/>
      <c r="FL1690" s="8"/>
      <c r="FM1690" s="8"/>
      <c r="FN1690" s="8"/>
      <c r="FO1690" s="8"/>
      <c r="FP1690" s="8"/>
      <c r="FQ1690" s="8"/>
      <c r="FR1690" s="8"/>
      <c r="FS1690" s="8"/>
      <c r="FT1690" s="8"/>
      <c r="FU1690" s="8"/>
      <c r="FV1690" s="8"/>
      <c r="FW1690" s="8"/>
      <c r="FX1690" s="8"/>
      <c r="FY1690" s="8"/>
      <c r="FZ1690" s="8"/>
      <c r="GA1690" s="8"/>
      <c r="GB1690" s="8"/>
      <c r="GC1690" s="8"/>
      <c r="GD1690" s="8"/>
      <c r="GE1690" s="8"/>
      <c r="GF1690" s="8"/>
      <c r="GG1690" s="8"/>
      <c r="GH1690" s="8"/>
      <c r="GI1690" s="8"/>
      <c r="GJ1690" s="8"/>
      <c r="GK1690" s="8"/>
      <c r="GL1690" s="8"/>
      <c r="GM1690" s="8"/>
      <c r="GN1690" s="8"/>
      <c r="GO1690" s="8"/>
      <c r="GP1690" s="8"/>
      <c r="GQ1690" s="8"/>
      <c r="GR1690" s="8"/>
      <c r="GS1690" s="8"/>
      <c r="GT1690" s="8"/>
      <c r="GU1690" s="8"/>
      <c r="GV1690" s="8"/>
      <c r="GW1690" s="8"/>
      <c r="GX1690" s="8"/>
    </row>
    <row r="1691">
      <c r="A1691" s="8" t="str">
        <f>IFERROR(__xludf.DUMMYFUNCTION("""COMPUTED_VALUE"""),"131693520020101500")</f>
        <v>131693520020101500</v>
      </c>
      <c r="B1691" s="9" t="str">
        <f>IFERROR(__xludf.DUMMYFUNCTION("""COMPUTED_VALUE"""),"France")</f>
        <v>France</v>
      </c>
      <c r="C1691" s="9" t="str">
        <f>IFERROR(__xludf.DUMMYFUNCTION("""COMPUTED_VALUE"""),"champagne")</f>
        <v>champagne</v>
      </c>
      <c r="D1691" s="9" t="str">
        <f>IFERROR(__xludf.DUMMYFUNCTION("""COMPUTED_VALUE"""),"Krug, Vintage Brut")</f>
        <v>Krug, Vintage Brut</v>
      </c>
      <c r="E1691" s="9">
        <f>IFERROR(__xludf.DUMMYFUNCTION("""COMPUTED_VALUE"""),2002.0)</f>
        <v>2002</v>
      </c>
      <c r="F1691" s="9">
        <f>IFERROR(__xludf.DUMMYFUNCTION("""COMPUTED_VALUE"""),1500.0)</f>
        <v>1500</v>
      </c>
      <c r="G1691" s="9">
        <f>IFERROR(__xludf.DUMMYFUNCTION("""COMPUTED_VALUE"""),1.0)</f>
        <v>1</v>
      </c>
      <c r="H1691" s="10">
        <f>IFERROR(__xludf.DUMMYFUNCTION("""COMPUTED_VALUE"""),1.0)</f>
        <v>1</v>
      </c>
      <c r="I1691" s="11">
        <f>IFERROR(__xludf.DUMMYFUNCTION("""COMPUTED_VALUE"""),734.0)</f>
        <v>734</v>
      </c>
      <c r="J1691" s="9" t="str">
        <f>IFERROR(__xludf.DUMMYFUNCTION("""COMPUTED_VALUE"""),"UK")</f>
        <v>UK</v>
      </c>
      <c r="K1691" s="8"/>
      <c r="L1691" s="12"/>
      <c r="M1691" s="13"/>
      <c r="N1691" s="13" t="str">
        <f>IFERROR(__xludf.DUMMYFUNCTION("IF(ISBLANK(M1691),"""",M1691*GOOGLEFINANCE(""USDGBP""))"),"")</f>
        <v/>
      </c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8"/>
      <c r="FV1691" s="8"/>
      <c r="FW1691" s="8"/>
      <c r="FX1691" s="8"/>
      <c r="FY1691" s="8"/>
      <c r="FZ1691" s="8"/>
      <c r="GA1691" s="8"/>
      <c r="GB1691" s="8"/>
      <c r="GC1691" s="8"/>
      <c r="GD1691" s="8"/>
      <c r="GE1691" s="8"/>
      <c r="GF1691" s="8"/>
      <c r="GG1691" s="8"/>
      <c r="GH1691" s="8"/>
      <c r="GI1691" s="8"/>
      <c r="GJ1691" s="8"/>
      <c r="GK1691" s="8"/>
      <c r="GL1691" s="8"/>
      <c r="GM1691" s="8"/>
      <c r="GN1691" s="8"/>
      <c r="GO1691" s="8"/>
      <c r="GP1691" s="8"/>
      <c r="GQ1691" s="8"/>
      <c r="GR1691" s="8"/>
      <c r="GS1691" s="8"/>
      <c r="GT1691" s="8"/>
      <c r="GU1691" s="8"/>
      <c r="GV1691" s="8"/>
      <c r="GW1691" s="8"/>
      <c r="GX1691" s="8"/>
    </row>
    <row r="1692">
      <c r="A1692" s="8" t="str">
        <f>IFERROR(__xludf.DUMMYFUNCTION("""COMPUTED_VALUE"""),"131693520030600750")</f>
        <v>131693520030600750</v>
      </c>
      <c r="B1692" s="9" t="str">
        <f>IFERROR(__xludf.DUMMYFUNCTION("""COMPUTED_VALUE"""),"France")</f>
        <v>France</v>
      </c>
      <c r="C1692" s="9" t="str">
        <f>IFERROR(__xludf.DUMMYFUNCTION("""COMPUTED_VALUE"""),"champagne")</f>
        <v>champagne</v>
      </c>
      <c r="D1692" s="9" t="str">
        <f>IFERROR(__xludf.DUMMYFUNCTION("""COMPUTED_VALUE"""),"Krug, Vintage Brut")</f>
        <v>Krug, Vintage Brut</v>
      </c>
      <c r="E1692" s="9">
        <f>IFERROR(__xludf.DUMMYFUNCTION("""COMPUTED_VALUE"""),2003.0)</f>
        <v>2003</v>
      </c>
      <c r="F1692" s="9">
        <f>IFERROR(__xludf.DUMMYFUNCTION("""COMPUTED_VALUE"""),750.0)</f>
        <v>750</v>
      </c>
      <c r="G1692" s="9">
        <f>IFERROR(__xludf.DUMMYFUNCTION("""COMPUTED_VALUE"""),6.0)</f>
        <v>6</v>
      </c>
      <c r="H1692" s="10">
        <f>IFERROR(__xludf.DUMMYFUNCTION("""COMPUTED_VALUE"""),1.0)</f>
        <v>1</v>
      </c>
      <c r="I1692" s="11">
        <f>IFERROR(__xludf.DUMMYFUNCTION("""COMPUTED_VALUE"""),1763.0)</f>
        <v>1763</v>
      </c>
      <c r="J1692" s="9" t="str">
        <f>IFERROR(__xludf.DUMMYFUNCTION("""COMPUTED_VALUE"""),"UK")</f>
        <v>UK</v>
      </c>
      <c r="K1692" s="8"/>
      <c r="L1692" s="12"/>
      <c r="M1692" s="13"/>
      <c r="N1692" s="13" t="str">
        <f>IFERROR(__xludf.DUMMYFUNCTION("IF(ISBLANK(M1692),"""",M1692*GOOGLEFINANCE(""USDGBP""))"),"")</f>
        <v/>
      </c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8"/>
      <c r="FV1692" s="8"/>
      <c r="FW1692" s="8"/>
      <c r="FX1692" s="8"/>
      <c r="FY1692" s="8"/>
      <c r="FZ1692" s="8"/>
      <c r="GA1692" s="8"/>
      <c r="GB1692" s="8"/>
      <c r="GC1692" s="8"/>
      <c r="GD1692" s="8"/>
      <c r="GE1692" s="8"/>
      <c r="GF1692" s="8"/>
      <c r="GG1692" s="8"/>
      <c r="GH1692" s="8"/>
      <c r="GI1692" s="8"/>
      <c r="GJ1692" s="8"/>
      <c r="GK1692" s="8"/>
      <c r="GL1692" s="8"/>
      <c r="GM1692" s="8"/>
      <c r="GN1692" s="8"/>
      <c r="GO1692" s="8"/>
      <c r="GP1692" s="8"/>
      <c r="GQ1692" s="8"/>
      <c r="GR1692" s="8"/>
      <c r="GS1692" s="8"/>
      <c r="GT1692" s="8"/>
      <c r="GU1692" s="8"/>
      <c r="GV1692" s="8"/>
      <c r="GW1692" s="8"/>
      <c r="GX1692" s="8"/>
    </row>
    <row r="1693">
      <c r="A1693" s="8" t="str">
        <f>IFERROR(__xludf.DUMMYFUNCTION("""COMPUTED_VALUE"""),"131693520040600750")</f>
        <v>131693520040600750</v>
      </c>
      <c r="B1693" s="9" t="str">
        <f>IFERROR(__xludf.DUMMYFUNCTION("""COMPUTED_VALUE"""),"France")</f>
        <v>France</v>
      </c>
      <c r="C1693" s="9" t="str">
        <f>IFERROR(__xludf.DUMMYFUNCTION("""COMPUTED_VALUE"""),"champagne")</f>
        <v>champagne</v>
      </c>
      <c r="D1693" s="9" t="str">
        <f>IFERROR(__xludf.DUMMYFUNCTION("""COMPUTED_VALUE"""),"Krug, Vintage Brut")</f>
        <v>Krug, Vintage Brut</v>
      </c>
      <c r="E1693" s="9">
        <f>IFERROR(__xludf.DUMMYFUNCTION("""COMPUTED_VALUE"""),2004.0)</f>
        <v>2004</v>
      </c>
      <c r="F1693" s="9">
        <f>IFERROR(__xludf.DUMMYFUNCTION("""COMPUTED_VALUE"""),750.0)</f>
        <v>750</v>
      </c>
      <c r="G1693" s="9">
        <f>IFERROR(__xludf.DUMMYFUNCTION("""COMPUTED_VALUE"""),6.0)</f>
        <v>6</v>
      </c>
      <c r="H1693" s="10">
        <f>IFERROR(__xludf.DUMMYFUNCTION("""COMPUTED_VALUE"""),1.0)</f>
        <v>1</v>
      </c>
      <c r="I1693" s="11">
        <f>IFERROR(__xludf.DUMMYFUNCTION("""COMPUTED_VALUE"""),1639.0)</f>
        <v>1639</v>
      </c>
      <c r="J1693" s="9" t="str">
        <f>IFERROR(__xludf.DUMMYFUNCTION("""COMPUTED_VALUE"""),"UK")</f>
        <v>UK</v>
      </c>
      <c r="K1693" s="8"/>
      <c r="L1693" s="12"/>
      <c r="M1693" s="13"/>
      <c r="N1693" s="13" t="str">
        <f>IFERROR(__xludf.DUMMYFUNCTION("IF(ISBLANK(M1693),"""",M1693*GOOGLEFINANCE(""USDGBP""))"),"")</f>
        <v/>
      </c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  <c r="GA1693" s="8"/>
      <c r="GB1693" s="8"/>
      <c r="GC1693" s="8"/>
      <c r="GD1693" s="8"/>
      <c r="GE1693" s="8"/>
      <c r="GF1693" s="8"/>
      <c r="GG1693" s="8"/>
      <c r="GH1693" s="8"/>
      <c r="GI1693" s="8"/>
      <c r="GJ1693" s="8"/>
      <c r="GK1693" s="8"/>
      <c r="GL1693" s="8"/>
      <c r="GM1693" s="8"/>
      <c r="GN1693" s="8"/>
      <c r="GO1693" s="8"/>
      <c r="GP1693" s="8"/>
      <c r="GQ1693" s="8"/>
      <c r="GR1693" s="8"/>
      <c r="GS1693" s="8"/>
      <c r="GT1693" s="8"/>
      <c r="GU1693" s="8"/>
      <c r="GV1693" s="8"/>
      <c r="GW1693" s="8"/>
      <c r="GX1693" s="8"/>
    </row>
    <row r="1694">
      <c r="A1694" s="8" t="str">
        <f>IFERROR(__xludf.DUMMYFUNCTION("""COMPUTED_VALUE"""),"131693520080600750")</f>
        <v>131693520080600750</v>
      </c>
      <c r="B1694" s="9" t="str">
        <f>IFERROR(__xludf.DUMMYFUNCTION("""COMPUTED_VALUE"""),"France")</f>
        <v>France</v>
      </c>
      <c r="C1694" s="9" t="str">
        <f>IFERROR(__xludf.DUMMYFUNCTION("""COMPUTED_VALUE"""),"champagne")</f>
        <v>champagne</v>
      </c>
      <c r="D1694" s="9" t="str">
        <f>IFERROR(__xludf.DUMMYFUNCTION("""COMPUTED_VALUE"""),"Krug, Vintage Brut")</f>
        <v>Krug, Vintage Brut</v>
      </c>
      <c r="E1694" s="9">
        <f>IFERROR(__xludf.DUMMYFUNCTION("""COMPUTED_VALUE"""),2008.0)</f>
        <v>2008</v>
      </c>
      <c r="F1694" s="9">
        <f>IFERROR(__xludf.DUMMYFUNCTION("""COMPUTED_VALUE"""),750.0)</f>
        <v>750</v>
      </c>
      <c r="G1694" s="9">
        <f>IFERROR(__xludf.DUMMYFUNCTION("""COMPUTED_VALUE"""),6.0)</f>
        <v>6</v>
      </c>
      <c r="H1694" s="10">
        <f>IFERROR(__xludf.DUMMYFUNCTION("""COMPUTED_VALUE"""),1.0)</f>
        <v>1</v>
      </c>
      <c r="I1694" s="11">
        <f>IFERROR(__xludf.DUMMYFUNCTION("""COMPUTED_VALUE"""),2247.0)</f>
        <v>2247</v>
      </c>
      <c r="J1694" s="9" t="str">
        <f>IFERROR(__xludf.DUMMYFUNCTION("""COMPUTED_VALUE"""),"UK")</f>
        <v>UK</v>
      </c>
      <c r="K1694" s="8"/>
      <c r="L1694" s="12"/>
      <c r="M1694" s="13"/>
      <c r="N1694" s="13" t="str">
        <f>IFERROR(__xludf.DUMMYFUNCTION("IF(ISBLANK(M1694),"""",M1694*GOOGLEFINANCE(""USDGBP""))"),"")</f>
        <v/>
      </c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8"/>
      <c r="FV1694" s="8"/>
      <c r="FW1694" s="8"/>
      <c r="FX1694" s="8"/>
      <c r="FY1694" s="8"/>
      <c r="FZ1694" s="8"/>
      <c r="GA1694" s="8"/>
      <c r="GB1694" s="8"/>
      <c r="GC1694" s="8"/>
      <c r="GD1694" s="8"/>
      <c r="GE1694" s="8"/>
      <c r="GF1694" s="8"/>
      <c r="GG1694" s="8"/>
      <c r="GH1694" s="8"/>
      <c r="GI1694" s="8"/>
      <c r="GJ1694" s="8"/>
      <c r="GK1694" s="8"/>
      <c r="GL1694" s="8"/>
      <c r="GM1694" s="8"/>
      <c r="GN1694" s="8"/>
      <c r="GO1694" s="8"/>
      <c r="GP1694" s="8"/>
      <c r="GQ1694" s="8"/>
      <c r="GR1694" s="8"/>
      <c r="GS1694" s="8"/>
      <c r="GT1694" s="8"/>
      <c r="GU1694" s="8"/>
      <c r="GV1694" s="8"/>
      <c r="GW1694" s="8"/>
      <c r="GX1694" s="8"/>
    </row>
    <row r="1695">
      <c r="A1695" s="8" t="str">
        <f>IFERROR(__xludf.DUMMYFUNCTION("""COMPUTED_VALUE"""),"131969120090600750")</f>
        <v>131969120090600750</v>
      </c>
      <c r="B1695" s="9" t="str">
        <f>IFERROR(__xludf.DUMMYFUNCTION("""COMPUTED_VALUE"""),"France")</f>
        <v>France</v>
      </c>
      <c r="C1695" s="9" t="str">
        <f>IFERROR(__xludf.DUMMYFUNCTION("""COMPUTED_VALUE"""),"champagne")</f>
        <v>champagne</v>
      </c>
      <c r="D1695" s="9" t="str">
        <f>IFERROR(__xludf.DUMMYFUNCTION("""COMPUTED_VALUE"""),"Louis Roederer (Starck), Brut Nature")</f>
        <v>Louis Roederer (Starck), Brut Nature</v>
      </c>
      <c r="E1695" s="9">
        <f>IFERROR(__xludf.DUMMYFUNCTION("""COMPUTED_VALUE"""),2009.0)</f>
        <v>2009</v>
      </c>
      <c r="F1695" s="9">
        <f>IFERROR(__xludf.DUMMYFUNCTION("""COMPUTED_VALUE"""),750.0)</f>
        <v>750</v>
      </c>
      <c r="G1695" s="9">
        <f>IFERROR(__xludf.DUMMYFUNCTION("""COMPUTED_VALUE"""),6.0)</f>
        <v>6</v>
      </c>
      <c r="H1695" s="10">
        <f>IFERROR(__xludf.DUMMYFUNCTION("""COMPUTED_VALUE"""),1.0)</f>
        <v>1</v>
      </c>
      <c r="I1695" s="11">
        <f>IFERROR(__xludf.DUMMYFUNCTION("""COMPUTED_VALUE"""),414.0)</f>
        <v>414</v>
      </c>
      <c r="J1695" s="9" t="str">
        <f>IFERROR(__xludf.DUMMYFUNCTION("""COMPUTED_VALUE"""),"UK")</f>
        <v>UK</v>
      </c>
      <c r="K1695" s="8"/>
      <c r="L1695" s="12"/>
      <c r="M1695" s="13"/>
      <c r="N1695" s="13" t="str">
        <f>IFERROR(__xludf.DUMMYFUNCTION("IF(ISBLANK(M1695),"""",M1695*GOOGLEFINANCE(""USDGBP""))"),"")</f>
        <v/>
      </c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8"/>
      <c r="FV1695" s="8"/>
      <c r="FW1695" s="8"/>
      <c r="FX1695" s="8"/>
      <c r="FY1695" s="8"/>
      <c r="FZ1695" s="8"/>
      <c r="GA1695" s="8"/>
      <c r="GB1695" s="8"/>
      <c r="GC1695" s="8"/>
      <c r="GD1695" s="8"/>
      <c r="GE1695" s="8"/>
      <c r="GF1695" s="8"/>
      <c r="GG1695" s="8"/>
      <c r="GH1695" s="8"/>
      <c r="GI1695" s="8"/>
      <c r="GJ1695" s="8"/>
      <c r="GK1695" s="8"/>
      <c r="GL1695" s="8"/>
      <c r="GM1695" s="8"/>
      <c r="GN1695" s="8"/>
      <c r="GO1695" s="8"/>
      <c r="GP1695" s="8"/>
      <c r="GQ1695" s="8"/>
      <c r="GR1695" s="8"/>
      <c r="GS1695" s="8"/>
      <c r="GT1695" s="8"/>
      <c r="GU1695" s="8"/>
      <c r="GV1695" s="8"/>
      <c r="GW1695" s="8"/>
      <c r="GX1695" s="8"/>
    </row>
    <row r="1696">
      <c r="A1696" s="8" t="str">
        <f>IFERROR(__xludf.DUMMYFUNCTION("""COMPUTED_VALUE"""),"108254220000600750")</f>
        <v>108254220000600750</v>
      </c>
      <c r="B1696" s="9" t="str">
        <f>IFERROR(__xludf.DUMMYFUNCTION("""COMPUTED_VALUE"""),"France")</f>
        <v>France</v>
      </c>
      <c r="C1696" s="9" t="str">
        <f>IFERROR(__xludf.DUMMYFUNCTION("""COMPUTED_VALUE"""),"champagne")</f>
        <v>champagne</v>
      </c>
      <c r="D1696" s="9" t="str">
        <f>IFERROR(__xludf.DUMMYFUNCTION("""COMPUTED_VALUE"""),"Louis Roederer, Cristal")</f>
        <v>Louis Roederer, Cristal</v>
      </c>
      <c r="E1696" s="9">
        <f>IFERROR(__xludf.DUMMYFUNCTION("""COMPUTED_VALUE"""),2000.0)</f>
        <v>2000</v>
      </c>
      <c r="F1696" s="9">
        <f>IFERROR(__xludf.DUMMYFUNCTION("""COMPUTED_VALUE"""),750.0)</f>
        <v>750</v>
      </c>
      <c r="G1696" s="9">
        <f>IFERROR(__xludf.DUMMYFUNCTION("""COMPUTED_VALUE"""),6.0)</f>
        <v>6</v>
      </c>
      <c r="H1696" s="10">
        <f>IFERROR(__xludf.DUMMYFUNCTION("""COMPUTED_VALUE"""),1.0)</f>
        <v>1</v>
      </c>
      <c r="I1696" s="11">
        <f>IFERROR(__xludf.DUMMYFUNCTION("""COMPUTED_VALUE"""),1786.0)</f>
        <v>1786</v>
      </c>
      <c r="J1696" s="9" t="str">
        <f>IFERROR(__xludf.DUMMYFUNCTION("""COMPUTED_VALUE"""),"UK")</f>
        <v>UK</v>
      </c>
      <c r="K1696" s="8"/>
      <c r="L1696" s="12"/>
      <c r="M1696" s="13"/>
      <c r="N1696" s="13" t="str">
        <f>IFERROR(__xludf.DUMMYFUNCTION("IF(ISBLANK(M1696),"""",M1696*GOOGLEFINANCE(""USDGBP""))"),"")</f>
        <v/>
      </c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8"/>
      <c r="FV1696" s="8"/>
      <c r="FW1696" s="8"/>
      <c r="FX1696" s="8"/>
      <c r="FY1696" s="8"/>
      <c r="FZ1696" s="8"/>
      <c r="GA1696" s="8"/>
      <c r="GB1696" s="8"/>
      <c r="GC1696" s="8"/>
      <c r="GD1696" s="8"/>
      <c r="GE1696" s="8"/>
      <c r="GF1696" s="8"/>
      <c r="GG1696" s="8"/>
      <c r="GH1696" s="8"/>
      <c r="GI1696" s="8"/>
      <c r="GJ1696" s="8"/>
      <c r="GK1696" s="8"/>
      <c r="GL1696" s="8"/>
      <c r="GM1696" s="8"/>
      <c r="GN1696" s="8"/>
      <c r="GO1696" s="8"/>
      <c r="GP1696" s="8"/>
      <c r="GQ1696" s="8"/>
      <c r="GR1696" s="8"/>
      <c r="GS1696" s="8"/>
      <c r="GT1696" s="8"/>
      <c r="GU1696" s="8"/>
      <c r="GV1696" s="8"/>
      <c r="GW1696" s="8"/>
      <c r="GX1696" s="8"/>
    </row>
    <row r="1697">
      <c r="A1697" s="8" t="str">
        <f>IFERROR(__xludf.DUMMYFUNCTION("""COMPUTED_VALUE"""),"108254220050300750")</f>
        <v>108254220050300750</v>
      </c>
      <c r="B1697" s="9" t="str">
        <f>IFERROR(__xludf.DUMMYFUNCTION("""COMPUTED_VALUE"""),"France")</f>
        <v>France</v>
      </c>
      <c r="C1697" s="9" t="str">
        <f>IFERROR(__xludf.DUMMYFUNCTION("""COMPUTED_VALUE"""),"champagne")</f>
        <v>champagne</v>
      </c>
      <c r="D1697" s="9" t="str">
        <f>IFERROR(__xludf.DUMMYFUNCTION("""COMPUTED_VALUE"""),"Louis Roederer, Cristal")</f>
        <v>Louis Roederer, Cristal</v>
      </c>
      <c r="E1697" s="9">
        <f>IFERROR(__xludf.DUMMYFUNCTION("""COMPUTED_VALUE"""),2005.0)</f>
        <v>2005</v>
      </c>
      <c r="F1697" s="9">
        <f>IFERROR(__xludf.DUMMYFUNCTION("""COMPUTED_VALUE"""),750.0)</f>
        <v>750</v>
      </c>
      <c r="G1697" s="9">
        <f>IFERROR(__xludf.DUMMYFUNCTION("""COMPUTED_VALUE"""),3.0)</f>
        <v>3</v>
      </c>
      <c r="H1697" s="10">
        <f>IFERROR(__xludf.DUMMYFUNCTION("""COMPUTED_VALUE"""),1.0)</f>
        <v>1</v>
      </c>
      <c r="I1697" s="11">
        <f>IFERROR(__xludf.DUMMYFUNCTION("""COMPUTED_VALUE"""),666.0)</f>
        <v>666</v>
      </c>
      <c r="J1697" s="9" t="str">
        <f>IFERROR(__xludf.DUMMYFUNCTION("""COMPUTED_VALUE"""),"UK")</f>
        <v>UK</v>
      </c>
      <c r="K1697" s="8"/>
      <c r="L1697" s="12"/>
      <c r="M1697" s="13"/>
      <c r="N1697" s="13" t="str">
        <f>IFERROR(__xludf.DUMMYFUNCTION("IF(ISBLANK(M1697),"""",M1697*GOOGLEFINANCE(""USDGBP""))"),"")</f>
        <v/>
      </c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8"/>
      <c r="FV1697" s="8"/>
      <c r="FW1697" s="8"/>
      <c r="FX1697" s="8"/>
      <c r="FY1697" s="8"/>
      <c r="FZ1697" s="8"/>
      <c r="GA1697" s="8"/>
      <c r="GB1697" s="8"/>
      <c r="GC1697" s="8"/>
      <c r="GD1697" s="8"/>
      <c r="GE1697" s="8"/>
      <c r="GF1697" s="8"/>
      <c r="GG1697" s="8"/>
      <c r="GH1697" s="8"/>
      <c r="GI1697" s="8"/>
      <c r="GJ1697" s="8"/>
      <c r="GK1697" s="8"/>
      <c r="GL1697" s="8"/>
      <c r="GM1697" s="8"/>
      <c r="GN1697" s="8"/>
      <c r="GO1697" s="8"/>
      <c r="GP1697" s="8"/>
      <c r="GQ1697" s="8"/>
      <c r="GR1697" s="8"/>
      <c r="GS1697" s="8"/>
      <c r="GT1697" s="8"/>
      <c r="GU1697" s="8"/>
      <c r="GV1697" s="8"/>
      <c r="GW1697" s="8"/>
      <c r="GX1697" s="8"/>
    </row>
    <row r="1698">
      <c r="A1698" s="8" t="str">
        <f>IFERROR(__xludf.DUMMYFUNCTION("""COMPUTED_VALUE"""),"108254220050600750")</f>
        <v>108254220050600750</v>
      </c>
      <c r="B1698" s="9" t="str">
        <f>IFERROR(__xludf.DUMMYFUNCTION("""COMPUTED_VALUE"""),"France")</f>
        <v>France</v>
      </c>
      <c r="C1698" s="9" t="str">
        <f>IFERROR(__xludf.DUMMYFUNCTION("""COMPUTED_VALUE"""),"champagne")</f>
        <v>champagne</v>
      </c>
      <c r="D1698" s="9" t="str">
        <f>IFERROR(__xludf.DUMMYFUNCTION("""COMPUTED_VALUE"""),"Louis Roederer, Cristal")</f>
        <v>Louis Roederer, Cristal</v>
      </c>
      <c r="E1698" s="9">
        <f>IFERROR(__xludf.DUMMYFUNCTION("""COMPUTED_VALUE"""),2005.0)</f>
        <v>2005</v>
      </c>
      <c r="F1698" s="9">
        <f>IFERROR(__xludf.DUMMYFUNCTION("""COMPUTED_VALUE"""),750.0)</f>
        <v>750</v>
      </c>
      <c r="G1698" s="9">
        <f>IFERROR(__xludf.DUMMYFUNCTION("""COMPUTED_VALUE"""),6.0)</f>
        <v>6</v>
      </c>
      <c r="H1698" s="10">
        <f>IFERROR(__xludf.DUMMYFUNCTION("""COMPUTED_VALUE"""),2.0)</f>
        <v>2</v>
      </c>
      <c r="I1698" s="11">
        <f>IFERROR(__xludf.DUMMYFUNCTION("""COMPUTED_VALUE"""),1331.0)</f>
        <v>1331</v>
      </c>
      <c r="J1698" s="9" t="str">
        <f>IFERROR(__xludf.DUMMYFUNCTION("""COMPUTED_VALUE"""),"UK")</f>
        <v>UK</v>
      </c>
      <c r="K1698" s="8"/>
      <c r="L1698" s="12"/>
      <c r="M1698" s="13"/>
      <c r="N1698" s="13" t="str">
        <f>IFERROR(__xludf.DUMMYFUNCTION("IF(ISBLANK(M1698),"""",M1698*GOOGLEFINANCE(""USDGBP""))"),"")</f>
        <v/>
      </c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  <c r="GA1698" s="8"/>
      <c r="GB1698" s="8"/>
      <c r="GC1698" s="8"/>
      <c r="GD1698" s="8"/>
      <c r="GE1698" s="8"/>
      <c r="GF1698" s="8"/>
      <c r="GG1698" s="8"/>
      <c r="GH1698" s="8"/>
      <c r="GI1698" s="8"/>
      <c r="GJ1698" s="8"/>
      <c r="GK1698" s="8"/>
      <c r="GL1698" s="8"/>
      <c r="GM1698" s="8"/>
      <c r="GN1698" s="8"/>
      <c r="GO1698" s="8"/>
      <c r="GP1698" s="8"/>
      <c r="GQ1698" s="8"/>
      <c r="GR1698" s="8"/>
      <c r="GS1698" s="8"/>
      <c r="GT1698" s="8"/>
      <c r="GU1698" s="8"/>
      <c r="GV1698" s="8"/>
      <c r="GW1698" s="8"/>
      <c r="GX1698" s="8"/>
    </row>
    <row r="1699">
      <c r="A1699" s="8" t="str">
        <f>IFERROR(__xludf.DUMMYFUNCTION("""COMPUTED_VALUE"""),"108254220070600750")</f>
        <v>108254220070600750</v>
      </c>
      <c r="B1699" s="9" t="str">
        <f>IFERROR(__xludf.DUMMYFUNCTION("""COMPUTED_VALUE"""),"France")</f>
        <v>France</v>
      </c>
      <c r="C1699" s="9" t="str">
        <f>IFERROR(__xludf.DUMMYFUNCTION("""COMPUTED_VALUE"""),"champagne")</f>
        <v>champagne</v>
      </c>
      <c r="D1699" s="9" t="str">
        <f>IFERROR(__xludf.DUMMYFUNCTION("""COMPUTED_VALUE"""),"Louis Roederer, Cristal")</f>
        <v>Louis Roederer, Cristal</v>
      </c>
      <c r="E1699" s="9">
        <f>IFERROR(__xludf.DUMMYFUNCTION("""COMPUTED_VALUE"""),2007.0)</f>
        <v>2007</v>
      </c>
      <c r="F1699" s="9">
        <f>IFERROR(__xludf.DUMMYFUNCTION("""COMPUTED_VALUE"""),750.0)</f>
        <v>750</v>
      </c>
      <c r="G1699" s="9">
        <f>IFERROR(__xludf.DUMMYFUNCTION("""COMPUTED_VALUE"""),6.0)</f>
        <v>6</v>
      </c>
      <c r="H1699" s="10">
        <f>IFERROR(__xludf.DUMMYFUNCTION("""COMPUTED_VALUE"""),1.0)</f>
        <v>1</v>
      </c>
      <c r="I1699" s="11">
        <f>IFERROR(__xludf.DUMMYFUNCTION("""COMPUTED_VALUE"""),1265.0)</f>
        <v>1265</v>
      </c>
      <c r="J1699" s="9" t="str">
        <f>IFERROR(__xludf.DUMMYFUNCTION("""COMPUTED_VALUE"""),"UK")</f>
        <v>UK</v>
      </c>
      <c r="K1699" s="8"/>
      <c r="L1699" s="12"/>
      <c r="M1699" s="13"/>
      <c r="N1699" s="13" t="str">
        <f>IFERROR(__xludf.DUMMYFUNCTION("IF(ISBLANK(M1699),"""",M1699*GOOGLEFINANCE(""USDGBP""))"),"")</f>
        <v/>
      </c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  <c r="GA1699" s="8"/>
      <c r="GB1699" s="8"/>
      <c r="GC1699" s="8"/>
      <c r="GD1699" s="8"/>
      <c r="GE1699" s="8"/>
      <c r="GF1699" s="8"/>
      <c r="GG1699" s="8"/>
      <c r="GH1699" s="8"/>
      <c r="GI1699" s="8"/>
      <c r="GJ1699" s="8"/>
      <c r="GK1699" s="8"/>
      <c r="GL1699" s="8"/>
      <c r="GM1699" s="8"/>
      <c r="GN1699" s="8"/>
      <c r="GO1699" s="8"/>
      <c r="GP1699" s="8"/>
      <c r="GQ1699" s="8"/>
      <c r="GR1699" s="8"/>
      <c r="GS1699" s="8"/>
      <c r="GT1699" s="8"/>
      <c r="GU1699" s="8"/>
      <c r="GV1699" s="8"/>
      <c r="GW1699" s="8"/>
      <c r="GX1699" s="8"/>
    </row>
    <row r="1700">
      <c r="A1700" s="8" t="str">
        <f>IFERROR(__xludf.DUMMYFUNCTION("""COMPUTED_VALUE"""),"108254220080600750")</f>
        <v>108254220080600750</v>
      </c>
      <c r="B1700" s="9" t="str">
        <f>IFERROR(__xludf.DUMMYFUNCTION("""COMPUTED_VALUE"""),"France")</f>
        <v>France</v>
      </c>
      <c r="C1700" s="9" t="str">
        <f>IFERROR(__xludf.DUMMYFUNCTION("""COMPUTED_VALUE"""),"champagne")</f>
        <v>champagne</v>
      </c>
      <c r="D1700" s="9" t="str">
        <f>IFERROR(__xludf.DUMMYFUNCTION("""COMPUTED_VALUE"""),"Louis Roederer, Cristal")</f>
        <v>Louis Roederer, Cristal</v>
      </c>
      <c r="E1700" s="9">
        <f>IFERROR(__xludf.DUMMYFUNCTION("""COMPUTED_VALUE"""),2008.0)</f>
        <v>2008</v>
      </c>
      <c r="F1700" s="9">
        <f>IFERROR(__xludf.DUMMYFUNCTION("""COMPUTED_VALUE"""),750.0)</f>
        <v>750</v>
      </c>
      <c r="G1700" s="9">
        <f>IFERROR(__xludf.DUMMYFUNCTION("""COMPUTED_VALUE"""),6.0)</f>
        <v>6</v>
      </c>
      <c r="H1700" s="10">
        <f>IFERROR(__xludf.DUMMYFUNCTION("""COMPUTED_VALUE"""),14.0)</f>
        <v>14</v>
      </c>
      <c r="I1700" s="11">
        <f>IFERROR(__xludf.DUMMYFUNCTION("""COMPUTED_VALUE"""),1517.0)</f>
        <v>1517</v>
      </c>
      <c r="J1700" s="9" t="str">
        <f>IFERROR(__xludf.DUMMYFUNCTION("""COMPUTED_VALUE"""),"UK")</f>
        <v>UK</v>
      </c>
      <c r="K1700" s="8"/>
      <c r="L1700" s="12"/>
      <c r="M1700" s="13"/>
      <c r="N1700" s="13" t="str">
        <f>IFERROR(__xludf.DUMMYFUNCTION("IF(ISBLANK(M1700),"""",M1700*GOOGLEFINANCE(""USDGBP""))"),"")</f>
        <v/>
      </c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  <c r="GA1700" s="8"/>
      <c r="GB1700" s="8"/>
      <c r="GC1700" s="8"/>
      <c r="GD1700" s="8"/>
      <c r="GE1700" s="8"/>
      <c r="GF1700" s="8"/>
      <c r="GG1700" s="8"/>
      <c r="GH1700" s="8"/>
      <c r="GI1700" s="8"/>
      <c r="GJ1700" s="8"/>
      <c r="GK1700" s="8"/>
      <c r="GL1700" s="8"/>
      <c r="GM1700" s="8"/>
      <c r="GN1700" s="8"/>
      <c r="GO1700" s="8"/>
      <c r="GP1700" s="8"/>
      <c r="GQ1700" s="8"/>
      <c r="GR1700" s="8"/>
      <c r="GS1700" s="8"/>
      <c r="GT1700" s="8"/>
      <c r="GU1700" s="8"/>
      <c r="GV1700" s="8"/>
      <c r="GW1700" s="8"/>
      <c r="GX1700" s="8"/>
    </row>
    <row r="1701">
      <c r="A1701" s="8" t="str">
        <f>IFERROR(__xludf.DUMMYFUNCTION("""COMPUTED_VALUE"""),"108254220130300750")</f>
        <v>108254220130300750</v>
      </c>
      <c r="B1701" s="9" t="str">
        <f>IFERROR(__xludf.DUMMYFUNCTION("""COMPUTED_VALUE"""),"France")</f>
        <v>France</v>
      </c>
      <c r="C1701" s="9" t="str">
        <f>IFERROR(__xludf.DUMMYFUNCTION("""COMPUTED_VALUE"""),"champagne")</f>
        <v>champagne</v>
      </c>
      <c r="D1701" s="9" t="str">
        <f>IFERROR(__xludf.DUMMYFUNCTION("""COMPUTED_VALUE"""),"Louis Roederer, Cristal")</f>
        <v>Louis Roederer, Cristal</v>
      </c>
      <c r="E1701" s="9">
        <f>IFERROR(__xludf.DUMMYFUNCTION("""COMPUTED_VALUE"""),2013.0)</f>
        <v>2013</v>
      </c>
      <c r="F1701" s="9">
        <f>IFERROR(__xludf.DUMMYFUNCTION("""COMPUTED_VALUE"""),750.0)</f>
        <v>750</v>
      </c>
      <c r="G1701" s="9">
        <f>IFERROR(__xludf.DUMMYFUNCTION("""COMPUTED_VALUE"""),3.0)</f>
        <v>3</v>
      </c>
      <c r="H1701" s="10">
        <f>IFERROR(__xludf.DUMMYFUNCTION("""COMPUTED_VALUE"""),2.0)</f>
        <v>2</v>
      </c>
      <c r="I1701" s="11">
        <f>IFERROR(__xludf.DUMMYFUNCTION("""COMPUTED_VALUE"""),630.0)</f>
        <v>630</v>
      </c>
      <c r="J1701" s="9" t="str">
        <f>IFERROR(__xludf.DUMMYFUNCTION("""COMPUTED_VALUE"""),"UK")</f>
        <v>UK</v>
      </c>
      <c r="K1701" s="8"/>
      <c r="L1701" s="12"/>
      <c r="M1701" s="13"/>
      <c r="N1701" s="13" t="str">
        <f>IFERROR(__xludf.DUMMYFUNCTION("IF(ISBLANK(M1701),"""",M1701*GOOGLEFINANCE(""USDGBP""))"),"")</f>
        <v/>
      </c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8"/>
      <c r="FV1701" s="8"/>
      <c r="FW1701" s="8"/>
      <c r="FX1701" s="8"/>
      <c r="FY1701" s="8"/>
      <c r="FZ1701" s="8"/>
      <c r="GA1701" s="8"/>
      <c r="GB1701" s="8"/>
      <c r="GC1701" s="8"/>
      <c r="GD1701" s="8"/>
      <c r="GE1701" s="8"/>
      <c r="GF1701" s="8"/>
      <c r="GG1701" s="8"/>
      <c r="GH1701" s="8"/>
      <c r="GI1701" s="8"/>
      <c r="GJ1701" s="8"/>
      <c r="GK1701" s="8"/>
      <c r="GL1701" s="8"/>
      <c r="GM1701" s="8"/>
      <c r="GN1701" s="8"/>
      <c r="GO1701" s="8"/>
      <c r="GP1701" s="8"/>
      <c r="GQ1701" s="8"/>
      <c r="GR1701" s="8"/>
      <c r="GS1701" s="8"/>
      <c r="GT1701" s="8"/>
      <c r="GU1701" s="8"/>
      <c r="GV1701" s="8"/>
      <c r="GW1701" s="8"/>
      <c r="GX1701" s="8"/>
    </row>
    <row r="1702">
      <c r="A1702" s="8" t="str">
        <f>IFERROR(__xludf.DUMMYFUNCTION("""COMPUTED_VALUE"""),"108254220150600750")</f>
        <v>108254220150600750</v>
      </c>
      <c r="B1702" s="9" t="str">
        <f>IFERROR(__xludf.DUMMYFUNCTION("""COMPUTED_VALUE"""),"France")</f>
        <v>France</v>
      </c>
      <c r="C1702" s="9" t="str">
        <f>IFERROR(__xludf.DUMMYFUNCTION("""COMPUTED_VALUE"""),"champagne")</f>
        <v>champagne</v>
      </c>
      <c r="D1702" s="9" t="str">
        <f>IFERROR(__xludf.DUMMYFUNCTION("""COMPUTED_VALUE"""),"Louis Roederer, Cristal")</f>
        <v>Louis Roederer, Cristal</v>
      </c>
      <c r="E1702" s="9">
        <f>IFERROR(__xludf.DUMMYFUNCTION("""COMPUTED_VALUE"""),2015.0)</f>
        <v>2015</v>
      </c>
      <c r="F1702" s="9">
        <f>IFERROR(__xludf.DUMMYFUNCTION("""COMPUTED_VALUE"""),750.0)</f>
        <v>750</v>
      </c>
      <c r="G1702" s="9">
        <f>IFERROR(__xludf.DUMMYFUNCTION("""COMPUTED_VALUE"""),6.0)</f>
        <v>6</v>
      </c>
      <c r="H1702" s="10">
        <f>IFERROR(__xludf.DUMMYFUNCTION("""COMPUTED_VALUE"""),4.0)</f>
        <v>4</v>
      </c>
      <c r="I1702" s="11">
        <f>IFERROR(__xludf.DUMMYFUNCTION("""COMPUTED_VALUE"""),1169.0)</f>
        <v>1169</v>
      </c>
      <c r="J1702" s="9" t="str">
        <f>IFERROR(__xludf.DUMMYFUNCTION("""COMPUTED_VALUE"""),"UK")</f>
        <v>UK</v>
      </c>
      <c r="K1702" s="8"/>
      <c r="L1702" s="12"/>
      <c r="M1702" s="13"/>
      <c r="N1702" s="13" t="str">
        <f>IFERROR(__xludf.DUMMYFUNCTION("IF(ISBLANK(M1702),"""",M1702*GOOGLEFINANCE(""USDGBP""))"),"")</f>
        <v/>
      </c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8"/>
      <c r="FV1702" s="8"/>
      <c r="FW1702" s="8"/>
      <c r="FX1702" s="8"/>
      <c r="FY1702" s="8"/>
      <c r="FZ1702" s="8"/>
      <c r="GA1702" s="8"/>
      <c r="GB1702" s="8"/>
      <c r="GC1702" s="8"/>
      <c r="GD1702" s="8"/>
      <c r="GE1702" s="8"/>
      <c r="GF1702" s="8"/>
      <c r="GG1702" s="8"/>
      <c r="GH1702" s="8"/>
      <c r="GI1702" s="8"/>
      <c r="GJ1702" s="8"/>
      <c r="GK1702" s="8"/>
      <c r="GL1702" s="8"/>
      <c r="GM1702" s="8"/>
      <c r="GN1702" s="8"/>
      <c r="GO1702" s="8"/>
      <c r="GP1702" s="8"/>
      <c r="GQ1702" s="8"/>
      <c r="GR1702" s="8"/>
      <c r="GS1702" s="8"/>
      <c r="GT1702" s="8"/>
      <c r="GU1702" s="8"/>
      <c r="GV1702" s="8"/>
      <c r="GW1702" s="8"/>
      <c r="GX1702" s="8"/>
    </row>
    <row r="1703">
      <c r="A1703" s="8" t="str">
        <f>IFERROR(__xludf.DUMMYFUNCTION("""COMPUTED_VALUE"""),"154406220000100750")</f>
        <v>154406220000100750</v>
      </c>
      <c r="B1703" s="9" t="str">
        <f>IFERROR(__xludf.DUMMYFUNCTION("""COMPUTED_VALUE"""),"France")</f>
        <v>France</v>
      </c>
      <c r="C1703" s="9" t="str">
        <f>IFERROR(__xludf.DUMMYFUNCTION("""COMPUTED_VALUE"""),"champagne")</f>
        <v>champagne</v>
      </c>
      <c r="D1703" s="9" t="str">
        <f>IFERROR(__xludf.DUMMYFUNCTION("""COMPUTED_VALUE"""),"Louis Roederer, Cristal Vinotheque Brut")</f>
        <v>Louis Roederer, Cristal Vinotheque Brut</v>
      </c>
      <c r="E1703" s="9">
        <f>IFERROR(__xludf.DUMMYFUNCTION("""COMPUTED_VALUE"""),2000.0)</f>
        <v>2000</v>
      </c>
      <c r="F1703" s="9">
        <f>IFERROR(__xludf.DUMMYFUNCTION("""COMPUTED_VALUE"""),750.0)</f>
        <v>750</v>
      </c>
      <c r="G1703" s="9">
        <f>IFERROR(__xludf.DUMMYFUNCTION("""COMPUTED_VALUE"""),1.0)</f>
        <v>1</v>
      </c>
      <c r="H1703" s="10">
        <f>IFERROR(__xludf.DUMMYFUNCTION("""COMPUTED_VALUE"""),3.0)</f>
        <v>3</v>
      </c>
      <c r="I1703" s="11">
        <f>IFERROR(__xludf.DUMMYFUNCTION("""COMPUTED_VALUE"""),808.0)</f>
        <v>808</v>
      </c>
      <c r="J1703" s="9" t="str">
        <f>IFERROR(__xludf.DUMMYFUNCTION("""COMPUTED_VALUE"""),"UK")</f>
        <v>UK</v>
      </c>
      <c r="K1703" s="8"/>
      <c r="L1703" s="12"/>
      <c r="M1703" s="13"/>
      <c r="N1703" s="13" t="str">
        <f>IFERROR(__xludf.DUMMYFUNCTION("IF(ISBLANK(M1703),"""",M1703*GOOGLEFINANCE(""USDGBP""))"),"")</f>
        <v/>
      </c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8"/>
      <c r="FV1703" s="8"/>
      <c r="FW1703" s="8"/>
      <c r="FX1703" s="8"/>
      <c r="FY1703" s="8"/>
      <c r="FZ1703" s="8"/>
      <c r="GA1703" s="8"/>
      <c r="GB1703" s="8"/>
      <c r="GC1703" s="8"/>
      <c r="GD1703" s="8"/>
      <c r="GE1703" s="8"/>
      <c r="GF1703" s="8"/>
      <c r="GG1703" s="8"/>
      <c r="GH1703" s="8"/>
      <c r="GI1703" s="8"/>
      <c r="GJ1703" s="8"/>
      <c r="GK1703" s="8"/>
      <c r="GL1703" s="8"/>
      <c r="GM1703" s="8"/>
      <c r="GN1703" s="8"/>
      <c r="GO1703" s="8"/>
      <c r="GP1703" s="8"/>
      <c r="GQ1703" s="8"/>
      <c r="GR1703" s="8"/>
      <c r="GS1703" s="8"/>
      <c r="GT1703" s="8"/>
      <c r="GU1703" s="8"/>
      <c r="GV1703" s="8"/>
      <c r="GW1703" s="8"/>
      <c r="GX1703" s="8"/>
    </row>
    <row r="1704">
      <c r="A1704" s="8" t="str">
        <f>IFERROR(__xludf.DUMMYFUNCTION("""COMPUTED_VALUE"""),"154406220000101500")</f>
        <v>154406220000101500</v>
      </c>
      <c r="B1704" s="9" t="str">
        <f>IFERROR(__xludf.DUMMYFUNCTION("""COMPUTED_VALUE"""),"France")</f>
        <v>France</v>
      </c>
      <c r="C1704" s="9" t="str">
        <f>IFERROR(__xludf.DUMMYFUNCTION("""COMPUTED_VALUE"""),"champagne")</f>
        <v>champagne</v>
      </c>
      <c r="D1704" s="9" t="str">
        <f>IFERROR(__xludf.DUMMYFUNCTION("""COMPUTED_VALUE"""),"Louis Roederer, Cristal Vinotheque Brut")</f>
        <v>Louis Roederer, Cristal Vinotheque Brut</v>
      </c>
      <c r="E1704" s="9">
        <f>IFERROR(__xludf.DUMMYFUNCTION("""COMPUTED_VALUE"""),2000.0)</f>
        <v>2000</v>
      </c>
      <c r="F1704" s="9">
        <f>IFERROR(__xludf.DUMMYFUNCTION("""COMPUTED_VALUE"""),1500.0)</f>
        <v>1500</v>
      </c>
      <c r="G1704" s="9">
        <f>IFERROR(__xludf.DUMMYFUNCTION("""COMPUTED_VALUE"""),1.0)</f>
        <v>1</v>
      </c>
      <c r="H1704" s="10">
        <f>IFERROR(__xludf.DUMMYFUNCTION("""COMPUTED_VALUE"""),1.0)</f>
        <v>1</v>
      </c>
      <c r="I1704" s="11">
        <f>IFERROR(__xludf.DUMMYFUNCTION("""COMPUTED_VALUE"""),1615.0)</f>
        <v>1615</v>
      </c>
      <c r="J1704" s="9" t="str">
        <f>IFERROR(__xludf.DUMMYFUNCTION("""COMPUTED_VALUE"""),"UK")</f>
        <v>UK</v>
      </c>
      <c r="K1704" s="8"/>
      <c r="L1704" s="12"/>
      <c r="M1704" s="13"/>
      <c r="N1704" s="13" t="str">
        <f>IFERROR(__xludf.DUMMYFUNCTION("IF(ISBLANK(M1704),"""",M1704*GOOGLEFINANCE(""USDGBP""))"),"")</f>
        <v/>
      </c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8"/>
      <c r="FV1704" s="8"/>
      <c r="FW1704" s="8"/>
      <c r="FX1704" s="8"/>
      <c r="FY1704" s="8"/>
      <c r="FZ1704" s="8"/>
      <c r="GA1704" s="8"/>
      <c r="GB1704" s="8"/>
      <c r="GC1704" s="8"/>
      <c r="GD1704" s="8"/>
      <c r="GE1704" s="8"/>
      <c r="GF1704" s="8"/>
      <c r="GG1704" s="8"/>
      <c r="GH1704" s="8"/>
      <c r="GI1704" s="8"/>
      <c r="GJ1704" s="8"/>
      <c r="GK1704" s="8"/>
      <c r="GL1704" s="8"/>
      <c r="GM1704" s="8"/>
      <c r="GN1704" s="8"/>
      <c r="GO1704" s="8"/>
      <c r="GP1704" s="8"/>
      <c r="GQ1704" s="8"/>
      <c r="GR1704" s="8"/>
      <c r="GS1704" s="8"/>
      <c r="GT1704" s="8"/>
      <c r="GU1704" s="8"/>
      <c r="GV1704" s="8"/>
      <c r="GW1704" s="8"/>
      <c r="GX1704" s="8"/>
    </row>
    <row r="1705">
      <c r="A1705" s="8" t="str">
        <f>IFERROR(__xludf.DUMMYFUNCTION("""COMPUTED_VALUE"""),"124100420130600750")</f>
        <v>124100420130600750</v>
      </c>
      <c r="B1705" s="9" t="str">
        <f>IFERROR(__xludf.DUMMYFUNCTION("""COMPUTED_VALUE"""),"France")</f>
        <v>France</v>
      </c>
      <c r="C1705" s="9" t="str">
        <f>IFERROR(__xludf.DUMMYFUNCTION("""COMPUTED_VALUE"""),"champagne")</f>
        <v>champagne</v>
      </c>
      <c r="D1705" s="9" t="str">
        <f>IFERROR(__xludf.DUMMYFUNCTION("""COMPUTED_VALUE"""),"Louis Roederer, Vintage Brut")</f>
        <v>Louis Roederer, Vintage Brut</v>
      </c>
      <c r="E1705" s="9">
        <f>IFERROR(__xludf.DUMMYFUNCTION("""COMPUTED_VALUE"""),2013.0)</f>
        <v>2013</v>
      </c>
      <c r="F1705" s="9">
        <f>IFERROR(__xludf.DUMMYFUNCTION("""COMPUTED_VALUE"""),750.0)</f>
        <v>750</v>
      </c>
      <c r="G1705" s="9">
        <f>IFERROR(__xludf.DUMMYFUNCTION("""COMPUTED_VALUE"""),6.0)</f>
        <v>6</v>
      </c>
      <c r="H1705" s="10">
        <f>IFERROR(__xludf.DUMMYFUNCTION("""COMPUTED_VALUE"""),4.0)</f>
        <v>4</v>
      </c>
      <c r="I1705" s="11">
        <f>IFERROR(__xludf.DUMMYFUNCTION("""COMPUTED_VALUE"""),546.0)</f>
        <v>546</v>
      </c>
      <c r="J1705" s="9" t="str">
        <f>IFERROR(__xludf.DUMMYFUNCTION("""COMPUTED_VALUE"""),"UK")</f>
        <v>UK</v>
      </c>
      <c r="K1705" s="8"/>
      <c r="L1705" s="12"/>
      <c r="M1705" s="13"/>
      <c r="N1705" s="13" t="str">
        <f>IFERROR(__xludf.DUMMYFUNCTION("IF(ISBLANK(M1705),"""",M1705*GOOGLEFINANCE(""USDGBP""))"),"")</f>
        <v/>
      </c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  <c r="GA1705" s="8"/>
      <c r="GB1705" s="8"/>
      <c r="GC1705" s="8"/>
      <c r="GD1705" s="8"/>
      <c r="GE1705" s="8"/>
      <c r="GF1705" s="8"/>
      <c r="GG1705" s="8"/>
      <c r="GH1705" s="8"/>
      <c r="GI1705" s="8"/>
      <c r="GJ1705" s="8"/>
      <c r="GK1705" s="8"/>
      <c r="GL1705" s="8"/>
      <c r="GM1705" s="8"/>
      <c r="GN1705" s="8"/>
      <c r="GO1705" s="8"/>
      <c r="GP1705" s="8"/>
      <c r="GQ1705" s="8"/>
      <c r="GR1705" s="8"/>
      <c r="GS1705" s="8"/>
      <c r="GT1705" s="8"/>
      <c r="GU1705" s="8"/>
      <c r="GV1705" s="8"/>
      <c r="GW1705" s="8"/>
      <c r="GX1705" s="8"/>
    </row>
    <row r="1706">
      <c r="A1706" s="8" t="str">
        <f>IFERROR(__xludf.DUMMYFUNCTION("""COMPUTED_VALUE"""),"124100420140600750")</f>
        <v>124100420140600750</v>
      </c>
      <c r="B1706" s="9" t="str">
        <f>IFERROR(__xludf.DUMMYFUNCTION("""COMPUTED_VALUE"""),"France")</f>
        <v>France</v>
      </c>
      <c r="C1706" s="9" t="str">
        <f>IFERROR(__xludf.DUMMYFUNCTION("""COMPUTED_VALUE"""),"champagne")</f>
        <v>champagne</v>
      </c>
      <c r="D1706" s="9" t="str">
        <f>IFERROR(__xludf.DUMMYFUNCTION("""COMPUTED_VALUE"""),"Louis Roederer, Vintage Brut")</f>
        <v>Louis Roederer, Vintage Brut</v>
      </c>
      <c r="E1706" s="9">
        <f>IFERROR(__xludf.DUMMYFUNCTION("""COMPUTED_VALUE"""),2014.0)</f>
        <v>2014</v>
      </c>
      <c r="F1706" s="9">
        <f>IFERROR(__xludf.DUMMYFUNCTION("""COMPUTED_VALUE"""),750.0)</f>
        <v>750</v>
      </c>
      <c r="G1706" s="9">
        <f>IFERROR(__xludf.DUMMYFUNCTION("""COMPUTED_VALUE"""),6.0)</f>
        <v>6</v>
      </c>
      <c r="H1706" s="10">
        <f>IFERROR(__xludf.DUMMYFUNCTION("""COMPUTED_VALUE"""),5.0)</f>
        <v>5</v>
      </c>
      <c r="I1706" s="11">
        <f>IFERROR(__xludf.DUMMYFUNCTION("""COMPUTED_VALUE"""),317.0)</f>
        <v>317</v>
      </c>
      <c r="J1706" s="9" t="str">
        <f>IFERROR(__xludf.DUMMYFUNCTION("""COMPUTED_VALUE"""),"UK")</f>
        <v>UK</v>
      </c>
      <c r="K1706" s="8"/>
      <c r="L1706" s="12"/>
      <c r="M1706" s="13"/>
      <c r="N1706" s="13" t="str">
        <f>IFERROR(__xludf.DUMMYFUNCTION("IF(ISBLANK(M1706),"""",M1706*GOOGLEFINANCE(""USDGBP""))"),"")</f>
        <v/>
      </c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8"/>
      <c r="FV1706" s="8"/>
      <c r="FW1706" s="8"/>
      <c r="FX1706" s="8"/>
      <c r="FY1706" s="8"/>
      <c r="FZ1706" s="8"/>
      <c r="GA1706" s="8"/>
      <c r="GB1706" s="8"/>
      <c r="GC1706" s="8"/>
      <c r="GD1706" s="8"/>
      <c r="GE1706" s="8"/>
      <c r="GF1706" s="8"/>
      <c r="GG1706" s="8"/>
      <c r="GH1706" s="8"/>
      <c r="GI1706" s="8"/>
      <c r="GJ1706" s="8"/>
      <c r="GK1706" s="8"/>
      <c r="GL1706" s="8"/>
      <c r="GM1706" s="8"/>
      <c r="GN1706" s="8"/>
      <c r="GO1706" s="8"/>
      <c r="GP1706" s="8"/>
      <c r="GQ1706" s="8"/>
      <c r="GR1706" s="8"/>
      <c r="GS1706" s="8"/>
      <c r="GT1706" s="8"/>
      <c r="GU1706" s="8"/>
      <c r="GV1706" s="8"/>
      <c r="GW1706" s="8"/>
      <c r="GX1706" s="8"/>
    </row>
    <row r="1707">
      <c r="A1707" s="8" t="str">
        <f>IFERROR(__xludf.DUMMYFUNCTION("""COMPUTED_VALUE"""),"131177020040600750")</f>
        <v>131177020040600750</v>
      </c>
      <c r="B1707" s="9" t="str">
        <f>IFERROR(__xludf.DUMMYFUNCTION("""COMPUTED_VALUE"""),"France")</f>
        <v>France</v>
      </c>
      <c r="C1707" s="9" t="str">
        <f>IFERROR(__xludf.DUMMYFUNCTION("""COMPUTED_VALUE"""),"champagne")</f>
        <v>champagne</v>
      </c>
      <c r="D1707" s="9" t="str">
        <f>IFERROR(__xludf.DUMMYFUNCTION("""COMPUTED_VALUE"""),"Philipponnat, Clos des Goisses")</f>
        <v>Philipponnat, Clos des Goisses</v>
      </c>
      <c r="E1707" s="9">
        <f>IFERROR(__xludf.DUMMYFUNCTION("""COMPUTED_VALUE"""),2004.0)</f>
        <v>2004</v>
      </c>
      <c r="F1707" s="9">
        <f>IFERROR(__xludf.DUMMYFUNCTION("""COMPUTED_VALUE"""),750.0)</f>
        <v>750</v>
      </c>
      <c r="G1707" s="9">
        <f>IFERROR(__xludf.DUMMYFUNCTION("""COMPUTED_VALUE"""),6.0)</f>
        <v>6</v>
      </c>
      <c r="H1707" s="10">
        <f>IFERROR(__xludf.DUMMYFUNCTION("""COMPUTED_VALUE"""),3.0)</f>
        <v>3</v>
      </c>
      <c r="I1707" s="11">
        <f>IFERROR(__xludf.DUMMYFUNCTION("""COMPUTED_VALUE"""),1079.0)</f>
        <v>1079</v>
      </c>
      <c r="J1707" s="9" t="str">
        <f>IFERROR(__xludf.DUMMYFUNCTION("""COMPUTED_VALUE"""),"UK")</f>
        <v>UK</v>
      </c>
      <c r="K1707" s="8"/>
      <c r="L1707" s="12"/>
      <c r="M1707" s="13"/>
      <c r="N1707" s="13" t="str">
        <f>IFERROR(__xludf.DUMMYFUNCTION("IF(ISBLANK(M1707),"""",M1707*GOOGLEFINANCE(""USDGBP""))"),"")</f>
        <v/>
      </c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8"/>
      <c r="FV1707" s="8"/>
      <c r="FW1707" s="8"/>
      <c r="FX1707" s="8"/>
      <c r="FY1707" s="8"/>
      <c r="FZ1707" s="8"/>
      <c r="GA1707" s="8"/>
      <c r="GB1707" s="8"/>
      <c r="GC1707" s="8"/>
      <c r="GD1707" s="8"/>
      <c r="GE1707" s="8"/>
      <c r="GF1707" s="8"/>
      <c r="GG1707" s="8"/>
      <c r="GH1707" s="8"/>
      <c r="GI1707" s="8"/>
      <c r="GJ1707" s="8"/>
      <c r="GK1707" s="8"/>
      <c r="GL1707" s="8"/>
      <c r="GM1707" s="8"/>
      <c r="GN1707" s="8"/>
      <c r="GO1707" s="8"/>
      <c r="GP1707" s="8"/>
      <c r="GQ1707" s="8"/>
      <c r="GR1707" s="8"/>
      <c r="GS1707" s="8"/>
      <c r="GT1707" s="8"/>
      <c r="GU1707" s="8"/>
      <c r="GV1707" s="8"/>
      <c r="GW1707" s="8"/>
      <c r="GX1707" s="8"/>
    </row>
    <row r="1708">
      <c r="A1708" s="8" t="str">
        <f>IFERROR(__xludf.DUMMYFUNCTION("""COMPUTED_VALUE"""),"131177020060600750")</f>
        <v>131177020060600750</v>
      </c>
      <c r="B1708" s="9" t="str">
        <f>IFERROR(__xludf.DUMMYFUNCTION("""COMPUTED_VALUE"""),"France")</f>
        <v>France</v>
      </c>
      <c r="C1708" s="9" t="str">
        <f>IFERROR(__xludf.DUMMYFUNCTION("""COMPUTED_VALUE"""),"champagne")</f>
        <v>champagne</v>
      </c>
      <c r="D1708" s="9" t="str">
        <f>IFERROR(__xludf.DUMMYFUNCTION("""COMPUTED_VALUE"""),"Philipponnat, Clos des Goisses")</f>
        <v>Philipponnat, Clos des Goisses</v>
      </c>
      <c r="E1708" s="9">
        <f>IFERROR(__xludf.DUMMYFUNCTION("""COMPUTED_VALUE"""),2006.0)</f>
        <v>2006</v>
      </c>
      <c r="F1708" s="9">
        <f>IFERROR(__xludf.DUMMYFUNCTION("""COMPUTED_VALUE"""),750.0)</f>
        <v>750</v>
      </c>
      <c r="G1708" s="9">
        <f>IFERROR(__xludf.DUMMYFUNCTION("""COMPUTED_VALUE"""),6.0)</f>
        <v>6</v>
      </c>
      <c r="H1708" s="10">
        <f>IFERROR(__xludf.DUMMYFUNCTION("""COMPUTED_VALUE"""),2.0)</f>
        <v>2</v>
      </c>
      <c r="I1708" s="11">
        <f>IFERROR(__xludf.DUMMYFUNCTION("""COMPUTED_VALUE"""),856.0)</f>
        <v>856</v>
      </c>
      <c r="J1708" s="9" t="str">
        <f>IFERROR(__xludf.DUMMYFUNCTION("""COMPUTED_VALUE"""),"UK")</f>
        <v>UK</v>
      </c>
      <c r="K1708" s="8"/>
      <c r="L1708" s="12"/>
      <c r="M1708" s="13"/>
      <c r="N1708" s="13" t="str">
        <f>IFERROR(__xludf.DUMMYFUNCTION("IF(ISBLANK(M1708),"""",M1708*GOOGLEFINANCE(""USDGBP""))"),"")</f>
        <v/>
      </c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8"/>
      <c r="FV1708" s="8"/>
      <c r="FW1708" s="8"/>
      <c r="FX1708" s="8"/>
      <c r="FY1708" s="8"/>
      <c r="FZ1708" s="8"/>
      <c r="GA1708" s="8"/>
      <c r="GB1708" s="8"/>
      <c r="GC1708" s="8"/>
      <c r="GD1708" s="8"/>
      <c r="GE1708" s="8"/>
      <c r="GF1708" s="8"/>
      <c r="GG1708" s="8"/>
      <c r="GH1708" s="8"/>
      <c r="GI1708" s="8"/>
      <c r="GJ1708" s="8"/>
      <c r="GK1708" s="8"/>
      <c r="GL1708" s="8"/>
      <c r="GM1708" s="8"/>
      <c r="GN1708" s="8"/>
      <c r="GO1708" s="8"/>
      <c r="GP1708" s="8"/>
      <c r="GQ1708" s="8"/>
      <c r="GR1708" s="8"/>
      <c r="GS1708" s="8"/>
      <c r="GT1708" s="8"/>
      <c r="GU1708" s="8"/>
      <c r="GV1708" s="8"/>
      <c r="GW1708" s="8"/>
      <c r="GX1708" s="8"/>
    </row>
    <row r="1709">
      <c r="A1709" s="8" t="str">
        <f>IFERROR(__xludf.DUMMYFUNCTION("""COMPUTED_VALUE"""),"131177020090600750")</f>
        <v>131177020090600750</v>
      </c>
      <c r="B1709" s="9" t="str">
        <f>IFERROR(__xludf.DUMMYFUNCTION("""COMPUTED_VALUE"""),"France")</f>
        <v>France</v>
      </c>
      <c r="C1709" s="9" t="str">
        <f>IFERROR(__xludf.DUMMYFUNCTION("""COMPUTED_VALUE"""),"champagne")</f>
        <v>champagne</v>
      </c>
      <c r="D1709" s="9" t="str">
        <f>IFERROR(__xludf.DUMMYFUNCTION("""COMPUTED_VALUE"""),"Philipponnat, Clos des Goisses")</f>
        <v>Philipponnat, Clos des Goisses</v>
      </c>
      <c r="E1709" s="9">
        <f>IFERROR(__xludf.DUMMYFUNCTION("""COMPUTED_VALUE"""),2009.0)</f>
        <v>2009</v>
      </c>
      <c r="F1709" s="9">
        <f>IFERROR(__xludf.DUMMYFUNCTION("""COMPUTED_VALUE"""),750.0)</f>
        <v>750</v>
      </c>
      <c r="G1709" s="9">
        <f>IFERROR(__xludf.DUMMYFUNCTION("""COMPUTED_VALUE"""),6.0)</f>
        <v>6</v>
      </c>
      <c r="H1709" s="10">
        <f>IFERROR(__xludf.DUMMYFUNCTION("""COMPUTED_VALUE"""),1.0)</f>
        <v>1</v>
      </c>
      <c r="I1709" s="11">
        <f>IFERROR(__xludf.DUMMYFUNCTION("""COMPUTED_VALUE"""),848.0)</f>
        <v>848</v>
      </c>
      <c r="J1709" s="9" t="str">
        <f>IFERROR(__xludf.DUMMYFUNCTION("""COMPUTED_VALUE"""),"UK")</f>
        <v>UK</v>
      </c>
      <c r="K1709" s="8"/>
      <c r="L1709" s="12"/>
      <c r="M1709" s="13"/>
      <c r="N1709" s="13" t="str">
        <f>IFERROR(__xludf.DUMMYFUNCTION("IF(ISBLANK(M1709),"""",M1709*GOOGLEFINANCE(""USDGBP""))"),"")</f>
        <v/>
      </c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8"/>
      <c r="FV1709" s="8"/>
      <c r="FW1709" s="8"/>
      <c r="FX1709" s="8"/>
      <c r="FY1709" s="8"/>
      <c r="FZ1709" s="8"/>
      <c r="GA1709" s="8"/>
      <c r="GB1709" s="8"/>
      <c r="GC1709" s="8"/>
      <c r="GD1709" s="8"/>
      <c r="GE1709" s="8"/>
      <c r="GF1709" s="8"/>
      <c r="GG1709" s="8"/>
      <c r="GH1709" s="8"/>
      <c r="GI1709" s="8"/>
      <c r="GJ1709" s="8"/>
      <c r="GK1709" s="8"/>
      <c r="GL1709" s="8"/>
      <c r="GM1709" s="8"/>
      <c r="GN1709" s="8"/>
      <c r="GO1709" s="8"/>
      <c r="GP1709" s="8"/>
      <c r="GQ1709" s="8"/>
      <c r="GR1709" s="8"/>
      <c r="GS1709" s="8"/>
      <c r="GT1709" s="8"/>
      <c r="GU1709" s="8"/>
      <c r="GV1709" s="8"/>
      <c r="GW1709" s="8"/>
      <c r="GX1709" s="8"/>
    </row>
    <row r="1710">
      <c r="A1710" s="8" t="str">
        <f>IFERROR(__xludf.DUMMYFUNCTION("""COMPUTED_VALUE"""),"131177020100300750")</f>
        <v>131177020100300750</v>
      </c>
      <c r="B1710" s="9" t="str">
        <f>IFERROR(__xludf.DUMMYFUNCTION("""COMPUTED_VALUE"""),"France")</f>
        <v>France</v>
      </c>
      <c r="C1710" s="9" t="str">
        <f>IFERROR(__xludf.DUMMYFUNCTION("""COMPUTED_VALUE"""),"champagne")</f>
        <v>champagne</v>
      </c>
      <c r="D1710" s="9" t="str">
        <f>IFERROR(__xludf.DUMMYFUNCTION("""COMPUTED_VALUE"""),"Philipponnat, Clos des Goisses")</f>
        <v>Philipponnat, Clos des Goisses</v>
      </c>
      <c r="E1710" s="9">
        <f>IFERROR(__xludf.DUMMYFUNCTION("""COMPUTED_VALUE"""),2010.0)</f>
        <v>2010</v>
      </c>
      <c r="F1710" s="9">
        <f>IFERROR(__xludf.DUMMYFUNCTION("""COMPUTED_VALUE"""),750.0)</f>
        <v>750</v>
      </c>
      <c r="G1710" s="9">
        <f>IFERROR(__xludf.DUMMYFUNCTION("""COMPUTED_VALUE"""),3.0)</f>
        <v>3</v>
      </c>
      <c r="H1710" s="10">
        <f>IFERROR(__xludf.DUMMYFUNCTION("""COMPUTED_VALUE"""),1.0)</f>
        <v>1</v>
      </c>
      <c r="I1710" s="11">
        <f>IFERROR(__xludf.DUMMYFUNCTION("""COMPUTED_VALUE"""),510.0)</f>
        <v>510</v>
      </c>
      <c r="J1710" s="9" t="str">
        <f>IFERROR(__xludf.DUMMYFUNCTION("""COMPUTED_VALUE"""),"UK")</f>
        <v>UK</v>
      </c>
      <c r="K1710" s="8"/>
      <c r="L1710" s="12"/>
      <c r="M1710" s="13"/>
      <c r="N1710" s="13" t="str">
        <f>IFERROR(__xludf.DUMMYFUNCTION("IF(ISBLANK(M1710),"""",M1710*GOOGLEFINANCE(""USDGBP""))"),"")</f>
        <v/>
      </c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  <c r="GA1710" s="8"/>
      <c r="GB1710" s="8"/>
      <c r="GC1710" s="8"/>
      <c r="GD1710" s="8"/>
      <c r="GE1710" s="8"/>
      <c r="GF1710" s="8"/>
      <c r="GG1710" s="8"/>
      <c r="GH1710" s="8"/>
      <c r="GI1710" s="8"/>
      <c r="GJ1710" s="8"/>
      <c r="GK1710" s="8"/>
      <c r="GL1710" s="8"/>
      <c r="GM1710" s="8"/>
      <c r="GN1710" s="8"/>
      <c r="GO1710" s="8"/>
      <c r="GP1710" s="8"/>
      <c r="GQ1710" s="8"/>
      <c r="GR1710" s="8"/>
      <c r="GS1710" s="8"/>
      <c r="GT1710" s="8"/>
      <c r="GU1710" s="8"/>
      <c r="GV1710" s="8"/>
      <c r="GW1710" s="8"/>
      <c r="GX1710" s="8"/>
    </row>
    <row r="1711">
      <c r="A1711" s="8" t="str">
        <f>IFERROR(__xludf.DUMMYFUNCTION("""COMPUTED_VALUE"""),"131177020100301500")</f>
        <v>131177020100301500</v>
      </c>
      <c r="B1711" s="9" t="str">
        <f>IFERROR(__xludf.DUMMYFUNCTION("""COMPUTED_VALUE"""),"France")</f>
        <v>France</v>
      </c>
      <c r="C1711" s="9" t="str">
        <f>IFERROR(__xludf.DUMMYFUNCTION("""COMPUTED_VALUE"""),"champagne")</f>
        <v>champagne</v>
      </c>
      <c r="D1711" s="9" t="str">
        <f>IFERROR(__xludf.DUMMYFUNCTION("""COMPUTED_VALUE"""),"Philipponnat, Clos des Goisses")</f>
        <v>Philipponnat, Clos des Goisses</v>
      </c>
      <c r="E1711" s="9">
        <f>IFERROR(__xludf.DUMMYFUNCTION("""COMPUTED_VALUE"""),2010.0)</f>
        <v>2010</v>
      </c>
      <c r="F1711" s="9">
        <f>IFERROR(__xludf.DUMMYFUNCTION("""COMPUTED_VALUE"""),1500.0)</f>
        <v>1500</v>
      </c>
      <c r="G1711" s="9">
        <f>IFERROR(__xludf.DUMMYFUNCTION("""COMPUTED_VALUE"""),3.0)</f>
        <v>3</v>
      </c>
      <c r="H1711" s="10">
        <f>IFERROR(__xludf.DUMMYFUNCTION("""COMPUTED_VALUE"""),1.0)</f>
        <v>1</v>
      </c>
      <c r="I1711" s="11">
        <f>IFERROR(__xludf.DUMMYFUNCTION("""COMPUTED_VALUE"""),974.0)</f>
        <v>974</v>
      </c>
      <c r="J1711" s="9" t="str">
        <f>IFERROR(__xludf.DUMMYFUNCTION("""COMPUTED_VALUE"""),"UK")</f>
        <v>UK</v>
      </c>
      <c r="K1711" s="8"/>
      <c r="L1711" s="12"/>
      <c r="M1711" s="13"/>
      <c r="N1711" s="13" t="str">
        <f>IFERROR(__xludf.DUMMYFUNCTION("IF(ISBLANK(M1711),"""",M1711*GOOGLEFINANCE(""USDGBP""))"),"")</f>
        <v/>
      </c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8"/>
      <c r="FV1711" s="8"/>
      <c r="FW1711" s="8"/>
      <c r="FX1711" s="8"/>
      <c r="FY1711" s="8"/>
      <c r="FZ1711" s="8"/>
      <c r="GA1711" s="8"/>
      <c r="GB1711" s="8"/>
      <c r="GC1711" s="8"/>
      <c r="GD1711" s="8"/>
      <c r="GE1711" s="8"/>
      <c r="GF1711" s="8"/>
      <c r="GG1711" s="8"/>
      <c r="GH1711" s="8"/>
      <c r="GI1711" s="8"/>
      <c r="GJ1711" s="8"/>
      <c r="GK1711" s="8"/>
      <c r="GL1711" s="8"/>
      <c r="GM1711" s="8"/>
      <c r="GN1711" s="8"/>
      <c r="GO1711" s="8"/>
      <c r="GP1711" s="8"/>
      <c r="GQ1711" s="8"/>
      <c r="GR1711" s="8"/>
      <c r="GS1711" s="8"/>
      <c r="GT1711" s="8"/>
      <c r="GU1711" s="8"/>
      <c r="GV1711" s="8"/>
      <c r="GW1711" s="8"/>
      <c r="GX1711" s="8"/>
    </row>
    <row r="1712">
      <c r="A1712" s="8" t="str">
        <f>IFERROR(__xludf.DUMMYFUNCTION("""COMPUTED_VALUE"""),"131177020110600750")</f>
        <v>131177020110600750</v>
      </c>
      <c r="B1712" s="9" t="str">
        <f>IFERROR(__xludf.DUMMYFUNCTION("""COMPUTED_VALUE"""),"France")</f>
        <v>France</v>
      </c>
      <c r="C1712" s="9" t="str">
        <f>IFERROR(__xludf.DUMMYFUNCTION("""COMPUTED_VALUE"""),"champagne")</f>
        <v>champagne</v>
      </c>
      <c r="D1712" s="9" t="str">
        <f>IFERROR(__xludf.DUMMYFUNCTION("""COMPUTED_VALUE"""),"Philipponnat, Clos des Goisses")</f>
        <v>Philipponnat, Clos des Goisses</v>
      </c>
      <c r="E1712" s="9">
        <f>IFERROR(__xludf.DUMMYFUNCTION("""COMPUTED_VALUE"""),2011.0)</f>
        <v>2011</v>
      </c>
      <c r="F1712" s="9">
        <f>IFERROR(__xludf.DUMMYFUNCTION("""COMPUTED_VALUE"""),750.0)</f>
        <v>750</v>
      </c>
      <c r="G1712" s="9">
        <f>IFERROR(__xludf.DUMMYFUNCTION("""COMPUTED_VALUE"""),6.0)</f>
        <v>6</v>
      </c>
      <c r="H1712" s="10">
        <f>IFERROR(__xludf.DUMMYFUNCTION("""COMPUTED_VALUE"""),2.0)</f>
        <v>2</v>
      </c>
      <c r="I1712" s="11">
        <f>IFERROR(__xludf.DUMMYFUNCTION("""COMPUTED_VALUE"""),808.0)</f>
        <v>808</v>
      </c>
      <c r="J1712" s="9" t="str">
        <f>IFERROR(__xludf.DUMMYFUNCTION("""COMPUTED_VALUE"""),"UK")</f>
        <v>UK</v>
      </c>
      <c r="K1712" s="8"/>
      <c r="L1712" s="12"/>
      <c r="M1712" s="13"/>
      <c r="N1712" s="13" t="str">
        <f>IFERROR(__xludf.DUMMYFUNCTION("IF(ISBLANK(M1712),"""",M1712*GOOGLEFINANCE(""USDGBP""))"),"")</f>
        <v/>
      </c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8"/>
      <c r="FV1712" s="8"/>
      <c r="FW1712" s="8"/>
      <c r="FX1712" s="8"/>
      <c r="FY1712" s="8"/>
      <c r="FZ1712" s="8"/>
      <c r="GA1712" s="8"/>
      <c r="GB1712" s="8"/>
      <c r="GC1712" s="8"/>
      <c r="GD1712" s="8"/>
      <c r="GE1712" s="8"/>
      <c r="GF1712" s="8"/>
      <c r="GG1712" s="8"/>
      <c r="GH1712" s="8"/>
      <c r="GI1712" s="8"/>
      <c r="GJ1712" s="8"/>
      <c r="GK1712" s="8"/>
      <c r="GL1712" s="8"/>
      <c r="GM1712" s="8"/>
      <c r="GN1712" s="8"/>
      <c r="GO1712" s="8"/>
      <c r="GP1712" s="8"/>
      <c r="GQ1712" s="8"/>
      <c r="GR1712" s="8"/>
      <c r="GS1712" s="8"/>
      <c r="GT1712" s="8"/>
      <c r="GU1712" s="8"/>
      <c r="GV1712" s="8"/>
      <c r="GW1712" s="8"/>
      <c r="GX1712" s="8"/>
    </row>
    <row r="1713">
      <c r="A1713" s="8" t="str">
        <f>IFERROR(__xludf.DUMMYFUNCTION("""COMPUTED_VALUE"""),"138505020090100750")</f>
        <v>138505020090100750</v>
      </c>
      <c r="B1713" s="9" t="str">
        <f>IFERROR(__xludf.DUMMYFUNCTION("""COMPUTED_VALUE"""),"France")</f>
        <v>France</v>
      </c>
      <c r="C1713" s="9" t="str">
        <f>IFERROR(__xludf.DUMMYFUNCTION("""COMPUTED_VALUE"""),"champagne")</f>
        <v>champagne</v>
      </c>
      <c r="D1713" s="9" t="str">
        <f>IFERROR(__xludf.DUMMYFUNCTION("""COMPUTED_VALUE"""),"Philipponnat, Les Cintres")</f>
        <v>Philipponnat, Les Cintres</v>
      </c>
      <c r="E1713" s="9">
        <f>IFERROR(__xludf.DUMMYFUNCTION("""COMPUTED_VALUE"""),2009.0)</f>
        <v>2009</v>
      </c>
      <c r="F1713" s="9">
        <f>IFERROR(__xludf.DUMMYFUNCTION("""COMPUTED_VALUE"""),750.0)</f>
        <v>750</v>
      </c>
      <c r="G1713" s="9">
        <f>IFERROR(__xludf.DUMMYFUNCTION("""COMPUTED_VALUE"""),1.0)</f>
        <v>1</v>
      </c>
      <c r="H1713" s="10">
        <f>IFERROR(__xludf.DUMMYFUNCTION("""COMPUTED_VALUE"""),5.0)</f>
        <v>5</v>
      </c>
      <c r="I1713" s="11">
        <f>IFERROR(__xludf.DUMMYFUNCTION("""COMPUTED_VALUE"""),264.0)</f>
        <v>264</v>
      </c>
      <c r="J1713" s="9" t="str">
        <f>IFERROR(__xludf.DUMMYFUNCTION("""COMPUTED_VALUE"""),"UK")</f>
        <v>UK</v>
      </c>
      <c r="K1713" s="8"/>
      <c r="L1713" s="12"/>
      <c r="M1713" s="13"/>
      <c r="N1713" s="13" t="str">
        <f>IFERROR(__xludf.DUMMYFUNCTION("IF(ISBLANK(M1713),"""",M1713*GOOGLEFINANCE(""USDGBP""))"),"")</f>
        <v/>
      </c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8"/>
      <c r="FV1713" s="8"/>
      <c r="FW1713" s="8"/>
      <c r="FX1713" s="8"/>
      <c r="FY1713" s="8"/>
      <c r="FZ1713" s="8"/>
      <c r="GA1713" s="8"/>
      <c r="GB1713" s="8"/>
      <c r="GC1713" s="8"/>
      <c r="GD1713" s="8"/>
      <c r="GE1713" s="8"/>
      <c r="GF1713" s="8"/>
      <c r="GG1713" s="8"/>
      <c r="GH1713" s="8"/>
      <c r="GI1713" s="8"/>
      <c r="GJ1713" s="8"/>
      <c r="GK1713" s="8"/>
      <c r="GL1713" s="8"/>
      <c r="GM1713" s="8"/>
      <c r="GN1713" s="8"/>
      <c r="GO1713" s="8"/>
      <c r="GP1713" s="8"/>
      <c r="GQ1713" s="8"/>
      <c r="GR1713" s="8"/>
      <c r="GS1713" s="8"/>
      <c r="GT1713" s="8"/>
      <c r="GU1713" s="8"/>
      <c r="GV1713" s="8"/>
      <c r="GW1713" s="8"/>
      <c r="GX1713" s="8"/>
    </row>
    <row r="1714">
      <c r="A1714" s="8" t="str">
        <f>IFERROR(__xludf.DUMMYFUNCTION("""COMPUTED_VALUE"""),"121252720110600750")</f>
        <v>121252720110600750</v>
      </c>
      <c r="B1714" s="9" t="str">
        <f>IFERROR(__xludf.DUMMYFUNCTION("""COMPUTED_VALUE"""),"France")</f>
        <v>France</v>
      </c>
      <c r="C1714" s="9" t="str">
        <f>IFERROR(__xludf.DUMMYFUNCTION("""COMPUTED_VALUE"""),"champagne")</f>
        <v>champagne</v>
      </c>
      <c r="D1714" s="9" t="str">
        <f>IFERROR(__xludf.DUMMYFUNCTION("""COMPUTED_VALUE"""),"Pierre Peters, Les Chetillons Blanc de Blancs Cuvee Speciale Grand Cru, Le Mesnil")</f>
        <v>Pierre Peters, Les Chetillons Blanc de Blancs Cuvee Speciale Grand Cru, Le Mesnil</v>
      </c>
      <c r="E1714" s="9">
        <f>IFERROR(__xludf.DUMMYFUNCTION("""COMPUTED_VALUE"""),2011.0)</f>
        <v>2011</v>
      </c>
      <c r="F1714" s="9">
        <f>IFERROR(__xludf.DUMMYFUNCTION("""COMPUTED_VALUE"""),750.0)</f>
        <v>750</v>
      </c>
      <c r="G1714" s="9">
        <f>IFERROR(__xludf.DUMMYFUNCTION("""COMPUTED_VALUE"""),6.0)</f>
        <v>6</v>
      </c>
      <c r="H1714" s="10">
        <f>IFERROR(__xludf.DUMMYFUNCTION("""COMPUTED_VALUE"""),3.0)</f>
        <v>3</v>
      </c>
      <c r="I1714" s="11">
        <f>IFERROR(__xludf.DUMMYFUNCTION("""COMPUTED_VALUE"""),1253.0)</f>
        <v>1253</v>
      </c>
      <c r="J1714" s="9" t="str">
        <f>IFERROR(__xludf.DUMMYFUNCTION("""COMPUTED_VALUE"""),"UK")</f>
        <v>UK</v>
      </c>
      <c r="K1714" s="8"/>
      <c r="L1714" s="12"/>
      <c r="M1714" s="13"/>
      <c r="N1714" s="13" t="str">
        <f>IFERROR(__xludf.DUMMYFUNCTION("IF(ISBLANK(M1714),"""",M1714*GOOGLEFINANCE(""USDGBP""))"),"")</f>
        <v/>
      </c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8"/>
      <c r="FV1714" s="8"/>
      <c r="FW1714" s="8"/>
      <c r="FX1714" s="8"/>
      <c r="FY1714" s="8"/>
      <c r="FZ1714" s="8"/>
      <c r="GA1714" s="8"/>
      <c r="GB1714" s="8"/>
      <c r="GC1714" s="8"/>
      <c r="GD1714" s="8"/>
      <c r="GE1714" s="8"/>
      <c r="GF1714" s="8"/>
      <c r="GG1714" s="8"/>
      <c r="GH1714" s="8"/>
      <c r="GI1714" s="8"/>
      <c r="GJ1714" s="8"/>
      <c r="GK1714" s="8"/>
      <c r="GL1714" s="8"/>
      <c r="GM1714" s="8"/>
      <c r="GN1714" s="8"/>
      <c r="GO1714" s="8"/>
      <c r="GP1714" s="8"/>
      <c r="GQ1714" s="8"/>
      <c r="GR1714" s="8"/>
      <c r="GS1714" s="8"/>
      <c r="GT1714" s="8"/>
      <c r="GU1714" s="8"/>
      <c r="GV1714" s="8"/>
      <c r="GW1714" s="8"/>
      <c r="GX1714" s="8"/>
    </row>
    <row r="1715">
      <c r="A1715" s="8" t="str">
        <f>IFERROR(__xludf.DUMMYFUNCTION("""COMPUTED_VALUE"""),"121252720140600750")</f>
        <v>121252720140600750</v>
      </c>
      <c r="B1715" s="9" t="str">
        <f>IFERROR(__xludf.DUMMYFUNCTION("""COMPUTED_VALUE"""),"France")</f>
        <v>France</v>
      </c>
      <c r="C1715" s="9" t="str">
        <f>IFERROR(__xludf.DUMMYFUNCTION("""COMPUTED_VALUE"""),"champagne")</f>
        <v>champagne</v>
      </c>
      <c r="D1715" s="9" t="str">
        <f>IFERROR(__xludf.DUMMYFUNCTION("""COMPUTED_VALUE"""),"Pierre Peters, Les Chetillons Blanc de Blancs Cuvee Speciale Grand Cru, Le Mesnil")</f>
        <v>Pierre Peters, Les Chetillons Blanc de Blancs Cuvee Speciale Grand Cru, Le Mesnil</v>
      </c>
      <c r="E1715" s="9">
        <f>IFERROR(__xludf.DUMMYFUNCTION("""COMPUTED_VALUE"""),2014.0)</f>
        <v>2014</v>
      </c>
      <c r="F1715" s="9">
        <f>IFERROR(__xludf.DUMMYFUNCTION("""COMPUTED_VALUE"""),750.0)</f>
        <v>750</v>
      </c>
      <c r="G1715" s="9">
        <f>IFERROR(__xludf.DUMMYFUNCTION("""COMPUTED_VALUE"""),6.0)</f>
        <v>6</v>
      </c>
      <c r="H1715" s="10">
        <f>IFERROR(__xludf.DUMMYFUNCTION("""COMPUTED_VALUE"""),2.0)</f>
        <v>2</v>
      </c>
      <c r="I1715" s="11">
        <f>IFERROR(__xludf.DUMMYFUNCTION("""COMPUTED_VALUE"""),1511.0)</f>
        <v>1511</v>
      </c>
      <c r="J1715" s="9" t="str">
        <f>IFERROR(__xludf.DUMMYFUNCTION("""COMPUTED_VALUE"""),"UK")</f>
        <v>UK</v>
      </c>
      <c r="K1715" s="8"/>
      <c r="L1715" s="12"/>
      <c r="M1715" s="13"/>
      <c r="N1715" s="13" t="str">
        <f>IFERROR(__xludf.DUMMYFUNCTION("IF(ISBLANK(M1715),"""",M1715*GOOGLEFINANCE(""USDGBP""))"),"")</f>
        <v/>
      </c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  <c r="GA1715" s="8"/>
      <c r="GB1715" s="8"/>
      <c r="GC1715" s="8"/>
      <c r="GD1715" s="8"/>
      <c r="GE1715" s="8"/>
      <c r="GF1715" s="8"/>
      <c r="GG1715" s="8"/>
      <c r="GH1715" s="8"/>
      <c r="GI1715" s="8"/>
      <c r="GJ1715" s="8"/>
      <c r="GK1715" s="8"/>
      <c r="GL1715" s="8"/>
      <c r="GM1715" s="8"/>
      <c r="GN1715" s="8"/>
      <c r="GO1715" s="8"/>
      <c r="GP1715" s="8"/>
      <c r="GQ1715" s="8"/>
      <c r="GR1715" s="8"/>
      <c r="GS1715" s="8"/>
      <c r="GT1715" s="8"/>
      <c r="GU1715" s="8"/>
      <c r="GV1715" s="8"/>
      <c r="GW1715" s="8"/>
      <c r="GX1715" s="8"/>
    </row>
    <row r="1716">
      <c r="A1716" s="8" t="str">
        <f>IFERROR(__xludf.DUMMYFUNCTION("""COMPUTED_VALUE"""),"108283220000600750")</f>
        <v>108283220000600750</v>
      </c>
      <c r="B1716" s="9" t="str">
        <f>IFERROR(__xludf.DUMMYFUNCTION("""COMPUTED_VALUE"""),"France")</f>
        <v>France</v>
      </c>
      <c r="C1716" s="9" t="str">
        <f>IFERROR(__xludf.DUMMYFUNCTION("""COMPUTED_VALUE"""),"champagne")</f>
        <v>champagne</v>
      </c>
      <c r="D1716" s="9" t="str">
        <f>IFERROR(__xludf.DUMMYFUNCTION("""COMPUTED_VALUE"""),"Pol Roger, Brut Vintage")</f>
        <v>Pol Roger, Brut Vintage</v>
      </c>
      <c r="E1716" s="9">
        <f>IFERROR(__xludf.DUMMYFUNCTION("""COMPUTED_VALUE"""),2000.0)</f>
        <v>2000</v>
      </c>
      <c r="F1716" s="9">
        <f>IFERROR(__xludf.DUMMYFUNCTION("""COMPUTED_VALUE"""),750.0)</f>
        <v>750</v>
      </c>
      <c r="G1716" s="9">
        <f>IFERROR(__xludf.DUMMYFUNCTION("""COMPUTED_VALUE"""),6.0)</f>
        <v>6</v>
      </c>
      <c r="H1716" s="10">
        <f>IFERROR(__xludf.DUMMYFUNCTION("""COMPUTED_VALUE"""),2.0)</f>
        <v>2</v>
      </c>
      <c r="I1716" s="11">
        <f>IFERROR(__xludf.DUMMYFUNCTION("""COMPUTED_VALUE"""),723.0)</f>
        <v>723</v>
      </c>
      <c r="J1716" s="9" t="str">
        <f>IFERROR(__xludf.DUMMYFUNCTION("""COMPUTED_VALUE"""),"UK")</f>
        <v>UK</v>
      </c>
      <c r="K1716" s="8"/>
      <c r="L1716" s="12"/>
      <c r="M1716" s="13"/>
      <c r="N1716" s="13" t="str">
        <f>IFERROR(__xludf.DUMMYFUNCTION("IF(ISBLANK(M1716),"""",M1716*GOOGLEFINANCE(""USDGBP""))"),"")</f>
        <v/>
      </c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8"/>
      <c r="FJ1716" s="8"/>
      <c r="FK1716" s="8"/>
      <c r="FL1716" s="8"/>
      <c r="FM1716" s="8"/>
      <c r="FN1716" s="8"/>
      <c r="FO1716" s="8"/>
      <c r="FP1716" s="8"/>
      <c r="FQ1716" s="8"/>
      <c r="FR1716" s="8"/>
      <c r="FS1716" s="8"/>
      <c r="FT1716" s="8"/>
      <c r="FU1716" s="8"/>
      <c r="FV1716" s="8"/>
      <c r="FW1716" s="8"/>
      <c r="FX1716" s="8"/>
      <c r="FY1716" s="8"/>
      <c r="FZ1716" s="8"/>
      <c r="GA1716" s="8"/>
      <c r="GB1716" s="8"/>
      <c r="GC1716" s="8"/>
      <c r="GD1716" s="8"/>
      <c r="GE1716" s="8"/>
      <c r="GF1716" s="8"/>
      <c r="GG1716" s="8"/>
      <c r="GH1716" s="8"/>
      <c r="GI1716" s="8"/>
      <c r="GJ1716" s="8"/>
      <c r="GK1716" s="8"/>
      <c r="GL1716" s="8"/>
      <c r="GM1716" s="8"/>
      <c r="GN1716" s="8"/>
      <c r="GO1716" s="8"/>
      <c r="GP1716" s="8"/>
      <c r="GQ1716" s="8"/>
      <c r="GR1716" s="8"/>
      <c r="GS1716" s="8"/>
      <c r="GT1716" s="8"/>
      <c r="GU1716" s="8"/>
      <c r="GV1716" s="8"/>
      <c r="GW1716" s="8"/>
      <c r="GX1716" s="8"/>
    </row>
    <row r="1717">
      <c r="A1717" s="8" t="str">
        <f>IFERROR(__xludf.DUMMYFUNCTION("""COMPUTED_VALUE"""),"108286119990600750")</f>
        <v>108286119990600750</v>
      </c>
      <c r="B1717" s="9" t="str">
        <f>IFERROR(__xludf.DUMMYFUNCTION("""COMPUTED_VALUE"""),"France")</f>
        <v>France</v>
      </c>
      <c r="C1717" s="9" t="str">
        <f>IFERROR(__xludf.DUMMYFUNCTION("""COMPUTED_VALUE"""),"champagne")</f>
        <v>champagne</v>
      </c>
      <c r="D1717" s="9" t="str">
        <f>IFERROR(__xludf.DUMMYFUNCTION("""COMPUTED_VALUE"""),"Pol Roger, Sir Winston Churchill")</f>
        <v>Pol Roger, Sir Winston Churchill</v>
      </c>
      <c r="E1717" s="9">
        <f>IFERROR(__xludf.DUMMYFUNCTION("""COMPUTED_VALUE"""),1999.0)</f>
        <v>1999</v>
      </c>
      <c r="F1717" s="9">
        <f>IFERROR(__xludf.DUMMYFUNCTION("""COMPUTED_VALUE"""),750.0)</f>
        <v>750</v>
      </c>
      <c r="G1717" s="9">
        <f>IFERROR(__xludf.DUMMYFUNCTION("""COMPUTED_VALUE"""),6.0)</f>
        <v>6</v>
      </c>
      <c r="H1717" s="10">
        <f>IFERROR(__xludf.DUMMYFUNCTION("""COMPUTED_VALUE"""),1.0)</f>
        <v>1</v>
      </c>
      <c r="I1717" s="11">
        <f>IFERROR(__xludf.DUMMYFUNCTION("""COMPUTED_VALUE"""),1343.0)</f>
        <v>1343</v>
      </c>
      <c r="J1717" s="9" t="str">
        <f>IFERROR(__xludf.DUMMYFUNCTION("""COMPUTED_VALUE"""),"UK")</f>
        <v>UK</v>
      </c>
      <c r="K1717" s="8"/>
      <c r="L1717" s="12"/>
      <c r="M1717" s="13"/>
      <c r="N1717" s="13" t="str">
        <f>IFERROR(__xludf.DUMMYFUNCTION("IF(ISBLANK(M1717),"""",M1717*GOOGLEFINANCE(""USDGBP""))"),"")</f>
        <v/>
      </c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  <c r="GG1717" s="8"/>
      <c r="GH1717" s="8"/>
      <c r="GI1717" s="8"/>
      <c r="GJ1717" s="8"/>
      <c r="GK1717" s="8"/>
      <c r="GL1717" s="8"/>
      <c r="GM1717" s="8"/>
      <c r="GN1717" s="8"/>
      <c r="GO1717" s="8"/>
      <c r="GP1717" s="8"/>
      <c r="GQ1717" s="8"/>
      <c r="GR1717" s="8"/>
      <c r="GS1717" s="8"/>
      <c r="GT1717" s="8"/>
      <c r="GU1717" s="8"/>
      <c r="GV1717" s="8"/>
      <c r="GW1717" s="8"/>
      <c r="GX1717" s="8"/>
    </row>
    <row r="1718">
      <c r="A1718" s="8" t="str">
        <f>IFERROR(__xludf.DUMMYFUNCTION("""COMPUTED_VALUE"""),"108286120000600750")</f>
        <v>108286120000600750</v>
      </c>
      <c r="B1718" s="9" t="str">
        <f>IFERROR(__xludf.DUMMYFUNCTION("""COMPUTED_VALUE"""),"France")</f>
        <v>France</v>
      </c>
      <c r="C1718" s="9" t="str">
        <f>IFERROR(__xludf.DUMMYFUNCTION("""COMPUTED_VALUE"""),"champagne")</f>
        <v>champagne</v>
      </c>
      <c r="D1718" s="9" t="str">
        <f>IFERROR(__xludf.DUMMYFUNCTION("""COMPUTED_VALUE"""),"Pol Roger, Sir Winston Churchill")</f>
        <v>Pol Roger, Sir Winston Churchill</v>
      </c>
      <c r="E1718" s="9">
        <f>IFERROR(__xludf.DUMMYFUNCTION("""COMPUTED_VALUE"""),2000.0)</f>
        <v>2000</v>
      </c>
      <c r="F1718" s="9">
        <f>IFERROR(__xludf.DUMMYFUNCTION("""COMPUTED_VALUE"""),750.0)</f>
        <v>750</v>
      </c>
      <c r="G1718" s="9">
        <f>IFERROR(__xludf.DUMMYFUNCTION("""COMPUTED_VALUE"""),6.0)</f>
        <v>6</v>
      </c>
      <c r="H1718" s="10">
        <f>IFERROR(__xludf.DUMMYFUNCTION("""COMPUTED_VALUE"""),5.0)</f>
        <v>5</v>
      </c>
      <c r="I1718" s="11">
        <f>IFERROR(__xludf.DUMMYFUNCTION("""COMPUTED_VALUE"""),1069.0)</f>
        <v>1069</v>
      </c>
      <c r="J1718" s="9" t="str">
        <f>IFERROR(__xludf.DUMMYFUNCTION("""COMPUTED_VALUE"""),"UK")</f>
        <v>UK</v>
      </c>
      <c r="K1718" s="8"/>
      <c r="L1718" s="12"/>
      <c r="M1718" s="13"/>
      <c r="N1718" s="13" t="str">
        <f>IFERROR(__xludf.DUMMYFUNCTION("IF(ISBLANK(M1718),"""",M1718*GOOGLEFINANCE(""USDGBP""))"),"")</f>
        <v/>
      </c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8"/>
      <c r="FJ1718" s="8"/>
      <c r="FK1718" s="8"/>
      <c r="FL1718" s="8"/>
      <c r="FM1718" s="8"/>
      <c r="FN1718" s="8"/>
      <c r="FO1718" s="8"/>
      <c r="FP1718" s="8"/>
      <c r="FQ1718" s="8"/>
      <c r="FR1718" s="8"/>
      <c r="FS1718" s="8"/>
      <c r="FT1718" s="8"/>
      <c r="FU1718" s="8"/>
      <c r="FV1718" s="8"/>
      <c r="FW1718" s="8"/>
      <c r="FX1718" s="8"/>
      <c r="FY1718" s="8"/>
      <c r="FZ1718" s="8"/>
      <c r="GA1718" s="8"/>
      <c r="GB1718" s="8"/>
      <c r="GC1718" s="8"/>
      <c r="GD1718" s="8"/>
      <c r="GE1718" s="8"/>
      <c r="GF1718" s="8"/>
      <c r="GG1718" s="8"/>
      <c r="GH1718" s="8"/>
      <c r="GI1718" s="8"/>
      <c r="GJ1718" s="8"/>
      <c r="GK1718" s="8"/>
      <c r="GL1718" s="8"/>
      <c r="GM1718" s="8"/>
      <c r="GN1718" s="8"/>
      <c r="GO1718" s="8"/>
      <c r="GP1718" s="8"/>
      <c r="GQ1718" s="8"/>
      <c r="GR1718" s="8"/>
      <c r="GS1718" s="8"/>
      <c r="GT1718" s="8"/>
      <c r="GU1718" s="8"/>
      <c r="GV1718" s="8"/>
      <c r="GW1718" s="8"/>
      <c r="GX1718" s="8"/>
    </row>
    <row r="1719">
      <c r="A1719" s="8" t="str">
        <f>IFERROR(__xludf.DUMMYFUNCTION("""COMPUTED_VALUE"""),"108286120090600750")</f>
        <v>108286120090600750</v>
      </c>
      <c r="B1719" s="9" t="str">
        <f>IFERROR(__xludf.DUMMYFUNCTION("""COMPUTED_VALUE"""),"France")</f>
        <v>France</v>
      </c>
      <c r="C1719" s="9" t="str">
        <f>IFERROR(__xludf.DUMMYFUNCTION("""COMPUTED_VALUE"""),"champagne")</f>
        <v>champagne</v>
      </c>
      <c r="D1719" s="9" t="str">
        <f>IFERROR(__xludf.DUMMYFUNCTION("""COMPUTED_VALUE"""),"Pol Roger, Sir Winston Churchill")</f>
        <v>Pol Roger, Sir Winston Churchill</v>
      </c>
      <c r="E1719" s="9">
        <f>IFERROR(__xludf.DUMMYFUNCTION("""COMPUTED_VALUE"""),2009.0)</f>
        <v>2009</v>
      </c>
      <c r="F1719" s="9">
        <f>IFERROR(__xludf.DUMMYFUNCTION("""COMPUTED_VALUE"""),750.0)</f>
        <v>750</v>
      </c>
      <c r="G1719" s="9">
        <f>IFERROR(__xludf.DUMMYFUNCTION("""COMPUTED_VALUE"""),6.0)</f>
        <v>6</v>
      </c>
      <c r="H1719" s="10">
        <f>IFERROR(__xludf.DUMMYFUNCTION("""COMPUTED_VALUE"""),17.0)</f>
        <v>17</v>
      </c>
      <c r="I1719" s="11">
        <f>IFERROR(__xludf.DUMMYFUNCTION("""COMPUTED_VALUE"""),1041.0)</f>
        <v>1041</v>
      </c>
      <c r="J1719" s="9" t="str">
        <f>IFERROR(__xludf.DUMMYFUNCTION("""COMPUTED_VALUE"""),"UK")</f>
        <v>UK</v>
      </c>
      <c r="K1719" s="8"/>
      <c r="L1719" s="12"/>
      <c r="M1719" s="13"/>
      <c r="N1719" s="13" t="str">
        <f>IFERROR(__xludf.DUMMYFUNCTION("IF(ISBLANK(M1719),"""",M1719*GOOGLEFINANCE(""USDGBP""))"),"")</f>
        <v/>
      </c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8"/>
      <c r="FJ1719" s="8"/>
      <c r="FK1719" s="8"/>
      <c r="FL1719" s="8"/>
      <c r="FM1719" s="8"/>
      <c r="FN1719" s="8"/>
      <c r="FO1719" s="8"/>
      <c r="FP1719" s="8"/>
      <c r="FQ1719" s="8"/>
      <c r="FR1719" s="8"/>
      <c r="FS1719" s="8"/>
      <c r="FT1719" s="8"/>
      <c r="FU1719" s="8"/>
      <c r="FV1719" s="8"/>
      <c r="FW1719" s="8"/>
      <c r="FX1719" s="8"/>
      <c r="FY1719" s="8"/>
      <c r="FZ1719" s="8"/>
      <c r="GA1719" s="8"/>
      <c r="GB1719" s="8"/>
      <c r="GC1719" s="8"/>
      <c r="GD1719" s="8"/>
      <c r="GE1719" s="8"/>
      <c r="GF1719" s="8"/>
      <c r="GG1719" s="8"/>
      <c r="GH1719" s="8"/>
      <c r="GI1719" s="8"/>
      <c r="GJ1719" s="8"/>
      <c r="GK1719" s="8"/>
      <c r="GL1719" s="8"/>
      <c r="GM1719" s="8"/>
      <c r="GN1719" s="8"/>
      <c r="GO1719" s="8"/>
      <c r="GP1719" s="8"/>
      <c r="GQ1719" s="8"/>
      <c r="GR1719" s="8"/>
      <c r="GS1719" s="8"/>
      <c r="GT1719" s="8"/>
      <c r="GU1719" s="8"/>
      <c r="GV1719" s="8"/>
      <c r="GW1719" s="8"/>
      <c r="GX1719" s="8"/>
    </row>
    <row r="1720">
      <c r="A1720" s="8" t="str">
        <f>IFERROR(__xludf.DUMMYFUNCTION("""COMPUTED_VALUE"""),"108286120130600750")</f>
        <v>108286120130600750</v>
      </c>
      <c r="B1720" s="9" t="str">
        <f>IFERROR(__xludf.DUMMYFUNCTION("""COMPUTED_VALUE"""),"France")</f>
        <v>France</v>
      </c>
      <c r="C1720" s="9" t="str">
        <f>IFERROR(__xludf.DUMMYFUNCTION("""COMPUTED_VALUE"""),"champagne")</f>
        <v>champagne</v>
      </c>
      <c r="D1720" s="9" t="str">
        <f>IFERROR(__xludf.DUMMYFUNCTION("""COMPUTED_VALUE"""),"Pol Roger, Sir Winston Churchill")</f>
        <v>Pol Roger, Sir Winston Churchill</v>
      </c>
      <c r="E1720" s="9">
        <f>IFERROR(__xludf.DUMMYFUNCTION("""COMPUTED_VALUE"""),2013.0)</f>
        <v>2013</v>
      </c>
      <c r="F1720" s="9">
        <f>IFERROR(__xludf.DUMMYFUNCTION("""COMPUTED_VALUE"""),750.0)</f>
        <v>750</v>
      </c>
      <c r="G1720" s="9">
        <f>IFERROR(__xludf.DUMMYFUNCTION("""COMPUTED_VALUE"""),6.0)</f>
        <v>6</v>
      </c>
      <c r="H1720" s="10">
        <f>IFERROR(__xludf.DUMMYFUNCTION("""COMPUTED_VALUE"""),2.0)</f>
        <v>2</v>
      </c>
      <c r="I1720" s="11">
        <f>IFERROR(__xludf.DUMMYFUNCTION("""COMPUTED_VALUE"""),1019.0)</f>
        <v>1019</v>
      </c>
      <c r="J1720" s="9" t="str">
        <f>IFERROR(__xludf.DUMMYFUNCTION("""COMPUTED_VALUE"""),"UK")</f>
        <v>UK</v>
      </c>
      <c r="K1720" s="8"/>
      <c r="L1720" s="12"/>
      <c r="M1720" s="13"/>
      <c r="N1720" s="13" t="str">
        <f>IFERROR(__xludf.DUMMYFUNCTION("IF(ISBLANK(M1720),"""",M1720*GOOGLEFINANCE(""USDGBP""))"),"")</f>
        <v/>
      </c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8"/>
      <c r="FV1720" s="8"/>
      <c r="FW1720" s="8"/>
      <c r="FX1720" s="8"/>
      <c r="FY1720" s="8"/>
      <c r="FZ1720" s="8"/>
      <c r="GA1720" s="8"/>
      <c r="GB1720" s="8"/>
      <c r="GC1720" s="8"/>
      <c r="GD1720" s="8"/>
      <c r="GE1720" s="8"/>
      <c r="GF1720" s="8"/>
      <c r="GG1720" s="8"/>
      <c r="GH1720" s="8"/>
      <c r="GI1720" s="8"/>
      <c r="GJ1720" s="8"/>
      <c r="GK1720" s="8"/>
      <c r="GL1720" s="8"/>
      <c r="GM1720" s="8"/>
      <c r="GN1720" s="8"/>
      <c r="GO1720" s="8"/>
      <c r="GP1720" s="8"/>
      <c r="GQ1720" s="8"/>
      <c r="GR1720" s="8"/>
      <c r="GS1720" s="8"/>
      <c r="GT1720" s="8"/>
      <c r="GU1720" s="8"/>
      <c r="GV1720" s="8"/>
      <c r="GW1720" s="8"/>
      <c r="GX1720" s="8"/>
    </row>
    <row r="1721">
      <c r="A1721" s="8" t="str">
        <f>IFERROR(__xludf.DUMMYFUNCTION("""COMPUTED_VALUE"""),"116079820020300750")</f>
        <v>116079820020300750</v>
      </c>
      <c r="B1721" s="9" t="str">
        <f>IFERROR(__xludf.DUMMYFUNCTION("""COMPUTED_VALUE"""),"France")</f>
        <v>France</v>
      </c>
      <c r="C1721" s="9" t="str">
        <f>IFERROR(__xludf.DUMMYFUNCTION("""COMPUTED_VALUE"""),"champagne")</f>
        <v>champagne</v>
      </c>
      <c r="D1721" s="9" t="str">
        <f>IFERROR(__xludf.DUMMYFUNCTION("""COMPUTED_VALUE"""),"Ruinart, Dom Ruinart Blanc de Blancs")</f>
        <v>Ruinart, Dom Ruinart Blanc de Blancs</v>
      </c>
      <c r="E1721" s="9">
        <f>IFERROR(__xludf.DUMMYFUNCTION("""COMPUTED_VALUE"""),2002.0)</f>
        <v>2002</v>
      </c>
      <c r="F1721" s="9">
        <f>IFERROR(__xludf.DUMMYFUNCTION("""COMPUTED_VALUE"""),750.0)</f>
        <v>750</v>
      </c>
      <c r="G1721" s="9">
        <f>IFERROR(__xludf.DUMMYFUNCTION("""COMPUTED_VALUE"""),3.0)</f>
        <v>3</v>
      </c>
      <c r="H1721" s="10">
        <f>IFERROR(__xludf.DUMMYFUNCTION("""COMPUTED_VALUE"""),1.0)</f>
        <v>1</v>
      </c>
      <c r="I1721" s="11">
        <f>IFERROR(__xludf.DUMMYFUNCTION("""COMPUTED_VALUE"""),630.0)</f>
        <v>630</v>
      </c>
      <c r="J1721" s="9" t="str">
        <f>IFERROR(__xludf.DUMMYFUNCTION("""COMPUTED_VALUE"""),"UK")</f>
        <v>UK</v>
      </c>
      <c r="K1721" s="8"/>
      <c r="L1721" s="12"/>
      <c r="M1721" s="13"/>
      <c r="N1721" s="13" t="str">
        <f>IFERROR(__xludf.DUMMYFUNCTION("IF(ISBLANK(M1721),"""",M1721*GOOGLEFINANCE(""USDGBP""))"),"")</f>
        <v/>
      </c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8"/>
      <c r="FJ1721" s="8"/>
      <c r="FK1721" s="8"/>
      <c r="FL1721" s="8"/>
      <c r="FM1721" s="8"/>
      <c r="FN1721" s="8"/>
      <c r="FO1721" s="8"/>
      <c r="FP1721" s="8"/>
      <c r="FQ1721" s="8"/>
      <c r="FR1721" s="8"/>
      <c r="FS1721" s="8"/>
      <c r="FT1721" s="8"/>
      <c r="FU1721" s="8"/>
      <c r="FV1721" s="8"/>
      <c r="FW1721" s="8"/>
      <c r="FX1721" s="8"/>
      <c r="FY1721" s="8"/>
      <c r="FZ1721" s="8"/>
      <c r="GA1721" s="8"/>
      <c r="GB1721" s="8"/>
      <c r="GC1721" s="8"/>
      <c r="GD1721" s="8"/>
      <c r="GE1721" s="8"/>
      <c r="GF1721" s="8"/>
      <c r="GG1721" s="8"/>
      <c r="GH1721" s="8"/>
      <c r="GI1721" s="8"/>
      <c r="GJ1721" s="8"/>
      <c r="GK1721" s="8"/>
      <c r="GL1721" s="8"/>
      <c r="GM1721" s="8"/>
      <c r="GN1721" s="8"/>
      <c r="GO1721" s="8"/>
      <c r="GP1721" s="8"/>
      <c r="GQ1721" s="8"/>
      <c r="GR1721" s="8"/>
      <c r="GS1721" s="8"/>
      <c r="GT1721" s="8"/>
      <c r="GU1721" s="8"/>
      <c r="GV1721" s="8"/>
      <c r="GW1721" s="8"/>
      <c r="GX1721" s="8"/>
    </row>
    <row r="1722">
      <c r="A1722" s="8" t="str">
        <f>IFERROR(__xludf.DUMMYFUNCTION("""COMPUTED_VALUE"""),"180762619990101500")</f>
        <v>180762619990101500</v>
      </c>
      <c r="B1722" s="9" t="str">
        <f>IFERROR(__xludf.DUMMYFUNCTION("""COMPUTED_VALUE"""),"France")</f>
        <v>France</v>
      </c>
      <c r="C1722" s="9" t="str">
        <f>IFERROR(__xludf.DUMMYFUNCTION("""COMPUTED_VALUE"""),"champagne")</f>
        <v>champagne</v>
      </c>
      <c r="D1722" s="9" t="str">
        <f>IFERROR(__xludf.DUMMYFUNCTION("""COMPUTED_VALUE"""),"Salon, Le Mesnil-sur-Oger Grand Cru")</f>
        <v>Salon, Le Mesnil-sur-Oger Grand Cru</v>
      </c>
      <c r="E1722" s="9">
        <f>IFERROR(__xludf.DUMMYFUNCTION("""COMPUTED_VALUE"""),1999.0)</f>
        <v>1999</v>
      </c>
      <c r="F1722" s="9">
        <f>IFERROR(__xludf.DUMMYFUNCTION("""COMPUTED_VALUE"""),1500.0)</f>
        <v>1500</v>
      </c>
      <c r="G1722" s="9">
        <f>IFERROR(__xludf.DUMMYFUNCTION("""COMPUTED_VALUE"""),1.0)</f>
        <v>1</v>
      </c>
      <c r="H1722" s="10">
        <f>IFERROR(__xludf.DUMMYFUNCTION("""COMPUTED_VALUE"""),1.0)</f>
        <v>1</v>
      </c>
      <c r="I1722" s="11">
        <f>IFERROR(__xludf.DUMMYFUNCTION("""COMPUTED_VALUE"""),1869.0)</f>
        <v>1869</v>
      </c>
      <c r="J1722" s="9" t="str">
        <f>IFERROR(__xludf.DUMMYFUNCTION("""COMPUTED_VALUE"""),"UK")</f>
        <v>UK</v>
      </c>
      <c r="K1722" s="8"/>
      <c r="L1722" s="12"/>
      <c r="M1722" s="13"/>
      <c r="N1722" s="13" t="str">
        <f>IFERROR(__xludf.DUMMYFUNCTION("IF(ISBLANK(M1722),"""",M1722*GOOGLEFINANCE(""USDGBP""))"),"")</f>
        <v/>
      </c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8"/>
      <c r="FJ1722" s="8"/>
      <c r="FK1722" s="8"/>
      <c r="FL1722" s="8"/>
      <c r="FM1722" s="8"/>
      <c r="FN1722" s="8"/>
      <c r="FO1722" s="8"/>
      <c r="FP1722" s="8"/>
      <c r="FQ1722" s="8"/>
      <c r="FR1722" s="8"/>
      <c r="FS1722" s="8"/>
      <c r="FT1722" s="8"/>
      <c r="FU1722" s="8"/>
      <c r="FV1722" s="8"/>
      <c r="FW1722" s="8"/>
      <c r="FX1722" s="8"/>
      <c r="FY1722" s="8"/>
      <c r="FZ1722" s="8"/>
      <c r="GA1722" s="8"/>
      <c r="GB1722" s="8"/>
      <c r="GC1722" s="8"/>
      <c r="GD1722" s="8"/>
      <c r="GE1722" s="8"/>
      <c r="GF1722" s="8"/>
      <c r="GG1722" s="8"/>
      <c r="GH1722" s="8"/>
      <c r="GI1722" s="8"/>
      <c r="GJ1722" s="8"/>
      <c r="GK1722" s="8"/>
      <c r="GL1722" s="8"/>
      <c r="GM1722" s="8"/>
      <c r="GN1722" s="8"/>
      <c r="GO1722" s="8"/>
      <c r="GP1722" s="8"/>
      <c r="GQ1722" s="8"/>
      <c r="GR1722" s="8"/>
      <c r="GS1722" s="8"/>
      <c r="GT1722" s="8"/>
      <c r="GU1722" s="8"/>
      <c r="GV1722" s="8"/>
      <c r="GW1722" s="8"/>
      <c r="GX1722" s="8"/>
    </row>
    <row r="1723">
      <c r="A1723" s="8" t="str">
        <f>IFERROR(__xludf.DUMMYFUNCTION("""COMPUTED_VALUE"""),"180762620040600750")</f>
        <v>180762620040600750</v>
      </c>
      <c r="B1723" s="9" t="str">
        <f>IFERROR(__xludf.DUMMYFUNCTION("""COMPUTED_VALUE"""),"France")</f>
        <v>France</v>
      </c>
      <c r="C1723" s="9" t="str">
        <f>IFERROR(__xludf.DUMMYFUNCTION("""COMPUTED_VALUE"""),"champagne")</f>
        <v>champagne</v>
      </c>
      <c r="D1723" s="9" t="str">
        <f>IFERROR(__xludf.DUMMYFUNCTION("""COMPUTED_VALUE"""),"Salon, Le Mesnil-sur-Oger Grand Cru")</f>
        <v>Salon, Le Mesnil-sur-Oger Grand Cru</v>
      </c>
      <c r="E1723" s="9">
        <f>IFERROR(__xludf.DUMMYFUNCTION("""COMPUTED_VALUE"""),2004.0)</f>
        <v>2004</v>
      </c>
      <c r="F1723" s="9">
        <f>IFERROR(__xludf.DUMMYFUNCTION("""COMPUTED_VALUE"""),750.0)</f>
        <v>750</v>
      </c>
      <c r="G1723" s="9">
        <f>IFERROR(__xludf.DUMMYFUNCTION("""COMPUTED_VALUE"""),6.0)</f>
        <v>6</v>
      </c>
      <c r="H1723" s="10">
        <f>IFERROR(__xludf.DUMMYFUNCTION("""COMPUTED_VALUE"""),1.0)</f>
        <v>1</v>
      </c>
      <c r="I1723" s="11">
        <f>IFERROR(__xludf.DUMMYFUNCTION("""COMPUTED_VALUE"""),5839.0)</f>
        <v>5839</v>
      </c>
      <c r="J1723" s="9" t="str">
        <f>IFERROR(__xludf.DUMMYFUNCTION("""COMPUTED_VALUE"""),"UK")</f>
        <v>UK</v>
      </c>
      <c r="K1723" s="8"/>
      <c r="L1723" s="12"/>
      <c r="M1723" s="13"/>
      <c r="N1723" s="13" t="str">
        <f>IFERROR(__xludf.DUMMYFUNCTION("IF(ISBLANK(M1723),"""",M1723*GOOGLEFINANCE(""USDGBP""))"),"")</f>
        <v/>
      </c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8"/>
      <c r="FJ1723" s="8"/>
      <c r="FK1723" s="8"/>
      <c r="FL1723" s="8"/>
      <c r="FM1723" s="8"/>
      <c r="FN1723" s="8"/>
      <c r="FO1723" s="8"/>
      <c r="FP1723" s="8"/>
      <c r="FQ1723" s="8"/>
      <c r="FR1723" s="8"/>
      <c r="FS1723" s="8"/>
      <c r="FT1723" s="8"/>
      <c r="FU1723" s="8"/>
      <c r="FV1723" s="8"/>
      <c r="FW1723" s="8"/>
      <c r="FX1723" s="8"/>
      <c r="FY1723" s="8"/>
      <c r="FZ1723" s="8"/>
      <c r="GA1723" s="8"/>
      <c r="GB1723" s="8"/>
      <c r="GC1723" s="8"/>
      <c r="GD1723" s="8"/>
      <c r="GE1723" s="8"/>
      <c r="GF1723" s="8"/>
      <c r="GG1723" s="8"/>
      <c r="GH1723" s="8"/>
      <c r="GI1723" s="8"/>
      <c r="GJ1723" s="8"/>
      <c r="GK1723" s="8"/>
      <c r="GL1723" s="8"/>
      <c r="GM1723" s="8"/>
      <c r="GN1723" s="8"/>
      <c r="GO1723" s="8"/>
      <c r="GP1723" s="8"/>
      <c r="GQ1723" s="8"/>
      <c r="GR1723" s="8"/>
      <c r="GS1723" s="8"/>
      <c r="GT1723" s="8"/>
      <c r="GU1723" s="8"/>
      <c r="GV1723" s="8"/>
      <c r="GW1723" s="8"/>
      <c r="GX1723" s="8"/>
    </row>
    <row r="1724">
      <c r="A1724" s="8" t="str">
        <f>IFERROR(__xludf.DUMMYFUNCTION("""COMPUTED_VALUE"""),"180762620060600750")</f>
        <v>180762620060600750</v>
      </c>
      <c r="B1724" s="9" t="str">
        <f>IFERROR(__xludf.DUMMYFUNCTION("""COMPUTED_VALUE"""),"France")</f>
        <v>France</v>
      </c>
      <c r="C1724" s="9" t="str">
        <f>IFERROR(__xludf.DUMMYFUNCTION("""COMPUTED_VALUE"""),"champagne")</f>
        <v>champagne</v>
      </c>
      <c r="D1724" s="9" t="str">
        <f>IFERROR(__xludf.DUMMYFUNCTION("""COMPUTED_VALUE"""),"Salon, Le Mesnil-sur-Oger Grand Cru")</f>
        <v>Salon, Le Mesnil-sur-Oger Grand Cru</v>
      </c>
      <c r="E1724" s="9">
        <f>IFERROR(__xludf.DUMMYFUNCTION("""COMPUTED_VALUE"""),2006.0)</f>
        <v>2006</v>
      </c>
      <c r="F1724" s="9">
        <f>IFERROR(__xludf.DUMMYFUNCTION("""COMPUTED_VALUE"""),750.0)</f>
        <v>750</v>
      </c>
      <c r="G1724" s="9">
        <f>IFERROR(__xludf.DUMMYFUNCTION("""COMPUTED_VALUE"""),6.0)</f>
        <v>6</v>
      </c>
      <c r="H1724" s="10">
        <f>IFERROR(__xludf.DUMMYFUNCTION("""COMPUTED_VALUE"""),1.0)</f>
        <v>1</v>
      </c>
      <c r="I1724" s="11">
        <f>IFERROR(__xludf.DUMMYFUNCTION("""COMPUTED_VALUE"""),5392.0)</f>
        <v>5392</v>
      </c>
      <c r="J1724" s="9" t="str">
        <f>IFERROR(__xludf.DUMMYFUNCTION("""COMPUTED_VALUE"""),"UK")</f>
        <v>UK</v>
      </c>
      <c r="K1724" s="8"/>
      <c r="L1724" s="12"/>
      <c r="M1724" s="13"/>
      <c r="N1724" s="13" t="str">
        <f>IFERROR(__xludf.DUMMYFUNCTION("IF(ISBLANK(M1724),"""",M1724*GOOGLEFINANCE(""USDGBP""))"),"")</f>
        <v/>
      </c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8"/>
      <c r="FJ1724" s="8"/>
      <c r="FK1724" s="8"/>
      <c r="FL1724" s="8"/>
      <c r="FM1724" s="8"/>
      <c r="FN1724" s="8"/>
      <c r="FO1724" s="8"/>
      <c r="FP1724" s="8"/>
      <c r="FQ1724" s="8"/>
      <c r="FR1724" s="8"/>
      <c r="FS1724" s="8"/>
      <c r="FT1724" s="8"/>
      <c r="FU1724" s="8"/>
      <c r="FV1724" s="8"/>
      <c r="FW1724" s="8"/>
      <c r="FX1724" s="8"/>
      <c r="FY1724" s="8"/>
      <c r="FZ1724" s="8"/>
      <c r="GA1724" s="8"/>
      <c r="GB1724" s="8"/>
      <c r="GC1724" s="8"/>
      <c r="GD1724" s="8"/>
      <c r="GE1724" s="8"/>
      <c r="GF1724" s="8"/>
      <c r="GG1724" s="8"/>
      <c r="GH1724" s="8"/>
      <c r="GI1724" s="8"/>
      <c r="GJ1724" s="8"/>
      <c r="GK1724" s="8"/>
      <c r="GL1724" s="8"/>
      <c r="GM1724" s="8"/>
      <c r="GN1724" s="8"/>
      <c r="GO1724" s="8"/>
      <c r="GP1724" s="8"/>
      <c r="GQ1724" s="8"/>
      <c r="GR1724" s="8"/>
      <c r="GS1724" s="8"/>
      <c r="GT1724" s="8"/>
      <c r="GU1724" s="8"/>
      <c r="GV1724" s="8"/>
      <c r="GW1724" s="8"/>
      <c r="GX1724" s="8"/>
    </row>
    <row r="1725">
      <c r="A1725" s="8" t="str">
        <f>IFERROR(__xludf.DUMMYFUNCTION("""COMPUTED_VALUE"""),"188672019970100750")</f>
        <v>188672019970100750</v>
      </c>
      <c r="B1725" s="9" t="str">
        <f>IFERROR(__xludf.DUMMYFUNCTION("""COMPUTED_VALUE"""),"France")</f>
        <v>France</v>
      </c>
      <c r="C1725" s="9" t="str">
        <f>IFERROR(__xludf.DUMMYFUNCTION("""COMPUTED_VALUE"""),"champagne")</f>
        <v>champagne</v>
      </c>
      <c r="D1725" s="9" t="str">
        <f>IFERROR(__xludf.DUMMYFUNCTION("""COMPUTED_VALUE"""),"Salon, Le Mesnil-sur-Oger Grand Cru, Special Release Disgorgement 2020")</f>
        <v>Salon, Le Mesnil-sur-Oger Grand Cru, Special Release Disgorgement 2020</v>
      </c>
      <c r="E1725" s="9">
        <f>IFERROR(__xludf.DUMMYFUNCTION("""COMPUTED_VALUE"""),1997.0)</f>
        <v>1997</v>
      </c>
      <c r="F1725" s="9">
        <f>IFERROR(__xludf.DUMMYFUNCTION("""COMPUTED_VALUE"""),750.0)</f>
        <v>750</v>
      </c>
      <c r="G1725" s="9">
        <f>IFERROR(__xludf.DUMMYFUNCTION("""COMPUTED_VALUE"""),1.0)</f>
        <v>1</v>
      </c>
      <c r="H1725" s="10">
        <f>IFERROR(__xludf.DUMMYFUNCTION("""COMPUTED_VALUE"""),1.0)</f>
        <v>1</v>
      </c>
      <c r="I1725" s="11">
        <f>IFERROR(__xludf.DUMMYFUNCTION("""COMPUTED_VALUE"""),993.0)</f>
        <v>993</v>
      </c>
      <c r="J1725" s="9" t="str">
        <f>IFERROR(__xludf.DUMMYFUNCTION("""COMPUTED_VALUE"""),"UK")</f>
        <v>UK</v>
      </c>
      <c r="K1725" s="8"/>
      <c r="L1725" s="12"/>
      <c r="M1725" s="13"/>
      <c r="N1725" s="13" t="str">
        <f>IFERROR(__xludf.DUMMYFUNCTION("IF(ISBLANK(M1725),"""",M1725*GOOGLEFINANCE(""USDGBP""))"),"")</f>
        <v/>
      </c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8"/>
      <c r="FJ1725" s="8"/>
      <c r="FK1725" s="8"/>
      <c r="FL1725" s="8"/>
      <c r="FM1725" s="8"/>
      <c r="FN1725" s="8"/>
      <c r="FO1725" s="8"/>
      <c r="FP1725" s="8"/>
      <c r="FQ1725" s="8"/>
      <c r="FR1725" s="8"/>
      <c r="FS1725" s="8"/>
      <c r="FT1725" s="8"/>
      <c r="FU1725" s="8"/>
      <c r="FV1725" s="8"/>
      <c r="FW1725" s="8"/>
      <c r="FX1725" s="8"/>
      <c r="FY1725" s="8"/>
      <c r="FZ1725" s="8"/>
      <c r="GA1725" s="8"/>
      <c r="GB1725" s="8"/>
      <c r="GC1725" s="8"/>
      <c r="GD1725" s="8"/>
      <c r="GE1725" s="8"/>
      <c r="GF1725" s="8"/>
      <c r="GG1725" s="8"/>
      <c r="GH1725" s="8"/>
      <c r="GI1725" s="8"/>
      <c r="GJ1725" s="8"/>
      <c r="GK1725" s="8"/>
      <c r="GL1725" s="8"/>
      <c r="GM1725" s="8"/>
      <c r="GN1725" s="8"/>
      <c r="GO1725" s="8"/>
      <c r="GP1725" s="8"/>
      <c r="GQ1725" s="8"/>
      <c r="GR1725" s="8"/>
      <c r="GS1725" s="8"/>
      <c r="GT1725" s="8"/>
      <c r="GU1725" s="8"/>
      <c r="GV1725" s="8"/>
      <c r="GW1725" s="8"/>
      <c r="GX1725" s="8"/>
    </row>
    <row r="1726">
      <c r="A1726" s="8" t="str">
        <f>IFERROR(__xludf.DUMMYFUNCTION("""COMPUTED_VALUE"""),"131437720020600750")</f>
        <v>131437720020600750</v>
      </c>
      <c r="B1726" s="9" t="str">
        <f>IFERROR(__xludf.DUMMYFUNCTION("""COMPUTED_VALUE"""),"France")</f>
        <v>France</v>
      </c>
      <c r="C1726" s="9" t="str">
        <f>IFERROR(__xludf.DUMMYFUNCTION("""COMPUTED_VALUE"""),"champagne")</f>
        <v>champagne</v>
      </c>
      <c r="D1726" s="9" t="str">
        <f>IFERROR(__xludf.DUMMYFUNCTION("""COMPUTED_VALUE"""),"Taittinger, Comtes de Champagne Blanc de Blancs")</f>
        <v>Taittinger, Comtes de Champagne Blanc de Blancs</v>
      </c>
      <c r="E1726" s="9">
        <f>IFERROR(__xludf.DUMMYFUNCTION("""COMPUTED_VALUE"""),2002.0)</f>
        <v>2002</v>
      </c>
      <c r="F1726" s="9">
        <f>IFERROR(__xludf.DUMMYFUNCTION("""COMPUTED_VALUE"""),750.0)</f>
        <v>750</v>
      </c>
      <c r="G1726" s="9">
        <f>IFERROR(__xludf.DUMMYFUNCTION("""COMPUTED_VALUE"""),6.0)</f>
        <v>6</v>
      </c>
      <c r="H1726" s="10">
        <f>IFERROR(__xludf.DUMMYFUNCTION("""COMPUTED_VALUE"""),1.0)</f>
        <v>1</v>
      </c>
      <c r="I1726" s="11">
        <f>IFERROR(__xludf.DUMMYFUNCTION("""COMPUTED_VALUE"""),1662.0)</f>
        <v>1662</v>
      </c>
      <c r="J1726" s="9" t="str">
        <f>IFERROR(__xludf.DUMMYFUNCTION("""COMPUTED_VALUE"""),"UK")</f>
        <v>UK</v>
      </c>
      <c r="K1726" s="8"/>
      <c r="L1726" s="12"/>
      <c r="M1726" s="13"/>
      <c r="N1726" s="13" t="str">
        <f>IFERROR(__xludf.DUMMYFUNCTION("IF(ISBLANK(M1726),"""",M1726*GOOGLEFINANCE(""USDGBP""))"),"")</f>
        <v/>
      </c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  <c r="GA1726" s="8"/>
      <c r="GB1726" s="8"/>
      <c r="GC1726" s="8"/>
      <c r="GD1726" s="8"/>
      <c r="GE1726" s="8"/>
      <c r="GF1726" s="8"/>
      <c r="GG1726" s="8"/>
      <c r="GH1726" s="8"/>
      <c r="GI1726" s="8"/>
      <c r="GJ1726" s="8"/>
      <c r="GK1726" s="8"/>
      <c r="GL1726" s="8"/>
      <c r="GM1726" s="8"/>
      <c r="GN1726" s="8"/>
      <c r="GO1726" s="8"/>
      <c r="GP1726" s="8"/>
      <c r="GQ1726" s="8"/>
      <c r="GR1726" s="8"/>
      <c r="GS1726" s="8"/>
      <c r="GT1726" s="8"/>
      <c r="GU1726" s="8"/>
      <c r="GV1726" s="8"/>
      <c r="GW1726" s="8"/>
      <c r="GX1726" s="8"/>
    </row>
    <row r="1727">
      <c r="A1727" s="8" t="str">
        <f>IFERROR(__xludf.DUMMYFUNCTION("""COMPUTED_VALUE"""),"131437720070301500")</f>
        <v>131437720070301500</v>
      </c>
      <c r="B1727" s="9" t="str">
        <f>IFERROR(__xludf.DUMMYFUNCTION("""COMPUTED_VALUE"""),"France")</f>
        <v>France</v>
      </c>
      <c r="C1727" s="9" t="str">
        <f>IFERROR(__xludf.DUMMYFUNCTION("""COMPUTED_VALUE"""),"champagne")</f>
        <v>champagne</v>
      </c>
      <c r="D1727" s="9" t="str">
        <f>IFERROR(__xludf.DUMMYFUNCTION("""COMPUTED_VALUE"""),"Taittinger, Comtes de Champagne Blanc de Blancs")</f>
        <v>Taittinger, Comtes de Champagne Blanc de Blancs</v>
      </c>
      <c r="E1727" s="9">
        <f>IFERROR(__xludf.DUMMYFUNCTION("""COMPUTED_VALUE"""),2007.0)</f>
        <v>2007</v>
      </c>
      <c r="F1727" s="9">
        <f>IFERROR(__xludf.DUMMYFUNCTION("""COMPUTED_VALUE"""),1500.0)</f>
        <v>1500</v>
      </c>
      <c r="G1727" s="9">
        <f>IFERROR(__xludf.DUMMYFUNCTION("""COMPUTED_VALUE"""),3.0)</f>
        <v>3</v>
      </c>
      <c r="H1727" s="10">
        <f>IFERROR(__xludf.DUMMYFUNCTION("""COMPUTED_VALUE"""),1.0)</f>
        <v>1</v>
      </c>
      <c r="I1727" s="11">
        <f>IFERROR(__xludf.DUMMYFUNCTION("""COMPUTED_VALUE"""),703.0)</f>
        <v>703</v>
      </c>
      <c r="J1727" s="9" t="str">
        <f>IFERROR(__xludf.DUMMYFUNCTION("""COMPUTED_VALUE"""),"UK")</f>
        <v>UK</v>
      </c>
      <c r="K1727" s="8"/>
      <c r="L1727" s="12"/>
      <c r="M1727" s="13"/>
      <c r="N1727" s="13" t="str">
        <f>IFERROR(__xludf.DUMMYFUNCTION("IF(ISBLANK(M1727),"""",M1727*GOOGLEFINANCE(""USDGBP""))"),"")</f>
        <v/>
      </c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8"/>
      <c r="FV1727" s="8"/>
      <c r="FW1727" s="8"/>
      <c r="FX1727" s="8"/>
      <c r="FY1727" s="8"/>
      <c r="FZ1727" s="8"/>
      <c r="GA1727" s="8"/>
      <c r="GB1727" s="8"/>
      <c r="GC1727" s="8"/>
      <c r="GD1727" s="8"/>
      <c r="GE1727" s="8"/>
      <c r="GF1727" s="8"/>
      <c r="GG1727" s="8"/>
      <c r="GH1727" s="8"/>
      <c r="GI1727" s="8"/>
      <c r="GJ1727" s="8"/>
      <c r="GK1727" s="8"/>
      <c r="GL1727" s="8"/>
      <c r="GM1727" s="8"/>
      <c r="GN1727" s="8"/>
      <c r="GO1727" s="8"/>
      <c r="GP1727" s="8"/>
      <c r="GQ1727" s="8"/>
      <c r="GR1727" s="8"/>
      <c r="GS1727" s="8"/>
      <c r="GT1727" s="8"/>
      <c r="GU1727" s="8"/>
      <c r="GV1727" s="8"/>
      <c r="GW1727" s="8"/>
      <c r="GX1727" s="8"/>
    </row>
    <row r="1728">
      <c r="A1728" s="8" t="str">
        <f>IFERROR(__xludf.DUMMYFUNCTION("""COMPUTED_VALUE"""),"131437720110600750")</f>
        <v>131437720110600750</v>
      </c>
      <c r="B1728" s="9" t="str">
        <f>IFERROR(__xludf.DUMMYFUNCTION("""COMPUTED_VALUE"""),"France")</f>
        <v>France</v>
      </c>
      <c r="C1728" s="9" t="str">
        <f>IFERROR(__xludf.DUMMYFUNCTION("""COMPUTED_VALUE"""),"champagne")</f>
        <v>champagne</v>
      </c>
      <c r="D1728" s="9" t="str">
        <f>IFERROR(__xludf.DUMMYFUNCTION("""COMPUTED_VALUE"""),"Taittinger, Comtes de Champagne Blanc de Blancs")</f>
        <v>Taittinger, Comtes de Champagne Blanc de Blancs</v>
      </c>
      <c r="E1728" s="9">
        <f>IFERROR(__xludf.DUMMYFUNCTION("""COMPUTED_VALUE"""),2011.0)</f>
        <v>2011</v>
      </c>
      <c r="F1728" s="9">
        <f>IFERROR(__xludf.DUMMYFUNCTION("""COMPUTED_VALUE"""),750.0)</f>
        <v>750</v>
      </c>
      <c r="G1728" s="9">
        <f>IFERROR(__xludf.DUMMYFUNCTION("""COMPUTED_VALUE"""),6.0)</f>
        <v>6</v>
      </c>
      <c r="H1728" s="10">
        <f>IFERROR(__xludf.DUMMYFUNCTION("""COMPUTED_VALUE"""),17.0)</f>
        <v>17</v>
      </c>
      <c r="I1728" s="11">
        <f>IFERROR(__xludf.DUMMYFUNCTION("""COMPUTED_VALUE"""),568.0)</f>
        <v>568</v>
      </c>
      <c r="J1728" s="9" t="str">
        <f>IFERROR(__xludf.DUMMYFUNCTION("""COMPUTED_VALUE"""),"UK")</f>
        <v>UK</v>
      </c>
      <c r="K1728" s="8"/>
      <c r="L1728" s="12"/>
      <c r="M1728" s="13"/>
      <c r="N1728" s="13" t="str">
        <f>IFERROR(__xludf.DUMMYFUNCTION("IF(ISBLANK(M1728),"""",M1728*GOOGLEFINANCE(""USDGBP""))"),"")</f>
        <v/>
      </c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8"/>
      <c r="FV1728" s="8"/>
      <c r="FW1728" s="8"/>
      <c r="FX1728" s="8"/>
      <c r="FY1728" s="8"/>
      <c r="FZ1728" s="8"/>
      <c r="GA1728" s="8"/>
      <c r="GB1728" s="8"/>
      <c r="GC1728" s="8"/>
      <c r="GD1728" s="8"/>
      <c r="GE1728" s="8"/>
      <c r="GF1728" s="8"/>
      <c r="GG1728" s="8"/>
      <c r="GH1728" s="8"/>
      <c r="GI1728" s="8"/>
      <c r="GJ1728" s="8"/>
      <c r="GK1728" s="8"/>
      <c r="GL1728" s="8"/>
      <c r="GM1728" s="8"/>
      <c r="GN1728" s="8"/>
      <c r="GO1728" s="8"/>
      <c r="GP1728" s="8"/>
      <c r="GQ1728" s="8"/>
      <c r="GR1728" s="8"/>
      <c r="GS1728" s="8"/>
      <c r="GT1728" s="8"/>
      <c r="GU1728" s="8"/>
      <c r="GV1728" s="8"/>
      <c r="GW1728" s="8"/>
      <c r="GX1728" s="8"/>
    </row>
    <row r="1729">
      <c r="A1729" s="8" t="str">
        <f>IFERROR(__xludf.DUMMYFUNCTION("""COMPUTED_VALUE"""),"108309920080600750")</f>
        <v>108309920080600750</v>
      </c>
      <c r="B1729" s="9" t="str">
        <f>IFERROR(__xludf.DUMMYFUNCTION("""COMPUTED_VALUE"""),"France")</f>
        <v>France</v>
      </c>
      <c r="C1729" s="9" t="str">
        <f>IFERROR(__xludf.DUMMYFUNCTION("""COMPUTED_VALUE"""),"champagne")</f>
        <v>champagne</v>
      </c>
      <c r="D1729" s="9" t="str">
        <f>IFERROR(__xludf.DUMMYFUNCTION("""COMPUTED_VALUE"""),"Veuve Clicquot, La Grande Dame")</f>
        <v>Veuve Clicquot, La Grande Dame</v>
      </c>
      <c r="E1729" s="9">
        <f>IFERROR(__xludf.DUMMYFUNCTION("""COMPUTED_VALUE"""),2008.0)</f>
        <v>2008</v>
      </c>
      <c r="F1729" s="9">
        <f>IFERROR(__xludf.DUMMYFUNCTION("""COMPUTED_VALUE"""),750.0)</f>
        <v>750</v>
      </c>
      <c r="G1729" s="9">
        <f>IFERROR(__xludf.DUMMYFUNCTION("""COMPUTED_VALUE"""),6.0)</f>
        <v>6</v>
      </c>
      <c r="H1729" s="10">
        <f>IFERROR(__xludf.DUMMYFUNCTION("""COMPUTED_VALUE"""),3.0)</f>
        <v>3</v>
      </c>
      <c r="I1729" s="11">
        <f>IFERROR(__xludf.DUMMYFUNCTION("""COMPUTED_VALUE"""),754.0)</f>
        <v>754</v>
      </c>
      <c r="J1729" s="9" t="str">
        <f>IFERROR(__xludf.DUMMYFUNCTION("""COMPUTED_VALUE"""),"UK")</f>
        <v>UK</v>
      </c>
      <c r="K1729" s="8"/>
      <c r="L1729" s="12"/>
      <c r="M1729" s="13"/>
      <c r="N1729" s="13" t="str">
        <f>IFERROR(__xludf.DUMMYFUNCTION("IF(ISBLANK(M1729),"""",M1729*GOOGLEFINANCE(""USDGBP""))"),"")</f>
        <v/>
      </c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8"/>
      <c r="FJ1729" s="8"/>
      <c r="FK1729" s="8"/>
      <c r="FL1729" s="8"/>
      <c r="FM1729" s="8"/>
      <c r="FN1729" s="8"/>
      <c r="FO1729" s="8"/>
      <c r="FP1729" s="8"/>
      <c r="FQ1729" s="8"/>
      <c r="FR1729" s="8"/>
      <c r="FS1729" s="8"/>
      <c r="FT1729" s="8"/>
      <c r="FU1729" s="8"/>
      <c r="FV1729" s="8"/>
      <c r="FW1729" s="8"/>
      <c r="FX1729" s="8"/>
      <c r="FY1729" s="8"/>
      <c r="FZ1729" s="8"/>
      <c r="GA1729" s="8"/>
      <c r="GB1729" s="8"/>
      <c r="GC1729" s="8"/>
      <c r="GD1729" s="8"/>
      <c r="GE1729" s="8"/>
      <c r="GF1729" s="8"/>
      <c r="GG1729" s="8"/>
      <c r="GH1729" s="8"/>
      <c r="GI1729" s="8"/>
      <c r="GJ1729" s="8"/>
      <c r="GK1729" s="8"/>
      <c r="GL1729" s="8"/>
      <c r="GM1729" s="8"/>
      <c r="GN1729" s="8"/>
      <c r="GO1729" s="8"/>
      <c r="GP1729" s="8"/>
      <c r="GQ1729" s="8"/>
      <c r="GR1729" s="8"/>
      <c r="GS1729" s="8"/>
      <c r="GT1729" s="8"/>
      <c r="GU1729" s="8"/>
      <c r="GV1729" s="8"/>
      <c r="GW1729" s="8"/>
      <c r="GX1729" s="8"/>
    </row>
    <row r="1730">
      <c r="A1730" s="8" t="str">
        <f>IFERROR(__xludf.DUMMYFUNCTION("""COMPUTED_VALUE"""),"108309920120600750")</f>
        <v>108309920120600750</v>
      </c>
      <c r="B1730" s="9" t="str">
        <f>IFERROR(__xludf.DUMMYFUNCTION("""COMPUTED_VALUE"""),"France")</f>
        <v>France</v>
      </c>
      <c r="C1730" s="9" t="str">
        <f>IFERROR(__xludf.DUMMYFUNCTION("""COMPUTED_VALUE"""),"champagne")</f>
        <v>champagne</v>
      </c>
      <c r="D1730" s="9" t="str">
        <f>IFERROR(__xludf.DUMMYFUNCTION("""COMPUTED_VALUE"""),"Veuve Clicquot, La Grande Dame")</f>
        <v>Veuve Clicquot, La Grande Dame</v>
      </c>
      <c r="E1730" s="9">
        <f>IFERROR(__xludf.DUMMYFUNCTION("""COMPUTED_VALUE"""),2012.0)</f>
        <v>2012</v>
      </c>
      <c r="F1730" s="9">
        <f>IFERROR(__xludf.DUMMYFUNCTION("""COMPUTED_VALUE"""),750.0)</f>
        <v>750</v>
      </c>
      <c r="G1730" s="9">
        <f>IFERROR(__xludf.DUMMYFUNCTION("""COMPUTED_VALUE"""),6.0)</f>
        <v>6</v>
      </c>
      <c r="H1730" s="10">
        <f>IFERROR(__xludf.DUMMYFUNCTION("""COMPUTED_VALUE"""),6.0)</f>
        <v>6</v>
      </c>
      <c r="I1730" s="11">
        <f>IFERROR(__xludf.DUMMYFUNCTION("""COMPUTED_VALUE"""),806.0)</f>
        <v>806</v>
      </c>
      <c r="J1730" s="9" t="str">
        <f>IFERROR(__xludf.DUMMYFUNCTION("""COMPUTED_VALUE"""),"UK")</f>
        <v>UK</v>
      </c>
      <c r="K1730" s="8"/>
      <c r="L1730" s="12"/>
      <c r="M1730" s="13"/>
      <c r="N1730" s="13" t="str">
        <f>IFERROR(__xludf.DUMMYFUNCTION("IF(ISBLANK(M1730),"""",M1730*GOOGLEFINANCE(""USDGBP""))"),"")</f>
        <v/>
      </c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8"/>
      <c r="FJ1730" s="8"/>
      <c r="FK1730" s="8"/>
      <c r="FL1730" s="8"/>
      <c r="FM1730" s="8"/>
      <c r="FN1730" s="8"/>
      <c r="FO1730" s="8"/>
      <c r="FP1730" s="8"/>
      <c r="FQ1730" s="8"/>
      <c r="FR1730" s="8"/>
      <c r="FS1730" s="8"/>
      <c r="FT1730" s="8"/>
      <c r="FU1730" s="8"/>
      <c r="FV1730" s="8"/>
      <c r="FW1730" s="8"/>
      <c r="FX1730" s="8"/>
      <c r="FY1730" s="8"/>
      <c r="FZ1730" s="8"/>
      <c r="GA1730" s="8"/>
      <c r="GB1730" s="8"/>
      <c r="GC1730" s="8"/>
      <c r="GD1730" s="8"/>
      <c r="GE1730" s="8"/>
      <c r="GF1730" s="8"/>
      <c r="GG1730" s="8"/>
      <c r="GH1730" s="8"/>
      <c r="GI1730" s="8"/>
      <c r="GJ1730" s="8"/>
      <c r="GK1730" s="8"/>
      <c r="GL1730" s="8"/>
      <c r="GM1730" s="8"/>
      <c r="GN1730" s="8"/>
      <c r="GO1730" s="8"/>
      <c r="GP1730" s="8"/>
      <c r="GQ1730" s="8"/>
      <c r="GR1730" s="8"/>
      <c r="GS1730" s="8"/>
      <c r="GT1730" s="8"/>
      <c r="GU1730" s="8"/>
      <c r="GV1730" s="8"/>
      <c r="GW1730" s="8"/>
      <c r="GX1730" s="8"/>
    </row>
    <row r="1731">
      <c r="A1731" s="8" t="str">
        <f>IFERROR(__xludf.DUMMYFUNCTION("""COMPUTED_VALUE"""),"108315820110600750")</f>
        <v>108315820110600750</v>
      </c>
      <c r="B1731" s="9" t="str">
        <f>IFERROR(__xludf.DUMMYFUNCTION("""COMPUTED_VALUE"""),"France")</f>
        <v>France</v>
      </c>
      <c r="C1731" s="9" t="str">
        <f>IFERROR(__xludf.DUMMYFUNCTION("""COMPUTED_VALUE"""),"champagne")</f>
        <v>champagne</v>
      </c>
      <c r="D1731" s="9" t="str">
        <f>IFERROR(__xludf.DUMMYFUNCTION("""COMPUTED_VALUE"""),"Vilmart &amp; Cie, Coeur de Cuvee Premier Cru")</f>
        <v>Vilmart &amp; Cie, Coeur de Cuvee Premier Cru</v>
      </c>
      <c r="E1731" s="9">
        <f>IFERROR(__xludf.DUMMYFUNCTION("""COMPUTED_VALUE"""),2011.0)</f>
        <v>2011</v>
      </c>
      <c r="F1731" s="9">
        <f>IFERROR(__xludf.DUMMYFUNCTION("""COMPUTED_VALUE"""),750.0)</f>
        <v>750</v>
      </c>
      <c r="G1731" s="9">
        <f>IFERROR(__xludf.DUMMYFUNCTION("""COMPUTED_VALUE"""),6.0)</f>
        <v>6</v>
      </c>
      <c r="H1731" s="10">
        <f>IFERROR(__xludf.DUMMYFUNCTION("""COMPUTED_VALUE"""),1.0)</f>
        <v>1</v>
      </c>
      <c r="I1731" s="11">
        <f>IFERROR(__xludf.DUMMYFUNCTION("""COMPUTED_VALUE"""),599.0)</f>
        <v>599</v>
      </c>
      <c r="J1731" s="9" t="str">
        <f>IFERROR(__xludf.DUMMYFUNCTION("""COMPUTED_VALUE"""),"UK")</f>
        <v>UK</v>
      </c>
      <c r="K1731" s="8"/>
      <c r="L1731" s="12"/>
      <c r="M1731" s="13"/>
      <c r="N1731" s="13" t="str">
        <f>IFERROR(__xludf.DUMMYFUNCTION("IF(ISBLANK(M1731),"""",M1731*GOOGLEFINANCE(""USDGBP""))"),"")</f>
        <v/>
      </c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8"/>
      <c r="FV1731" s="8"/>
      <c r="FW1731" s="8"/>
      <c r="FX1731" s="8"/>
      <c r="FY1731" s="8"/>
      <c r="FZ1731" s="8"/>
      <c r="GA1731" s="8"/>
      <c r="GB1731" s="8"/>
      <c r="GC1731" s="8"/>
      <c r="GD1731" s="8"/>
      <c r="GE1731" s="8"/>
      <c r="GF1731" s="8"/>
      <c r="GG1731" s="8"/>
      <c r="GH1731" s="8"/>
      <c r="GI1731" s="8"/>
      <c r="GJ1731" s="8"/>
      <c r="GK1731" s="8"/>
      <c r="GL1731" s="8"/>
      <c r="GM1731" s="8"/>
      <c r="GN1731" s="8"/>
      <c r="GO1731" s="8"/>
      <c r="GP1731" s="8"/>
      <c r="GQ1731" s="8"/>
      <c r="GR1731" s="8"/>
      <c r="GS1731" s="8"/>
      <c r="GT1731" s="8"/>
      <c r="GU1731" s="8"/>
      <c r="GV1731" s="8"/>
      <c r="GW1731" s="8"/>
      <c r="GX1731" s="8"/>
    </row>
    <row r="1732">
      <c r="A1732" s="8" t="str">
        <f>IFERROR(__xludf.DUMMYFUNCTION("""COMPUTED_VALUE"""),"108315820130600750")</f>
        <v>108315820130600750</v>
      </c>
      <c r="B1732" s="9" t="str">
        <f>IFERROR(__xludf.DUMMYFUNCTION("""COMPUTED_VALUE"""),"France")</f>
        <v>France</v>
      </c>
      <c r="C1732" s="9" t="str">
        <f>IFERROR(__xludf.DUMMYFUNCTION("""COMPUTED_VALUE"""),"champagne")</f>
        <v>champagne</v>
      </c>
      <c r="D1732" s="9" t="str">
        <f>IFERROR(__xludf.DUMMYFUNCTION("""COMPUTED_VALUE"""),"Vilmart &amp; Cie, Coeur de Cuvee Premier Cru")</f>
        <v>Vilmart &amp; Cie, Coeur de Cuvee Premier Cru</v>
      </c>
      <c r="E1732" s="9">
        <f>IFERROR(__xludf.DUMMYFUNCTION("""COMPUTED_VALUE"""),2013.0)</f>
        <v>2013</v>
      </c>
      <c r="F1732" s="9">
        <f>IFERROR(__xludf.DUMMYFUNCTION("""COMPUTED_VALUE"""),750.0)</f>
        <v>750</v>
      </c>
      <c r="G1732" s="9">
        <f>IFERROR(__xludf.DUMMYFUNCTION("""COMPUTED_VALUE"""),6.0)</f>
        <v>6</v>
      </c>
      <c r="H1732" s="10">
        <f>IFERROR(__xludf.DUMMYFUNCTION("""COMPUTED_VALUE"""),3.0)</f>
        <v>3</v>
      </c>
      <c r="I1732" s="11">
        <f>IFERROR(__xludf.DUMMYFUNCTION("""COMPUTED_VALUE"""),560.0)</f>
        <v>560</v>
      </c>
      <c r="J1732" s="9" t="str">
        <f>IFERROR(__xludf.DUMMYFUNCTION("""COMPUTED_VALUE"""),"UK")</f>
        <v>UK</v>
      </c>
      <c r="K1732" s="8"/>
      <c r="L1732" s="12"/>
      <c r="M1732" s="13"/>
      <c r="N1732" s="13" t="str">
        <f>IFERROR(__xludf.DUMMYFUNCTION("IF(ISBLANK(M1732),"""",M1732*GOOGLEFINANCE(""USDGBP""))"),"")</f>
        <v/>
      </c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8"/>
      <c r="FV1732" s="8"/>
      <c r="FW1732" s="8"/>
      <c r="FX1732" s="8"/>
      <c r="FY1732" s="8"/>
      <c r="FZ1732" s="8"/>
      <c r="GA1732" s="8"/>
      <c r="GB1732" s="8"/>
      <c r="GC1732" s="8"/>
      <c r="GD1732" s="8"/>
      <c r="GE1732" s="8"/>
      <c r="GF1732" s="8"/>
      <c r="GG1732" s="8"/>
      <c r="GH1732" s="8"/>
      <c r="GI1732" s="8"/>
      <c r="GJ1732" s="8"/>
      <c r="GK1732" s="8"/>
      <c r="GL1732" s="8"/>
      <c r="GM1732" s="8"/>
      <c r="GN1732" s="8"/>
      <c r="GO1732" s="8"/>
      <c r="GP1732" s="8"/>
      <c r="GQ1732" s="8"/>
      <c r="GR1732" s="8"/>
      <c r="GS1732" s="8"/>
      <c r="GT1732" s="8"/>
      <c r="GU1732" s="8"/>
      <c r="GV1732" s="8"/>
      <c r="GW1732" s="8"/>
      <c r="GX1732" s="8"/>
    </row>
    <row r="1733">
      <c r="A1733" s="8" t="str">
        <f>IFERROR(__xludf.DUMMYFUNCTION("""COMPUTED_VALUE"""),"108315820140600750")</f>
        <v>108315820140600750</v>
      </c>
      <c r="B1733" s="9" t="str">
        <f>IFERROR(__xludf.DUMMYFUNCTION("""COMPUTED_VALUE"""),"France")</f>
        <v>France</v>
      </c>
      <c r="C1733" s="9" t="str">
        <f>IFERROR(__xludf.DUMMYFUNCTION("""COMPUTED_VALUE"""),"champagne")</f>
        <v>champagne</v>
      </c>
      <c r="D1733" s="9" t="str">
        <f>IFERROR(__xludf.DUMMYFUNCTION("""COMPUTED_VALUE"""),"Vilmart &amp; Cie, Coeur de Cuvee Premier Cru")</f>
        <v>Vilmart &amp; Cie, Coeur de Cuvee Premier Cru</v>
      </c>
      <c r="E1733" s="9">
        <f>IFERROR(__xludf.DUMMYFUNCTION("""COMPUTED_VALUE"""),2014.0)</f>
        <v>2014</v>
      </c>
      <c r="F1733" s="9">
        <f>IFERROR(__xludf.DUMMYFUNCTION("""COMPUTED_VALUE"""),750.0)</f>
        <v>750</v>
      </c>
      <c r="G1733" s="9">
        <f>IFERROR(__xludf.DUMMYFUNCTION("""COMPUTED_VALUE"""),6.0)</f>
        <v>6</v>
      </c>
      <c r="H1733" s="10">
        <f>IFERROR(__xludf.DUMMYFUNCTION("""COMPUTED_VALUE"""),5.0)</f>
        <v>5</v>
      </c>
      <c r="I1733" s="11">
        <f>IFERROR(__xludf.DUMMYFUNCTION("""COMPUTED_VALUE"""),498.0)</f>
        <v>498</v>
      </c>
      <c r="J1733" s="9" t="str">
        <f>IFERROR(__xludf.DUMMYFUNCTION("""COMPUTED_VALUE"""),"UK")</f>
        <v>UK</v>
      </c>
      <c r="K1733" s="8"/>
      <c r="L1733" s="12"/>
      <c r="M1733" s="13"/>
      <c r="N1733" s="13" t="str">
        <f>IFERROR(__xludf.DUMMYFUNCTION("IF(ISBLANK(M1733),"""",M1733*GOOGLEFINANCE(""USDGBP""))"),"")</f>
        <v/>
      </c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  <c r="GA1733" s="8"/>
      <c r="GB1733" s="8"/>
      <c r="GC1733" s="8"/>
      <c r="GD1733" s="8"/>
      <c r="GE1733" s="8"/>
      <c r="GF1733" s="8"/>
      <c r="GG1733" s="8"/>
      <c r="GH1733" s="8"/>
      <c r="GI1733" s="8"/>
      <c r="GJ1733" s="8"/>
      <c r="GK1733" s="8"/>
      <c r="GL1733" s="8"/>
      <c r="GM1733" s="8"/>
      <c r="GN1733" s="8"/>
      <c r="GO1733" s="8"/>
      <c r="GP1733" s="8"/>
      <c r="GQ1733" s="8"/>
      <c r="GR1733" s="8"/>
      <c r="GS1733" s="8"/>
      <c r="GT1733" s="8"/>
      <c r="GU1733" s="8"/>
      <c r="GV1733" s="8"/>
      <c r="GW1733" s="8"/>
      <c r="GX1733" s="8"/>
    </row>
    <row r="1734">
      <c r="A1734" s="8" t="str">
        <f>IFERROR(__xludf.DUMMYFUNCTION("""COMPUTED_VALUE"""),"135763920060600750")</f>
        <v>135763920060600750</v>
      </c>
      <c r="B1734" s="9" t="str">
        <f>IFERROR(__xludf.DUMMYFUNCTION("""COMPUTED_VALUE"""),"France")</f>
        <v>France</v>
      </c>
      <c r="C1734" s="9" t="str">
        <f>IFERROR(__xludf.DUMMYFUNCTION("""COMPUTED_VALUE"""),"champagne")</f>
        <v>champagne</v>
      </c>
      <c r="D1734" s="9" t="str">
        <f>IFERROR(__xludf.DUMMYFUNCTION("""COMPUTED_VALUE"""),"de Venoge, Louis XV Brut")</f>
        <v>de Venoge, Louis XV Brut</v>
      </c>
      <c r="E1734" s="9">
        <f>IFERROR(__xludf.DUMMYFUNCTION("""COMPUTED_VALUE"""),2006.0)</f>
        <v>2006</v>
      </c>
      <c r="F1734" s="9">
        <f>IFERROR(__xludf.DUMMYFUNCTION("""COMPUTED_VALUE"""),750.0)</f>
        <v>750</v>
      </c>
      <c r="G1734" s="9">
        <f>IFERROR(__xludf.DUMMYFUNCTION("""COMPUTED_VALUE"""),6.0)</f>
        <v>6</v>
      </c>
      <c r="H1734" s="10">
        <f>IFERROR(__xludf.DUMMYFUNCTION("""COMPUTED_VALUE"""),6.0)</f>
        <v>6</v>
      </c>
      <c r="I1734" s="11">
        <f>IFERROR(__xludf.DUMMYFUNCTION("""COMPUTED_VALUE"""),862.0)</f>
        <v>862</v>
      </c>
      <c r="J1734" s="9" t="str">
        <f>IFERROR(__xludf.DUMMYFUNCTION("""COMPUTED_VALUE"""),"UK")</f>
        <v>UK</v>
      </c>
      <c r="K1734" s="8"/>
      <c r="L1734" s="12"/>
      <c r="M1734" s="13"/>
      <c r="N1734" s="13" t="str">
        <f>IFERROR(__xludf.DUMMYFUNCTION("IF(ISBLANK(M1734),"""",M1734*GOOGLEFINANCE(""USDGBP""))"),"")</f>
        <v/>
      </c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  <c r="GA1734" s="8"/>
      <c r="GB1734" s="8"/>
      <c r="GC1734" s="8"/>
      <c r="GD1734" s="8"/>
      <c r="GE1734" s="8"/>
      <c r="GF1734" s="8"/>
      <c r="GG1734" s="8"/>
      <c r="GH1734" s="8"/>
      <c r="GI1734" s="8"/>
      <c r="GJ1734" s="8"/>
      <c r="GK1734" s="8"/>
      <c r="GL1734" s="8"/>
      <c r="GM1734" s="8"/>
      <c r="GN1734" s="8"/>
      <c r="GO1734" s="8"/>
      <c r="GP1734" s="8"/>
      <c r="GQ1734" s="8"/>
      <c r="GR1734" s="8"/>
      <c r="GS1734" s="8"/>
      <c r="GT1734" s="8"/>
      <c r="GU1734" s="8"/>
      <c r="GV1734" s="8"/>
      <c r="GW1734" s="8"/>
      <c r="GX1734" s="8"/>
    </row>
    <row r="1735">
      <c r="A1735" s="8" t="str">
        <f>IFERROR(__xludf.DUMMYFUNCTION("""COMPUTED_VALUE"""),"137164020170600750")</f>
        <v>137164020170600750</v>
      </c>
      <c r="B1735" s="9" t="str">
        <f>IFERROR(__xludf.DUMMYFUNCTION("""COMPUTED_VALUE"""),"South Africa")</f>
        <v>South Africa</v>
      </c>
      <c r="C1735" s="9" t="str">
        <f>IFERROR(__xludf.DUMMYFUNCTION("""COMPUTED_VALUE"""),"coastal region")</f>
        <v>coastal region</v>
      </c>
      <c r="D1735" s="9" t="str">
        <f>IFERROR(__xludf.DUMMYFUNCTION("""COMPUTED_VALUE"""),"Mullineux, Syrah Granite, Swartland")</f>
        <v>Mullineux, Syrah Granite, Swartland</v>
      </c>
      <c r="E1735" s="9">
        <f>IFERROR(__xludf.DUMMYFUNCTION("""COMPUTED_VALUE"""),2017.0)</f>
        <v>2017</v>
      </c>
      <c r="F1735" s="9">
        <f>IFERROR(__xludf.DUMMYFUNCTION("""COMPUTED_VALUE"""),750.0)</f>
        <v>750</v>
      </c>
      <c r="G1735" s="9">
        <f>IFERROR(__xludf.DUMMYFUNCTION("""COMPUTED_VALUE"""),6.0)</f>
        <v>6</v>
      </c>
      <c r="H1735" s="10">
        <f>IFERROR(__xludf.DUMMYFUNCTION("""COMPUTED_VALUE"""),2.0)</f>
        <v>2</v>
      </c>
      <c r="I1735" s="11">
        <f>IFERROR(__xludf.DUMMYFUNCTION("""COMPUTED_VALUE"""),386.0)</f>
        <v>386</v>
      </c>
      <c r="J1735" s="9" t="str">
        <f>IFERROR(__xludf.DUMMYFUNCTION("""COMPUTED_VALUE"""),"UK")</f>
        <v>UK</v>
      </c>
      <c r="K1735" s="8"/>
      <c r="L1735" s="12"/>
      <c r="M1735" s="13"/>
      <c r="N1735" s="13" t="str">
        <f>IFERROR(__xludf.DUMMYFUNCTION("IF(ISBLANK(M1735),"""",M1735*GOOGLEFINANCE(""USDGBP""))"),"")</f>
        <v/>
      </c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8"/>
      <c r="FV1735" s="8"/>
      <c r="FW1735" s="8"/>
      <c r="FX1735" s="8"/>
      <c r="FY1735" s="8"/>
      <c r="FZ1735" s="8"/>
      <c r="GA1735" s="8"/>
      <c r="GB1735" s="8"/>
      <c r="GC1735" s="8"/>
      <c r="GD1735" s="8"/>
      <c r="GE1735" s="8"/>
      <c r="GF1735" s="8"/>
      <c r="GG1735" s="8"/>
      <c r="GH1735" s="8"/>
      <c r="GI1735" s="8"/>
      <c r="GJ1735" s="8"/>
      <c r="GK1735" s="8"/>
      <c r="GL1735" s="8"/>
      <c r="GM1735" s="8"/>
      <c r="GN1735" s="8"/>
      <c r="GO1735" s="8"/>
      <c r="GP1735" s="8"/>
      <c r="GQ1735" s="8"/>
      <c r="GR1735" s="8"/>
      <c r="GS1735" s="8"/>
      <c r="GT1735" s="8"/>
      <c r="GU1735" s="8"/>
      <c r="GV1735" s="8"/>
      <c r="GW1735" s="8"/>
      <c r="GX1735" s="8"/>
    </row>
    <row r="1736">
      <c r="A1736" s="8" t="str">
        <f>IFERROR(__xludf.DUMMYFUNCTION("""COMPUTED_VALUE"""),"130084020170600750")</f>
        <v>130084020170600750</v>
      </c>
      <c r="B1736" s="9" t="str">
        <f>IFERROR(__xludf.DUMMYFUNCTION("""COMPUTED_VALUE"""),"South Africa")</f>
        <v>South Africa</v>
      </c>
      <c r="C1736" s="9" t="str">
        <f>IFERROR(__xludf.DUMMYFUNCTION("""COMPUTED_VALUE"""),"coastal region")</f>
        <v>coastal region</v>
      </c>
      <c r="D1736" s="9" t="str">
        <f>IFERROR(__xludf.DUMMYFUNCTION("""COMPUTED_VALUE"""),"Mullineux, Syrah Schist, Swartland")</f>
        <v>Mullineux, Syrah Schist, Swartland</v>
      </c>
      <c r="E1736" s="9">
        <f>IFERROR(__xludf.DUMMYFUNCTION("""COMPUTED_VALUE"""),2017.0)</f>
        <v>2017</v>
      </c>
      <c r="F1736" s="9">
        <f>IFERROR(__xludf.DUMMYFUNCTION("""COMPUTED_VALUE"""),750.0)</f>
        <v>750</v>
      </c>
      <c r="G1736" s="9">
        <f>IFERROR(__xludf.DUMMYFUNCTION("""COMPUTED_VALUE"""),6.0)</f>
        <v>6</v>
      </c>
      <c r="H1736" s="10">
        <f>IFERROR(__xludf.DUMMYFUNCTION("""COMPUTED_VALUE"""),2.0)</f>
        <v>2</v>
      </c>
      <c r="I1736" s="11">
        <f>IFERROR(__xludf.DUMMYFUNCTION("""COMPUTED_VALUE"""),386.0)</f>
        <v>386</v>
      </c>
      <c r="J1736" s="9" t="str">
        <f>IFERROR(__xludf.DUMMYFUNCTION("""COMPUTED_VALUE"""),"UK")</f>
        <v>UK</v>
      </c>
      <c r="K1736" s="8"/>
      <c r="L1736" s="12"/>
      <c r="M1736" s="13"/>
      <c r="N1736" s="13" t="str">
        <f>IFERROR(__xludf.DUMMYFUNCTION("IF(ISBLANK(M1736),"""",M1736*GOOGLEFINANCE(""USDGBP""))"),"")</f>
        <v/>
      </c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8"/>
      <c r="FJ1736" s="8"/>
      <c r="FK1736" s="8"/>
      <c r="FL1736" s="8"/>
      <c r="FM1736" s="8"/>
      <c r="FN1736" s="8"/>
      <c r="FO1736" s="8"/>
      <c r="FP1736" s="8"/>
      <c r="FQ1736" s="8"/>
      <c r="FR1736" s="8"/>
      <c r="FS1736" s="8"/>
      <c r="FT1736" s="8"/>
      <c r="FU1736" s="8"/>
      <c r="FV1736" s="8"/>
      <c r="FW1736" s="8"/>
      <c r="FX1736" s="8"/>
      <c r="FY1736" s="8"/>
      <c r="FZ1736" s="8"/>
      <c r="GA1736" s="8"/>
      <c r="GB1736" s="8"/>
      <c r="GC1736" s="8"/>
      <c r="GD1736" s="8"/>
      <c r="GE1736" s="8"/>
      <c r="GF1736" s="8"/>
      <c r="GG1736" s="8"/>
      <c r="GH1736" s="8"/>
      <c r="GI1736" s="8"/>
      <c r="GJ1736" s="8"/>
      <c r="GK1736" s="8"/>
      <c r="GL1736" s="8"/>
      <c r="GM1736" s="8"/>
      <c r="GN1736" s="8"/>
      <c r="GO1736" s="8"/>
      <c r="GP1736" s="8"/>
      <c r="GQ1736" s="8"/>
      <c r="GR1736" s="8"/>
      <c r="GS1736" s="8"/>
      <c r="GT1736" s="8"/>
      <c r="GU1736" s="8"/>
      <c r="GV1736" s="8"/>
      <c r="GW1736" s="8"/>
      <c r="GX1736" s="8"/>
    </row>
    <row r="1737">
      <c r="A1737" s="8" t="str">
        <f>IFERROR(__xludf.DUMMYFUNCTION("""COMPUTED_VALUE"""),"173221620160600750")</f>
        <v>173221620160600750</v>
      </c>
      <c r="B1737" s="9" t="str">
        <f>IFERROR(__xludf.DUMMYFUNCTION("""COMPUTED_VALUE"""),"Germany")</f>
        <v>Germany</v>
      </c>
      <c r="C1737" s="9" t="str">
        <f>IFERROR(__xludf.DUMMYFUNCTION("""COMPUTED_VALUE"""),"mosel")</f>
        <v>mosel</v>
      </c>
      <c r="D1737" s="9" t="str">
        <f>IFERROR(__xludf.DUMMYFUNCTION("""COMPUTED_VALUE"""),"Egon Muller, Gallais Wiltinger Braune Kupp Auslese Versteigerung, Mosel")</f>
        <v>Egon Muller, Gallais Wiltinger Braune Kupp Auslese Versteigerung, Mosel</v>
      </c>
      <c r="E1737" s="9">
        <f>IFERROR(__xludf.DUMMYFUNCTION("""COMPUTED_VALUE"""),2016.0)</f>
        <v>2016</v>
      </c>
      <c r="F1737" s="9">
        <f>IFERROR(__xludf.DUMMYFUNCTION("""COMPUTED_VALUE"""),750.0)</f>
        <v>750</v>
      </c>
      <c r="G1737" s="9">
        <f>IFERROR(__xludf.DUMMYFUNCTION("""COMPUTED_VALUE"""),6.0)</f>
        <v>6</v>
      </c>
      <c r="H1737" s="10">
        <f>IFERROR(__xludf.DUMMYFUNCTION("""COMPUTED_VALUE"""),1.0)</f>
        <v>1</v>
      </c>
      <c r="I1737" s="11">
        <f>IFERROR(__xludf.DUMMYFUNCTION("""COMPUTED_VALUE"""),993.0)</f>
        <v>993</v>
      </c>
      <c r="J1737" s="9" t="str">
        <f>IFERROR(__xludf.DUMMYFUNCTION("""COMPUTED_VALUE"""),"UK")</f>
        <v>UK</v>
      </c>
      <c r="K1737" s="8"/>
      <c r="L1737" s="12"/>
      <c r="M1737" s="13"/>
      <c r="N1737" s="13" t="str">
        <f>IFERROR(__xludf.DUMMYFUNCTION("IF(ISBLANK(M1737),"""",M1737*GOOGLEFINANCE(""USDGBP""))"),"")</f>
        <v/>
      </c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8"/>
      <c r="FV1737" s="8"/>
      <c r="FW1737" s="8"/>
      <c r="FX1737" s="8"/>
      <c r="FY1737" s="8"/>
      <c r="FZ1737" s="8"/>
      <c r="GA1737" s="8"/>
      <c r="GB1737" s="8"/>
      <c r="GC1737" s="8"/>
      <c r="GD1737" s="8"/>
      <c r="GE1737" s="8"/>
      <c r="GF1737" s="8"/>
      <c r="GG1737" s="8"/>
      <c r="GH1737" s="8"/>
      <c r="GI1737" s="8"/>
      <c r="GJ1737" s="8"/>
      <c r="GK1737" s="8"/>
      <c r="GL1737" s="8"/>
      <c r="GM1737" s="8"/>
      <c r="GN1737" s="8"/>
      <c r="GO1737" s="8"/>
      <c r="GP1737" s="8"/>
      <c r="GQ1737" s="8"/>
      <c r="GR1737" s="8"/>
      <c r="GS1737" s="8"/>
      <c r="GT1737" s="8"/>
      <c r="GU1737" s="8"/>
      <c r="GV1737" s="8"/>
      <c r="GW1737" s="8"/>
      <c r="GX1737" s="8"/>
    </row>
    <row r="1738">
      <c r="A1738" s="8" t="str">
        <f>IFERROR(__xludf.DUMMYFUNCTION("""COMPUTED_VALUE"""),"108972720170600750")</f>
        <v>108972720170600750</v>
      </c>
      <c r="B1738" s="9" t="str">
        <f>IFERROR(__xludf.DUMMYFUNCTION("""COMPUTED_VALUE"""),"Germany")</f>
        <v>Germany</v>
      </c>
      <c r="C1738" s="9" t="str">
        <f>IFERROR(__xludf.DUMMYFUNCTION("""COMPUTED_VALUE"""),"mosel")</f>
        <v>mosel</v>
      </c>
      <c r="D1738" s="9" t="str">
        <f>IFERROR(__xludf.DUMMYFUNCTION("""COMPUTED_VALUE"""),"Egon Muller, Gallais Wiltinger Braune Kupp Riesling Auslese, Mosel")</f>
        <v>Egon Muller, Gallais Wiltinger Braune Kupp Riesling Auslese, Mosel</v>
      </c>
      <c r="E1738" s="9">
        <f>IFERROR(__xludf.DUMMYFUNCTION("""COMPUTED_VALUE"""),2017.0)</f>
        <v>2017</v>
      </c>
      <c r="F1738" s="9">
        <f>IFERROR(__xludf.DUMMYFUNCTION("""COMPUTED_VALUE"""),750.0)</f>
        <v>750</v>
      </c>
      <c r="G1738" s="9">
        <f>IFERROR(__xludf.DUMMYFUNCTION("""COMPUTED_VALUE"""),6.0)</f>
        <v>6</v>
      </c>
      <c r="H1738" s="10">
        <f>IFERROR(__xludf.DUMMYFUNCTION("""COMPUTED_VALUE"""),1.0)</f>
        <v>1</v>
      </c>
      <c r="I1738" s="11">
        <f>IFERROR(__xludf.DUMMYFUNCTION("""COMPUTED_VALUE"""),728.0)</f>
        <v>728</v>
      </c>
      <c r="J1738" s="9" t="str">
        <f>IFERROR(__xludf.DUMMYFUNCTION("""COMPUTED_VALUE"""),"UK")</f>
        <v>UK</v>
      </c>
      <c r="K1738" s="8"/>
      <c r="L1738" s="12"/>
      <c r="M1738" s="13"/>
      <c r="N1738" s="13" t="str">
        <f>IFERROR(__xludf.DUMMYFUNCTION("IF(ISBLANK(M1738),"""",M1738*GOOGLEFINANCE(""USDGBP""))"),"")</f>
        <v/>
      </c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H1738" s="8"/>
      <c r="FI1738" s="8"/>
      <c r="FJ1738" s="8"/>
      <c r="FK1738" s="8"/>
      <c r="FL1738" s="8"/>
      <c r="FM1738" s="8"/>
      <c r="FN1738" s="8"/>
      <c r="FO1738" s="8"/>
      <c r="FP1738" s="8"/>
      <c r="FQ1738" s="8"/>
      <c r="FR1738" s="8"/>
      <c r="FS1738" s="8"/>
      <c r="FT1738" s="8"/>
      <c r="FU1738" s="8"/>
      <c r="FV1738" s="8"/>
      <c r="FW1738" s="8"/>
      <c r="FX1738" s="8"/>
      <c r="FY1738" s="8"/>
      <c r="FZ1738" s="8"/>
      <c r="GA1738" s="8"/>
      <c r="GB1738" s="8"/>
      <c r="GC1738" s="8"/>
      <c r="GD1738" s="8"/>
      <c r="GE1738" s="8"/>
      <c r="GF1738" s="8"/>
      <c r="GG1738" s="8"/>
      <c r="GH1738" s="8"/>
      <c r="GI1738" s="8"/>
      <c r="GJ1738" s="8"/>
      <c r="GK1738" s="8"/>
      <c r="GL1738" s="8"/>
      <c r="GM1738" s="8"/>
      <c r="GN1738" s="8"/>
      <c r="GO1738" s="8"/>
      <c r="GP1738" s="8"/>
      <c r="GQ1738" s="8"/>
      <c r="GR1738" s="8"/>
      <c r="GS1738" s="8"/>
      <c r="GT1738" s="8"/>
      <c r="GU1738" s="8"/>
      <c r="GV1738" s="8"/>
      <c r="GW1738" s="8"/>
      <c r="GX1738" s="8"/>
    </row>
    <row r="1739">
      <c r="A1739" s="8" t="str">
        <f>IFERROR(__xludf.DUMMYFUNCTION("""COMPUTED_VALUE"""),"108972720180600750")</f>
        <v>108972720180600750</v>
      </c>
      <c r="B1739" s="9" t="str">
        <f>IFERROR(__xludf.DUMMYFUNCTION("""COMPUTED_VALUE"""),"Germany")</f>
        <v>Germany</v>
      </c>
      <c r="C1739" s="9" t="str">
        <f>IFERROR(__xludf.DUMMYFUNCTION("""COMPUTED_VALUE"""),"mosel")</f>
        <v>mosel</v>
      </c>
      <c r="D1739" s="9" t="str">
        <f>IFERROR(__xludf.DUMMYFUNCTION("""COMPUTED_VALUE"""),"Egon Muller, Gallais Wiltinger Braune Kupp Riesling Auslese, Mosel")</f>
        <v>Egon Muller, Gallais Wiltinger Braune Kupp Riesling Auslese, Mosel</v>
      </c>
      <c r="E1739" s="9">
        <f>IFERROR(__xludf.DUMMYFUNCTION("""COMPUTED_VALUE"""),2018.0)</f>
        <v>2018</v>
      </c>
      <c r="F1739" s="9">
        <f>IFERROR(__xludf.DUMMYFUNCTION("""COMPUTED_VALUE"""),750.0)</f>
        <v>750</v>
      </c>
      <c r="G1739" s="9">
        <f>IFERROR(__xludf.DUMMYFUNCTION("""COMPUTED_VALUE"""),6.0)</f>
        <v>6</v>
      </c>
      <c r="H1739" s="10">
        <f>IFERROR(__xludf.DUMMYFUNCTION("""COMPUTED_VALUE"""),1.0)</f>
        <v>1</v>
      </c>
      <c r="I1739" s="11">
        <f>IFERROR(__xludf.DUMMYFUNCTION("""COMPUTED_VALUE"""),868.0)</f>
        <v>868</v>
      </c>
      <c r="J1739" s="9" t="str">
        <f>IFERROR(__xludf.DUMMYFUNCTION("""COMPUTED_VALUE"""),"UK")</f>
        <v>UK</v>
      </c>
      <c r="K1739" s="8"/>
      <c r="L1739" s="12"/>
      <c r="M1739" s="13"/>
      <c r="N1739" s="13" t="str">
        <f>IFERROR(__xludf.DUMMYFUNCTION("IF(ISBLANK(M1739),"""",M1739*GOOGLEFINANCE(""USDGBP""))"),"")</f>
        <v/>
      </c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8"/>
      <c r="FV1739" s="8"/>
      <c r="FW1739" s="8"/>
      <c r="FX1739" s="8"/>
      <c r="FY1739" s="8"/>
      <c r="FZ1739" s="8"/>
      <c r="GA1739" s="8"/>
      <c r="GB1739" s="8"/>
      <c r="GC1739" s="8"/>
      <c r="GD1739" s="8"/>
      <c r="GE1739" s="8"/>
      <c r="GF1739" s="8"/>
      <c r="GG1739" s="8"/>
      <c r="GH1739" s="8"/>
      <c r="GI1739" s="8"/>
      <c r="GJ1739" s="8"/>
      <c r="GK1739" s="8"/>
      <c r="GL1739" s="8"/>
      <c r="GM1739" s="8"/>
      <c r="GN1739" s="8"/>
      <c r="GO1739" s="8"/>
      <c r="GP1739" s="8"/>
      <c r="GQ1739" s="8"/>
      <c r="GR1739" s="8"/>
      <c r="GS1739" s="8"/>
      <c r="GT1739" s="8"/>
      <c r="GU1739" s="8"/>
      <c r="GV1739" s="8"/>
      <c r="GW1739" s="8"/>
      <c r="GX1739" s="8"/>
    </row>
    <row r="1740">
      <c r="A1740" s="8" t="str">
        <f>IFERROR(__xludf.DUMMYFUNCTION("""COMPUTED_VALUE"""),"141882820150600750")</f>
        <v>141882820150600750</v>
      </c>
      <c r="B1740" s="9" t="str">
        <f>IFERROR(__xludf.DUMMYFUNCTION("""COMPUTED_VALUE"""),"Germany")</f>
        <v>Germany</v>
      </c>
      <c r="C1740" s="9" t="str">
        <f>IFERROR(__xludf.DUMMYFUNCTION("""COMPUTED_VALUE"""),"mosel")</f>
        <v>mosel</v>
      </c>
      <c r="D1740" s="9" t="str">
        <f>IFERROR(__xludf.DUMMYFUNCTION("""COMPUTED_VALUE"""),"Egon Muller, Scharzhof Gallais Wiltinger Braune Kupp Riesling Spatlese, Mosel")</f>
        <v>Egon Muller, Scharzhof Gallais Wiltinger Braune Kupp Riesling Spatlese, Mosel</v>
      </c>
      <c r="E1740" s="9">
        <f>IFERROR(__xludf.DUMMYFUNCTION("""COMPUTED_VALUE"""),2015.0)</f>
        <v>2015</v>
      </c>
      <c r="F1740" s="9">
        <f>IFERROR(__xludf.DUMMYFUNCTION("""COMPUTED_VALUE"""),750.0)</f>
        <v>750</v>
      </c>
      <c r="G1740" s="9">
        <f>IFERROR(__xludf.DUMMYFUNCTION("""COMPUTED_VALUE"""),6.0)</f>
        <v>6</v>
      </c>
      <c r="H1740" s="10">
        <f>IFERROR(__xludf.DUMMYFUNCTION("""COMPUTED_VALUE"""),15.0)</f>
        <v>15</v>
      </c>
      <c r="I1740" s="11">
        <f>IFERROR(__xludf.DUMMYFUNCTION("""COMPUTED_VALUE"""),721.0)</f>
        <v>721</v>
      </c>
      <c r="J1740" s="9" t="str">
        <f>IFERROR(__xludf.DUMMYFUNCTION("""COMPUTED_VALUE"""),"UK")</f>
        <v>UK</v>
      </c>
      <c r="K1740" s="8"/>
      <c r="L1740" s="12"/>
      <c r="M1740" s="13"/>
      <c r="N1740" s="13" t="str">
        <f>IFERROR(__xludf.DUMMYFUNCTION("IF(ISBLANK(M1740),"""",M1740*GOOGLEFINANCE(""USDGBP""))"),"")</f>
        <v/>
      </c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  <c r="GA1740" s="8"/>
      <c r="GB1740" s="8"/>
      <c r="GC1740" s="8"/>
      <c r="GD1740" s="8"/>
      <c r="GE1740" s="8"/>
      <c r="GF1740" s="8"/>
      <c r="GG1740" s="8"/>
      <c r="GH1740" s="8"/>
      <c r="GI1740" s="8"/>
      <c r="GJ1740" s="8"/>
      <c r="GK1740" s="8"/>
      <c r="GL1740" s="8"/>
      <c r="GM1740" s="8"/>
      <c r="GN1740" s="8"/>
      <c r="GO1740" s="8"/>
      <c r="GP1740" s="8"/>
      <c r="GQ1740" s="8"/>
      <c r="GR1740" s="8"/>
      <c r="GS1740" s="8"/>
      <c r="GT1740" s="8"/>
      <c r="GU1740" s="8"/>
      <c r="GV1740" s="8"/>
      <c r="GW1740" s="8"/>
      <c r="GX1740" s="8"/>
    </row>
    <row r="1741">
      <c r="A1741" s="8" t="str">
        <f>IFERROR(__xludf.DUMMYFUNCTION("""COMPUTED_VALUE"""),"141882820160600750")</f>
        <v>141882820160600750</v>
      </c>
      <c r="B1741" s="9" t="str">
        <f>IFERROR(__xludf.DUMMYFUNCTION("""COMPUTED_VALUE"""),"Germany")</f>
        <v>Germany</v>
      </c>
      <c r="C1741" s="9" t="str">
        <f>IFERROR(__xludf.DUMMYFUNCTION("""COMPUTED_VALUE"""),"mosel")</f>
        <v>mosel</v>
      </c>
      <c r="D1741" s="9" t="str">
        <f>IFERROR(__xludf.DUMMYFUNCTION("""COMPUTED_VALUE"""),"Egon Muller, Scharzhof Gallais Wiltinger Braune Kupp Riesling Spatlese, Mosel")</f>
        <v>Egon Muller, Scharzhof Gallais Wiltinger Braune Kupp Riesling Spatlese, Mosel</v>
      </c>
      <c r="E1741" s="9">
        <f>IFERROR(__xludf.DUMMYFUNCTION("""COMPUTED_VALUE"""),2016.0)</f>
        <v>2016</v>
      </c>
      <c r="F1741" s="9">
        <f>IFERROR(__xludf.DUMMYFUNCTION("""COMPUTED_VALUE"""),750.0)</f>
        <v>750</v>
      </c>
      <c r="G1741" s="9">
        <f>IFERROR(__xludf.DUMMYFUNCTION("""COMPUTED_VALUE"""),6.0)</f>
        <v>6</v>
      </c>
      <c r="H1741" s="10">
        <f>IFERROR(__xludf.DUMMYFUNCTION("""COMPUTED_VALUE"""),2.0)</f>
        <v>2</v>
      </c>
      <c r="I1741" s="11">
        <f>IFERROR(__xludf.DUMMYFUNCTION("""COMPUTED_VALUE"""),603.0)</f>
        <v>603</v>
      </c>
      <c r="J1741" s="9" t="str">
        <f>IFERROR(__xludf.DUMMYFUNCTION("""COMPUTED_VALUE"""),"UK")</f>
        <v>UK</v>
      </c>
      <c r="K1741" s="8"/>
      <c r="L1741" s="12"/>
      <c r="M1741" s="13"/>
      <c r="N1741" s="13" t="str">
        <f>IFERROR(__xludf.DUMMYFUNCTION("IF(ISBLANK(M1741),"""",M1741*GOOGLEFINANCE(""USDGBP""))"),"")</f>
        <v/>
      </c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8"/>
      <c r="FJ1741" s="8"/>
      <c r="FK1741" s="8"/>
      <c r="FL1741" s="8"/>
      <c r="FM1741" s="8"/>
      <c r="FN1741" s="8"/>
      <c r="FO1741" s="8"/>
      <c r="FP1741" s="8"/>
      <c r="FQ1741" s="8"/>
      <c r="FR1741" s="8"/>
      <c r="FS1741" s="8"/>
      <c r="FT1741" s="8"/>
      <c r="FU1741" s="8"/>
      <c r="FV1741" s="8"/>
      <c r="FW1741" s="8"/>
      <c r="FX1741" s="8"/>
      <c r="FY1741" s="8"/>
      <c r="FZ1741" s="8"/>
      <c r="GA1741" s="8"/>
      <c r="GB1741" s="8"/>
      <c r="GC1741" s="8"/>
      <c r="GD1741" s="8"/>
      <c r="GE1741" s="8"/>
      <c r="GF1741" s="8"/>
      <c r="GG1741" s="8"/>
      <c r="GH1741" s="8"/>
      <c r="GI1741" s="8"/>
      <c r="GJ1741" s="8"/>
      <c r="GK1741" s="8"/>
      <c r="GL1741" s="8"/>
      <c r="GM1741" s="8"/>
      <c r="GN1741" s="8"/>
      <c r="GO1741" s="8"/>
      <c r="GP1741" s="8"/>
      <c r="GQ1741" s="8"/>
      <c r="GR1741" s="8"/>
      <c r="GS1741" s="8"/>
      <c r="GT1741" s="8"/>
      <c r="GU1741" s="8"/>
      <c r="GV1741" s="8"/>
      <c r="GW1741" s="8"/>
      <c r="GX1741" s="8"/>
    </row>
    <row r="1742">
      <c r="A1742" s="8" t="str">
        <f>IFERROR(__xludf.DUMMYFUNCTION("""COMPUTED_VALUE"""),"141882820170600750")</f>
        <v>141882820170600750</v>
      </c>
      <c r="B1742" s="9" t="str">
        <f>IFERROR(__xludf.DUMMYFUNCTION("""COMPUTED_VALUE"""),"Germany")</f>
        <v>Germany</v>
      </c>
      <c r="C1742" s="9" t="str">
        <f>IFERROR(__xludf.DUMMYFUNCTION("""COMPUTED_VALUE"""),"mosel")</f>
        <v>mosel</v>
      </c>
      <c r="D1742" s="9" t="str">
        <f>IFERROR(__xludf.DUMMYFUNCTION("""COMPUTED_VALUE"""),"Egon Muller, Scharzhof Gallais Wiltinger Braune Kupp Riesling Spatlese, Mosel")</f>
        <v>Egon Muller, Scharzhof Gallais Wiltinger Braune Kupp Riesling Spatlese, Mosel</v>
      </c>
      <c r="E1742" s="9">
        <f>IFERROR(__xludf.DUMMYFUNCTION("""COMPUTED_VALUE"""),2017.0)</f>
        <v>2017</v>
      </c>
      <c r="F1742" s="9">
        <f>IFERROR(__xludf.DUMMYFUNCTION("""COMPUTED_VALUE"""),750.0)</f>
        <v>750</v>
      </c>
      <c r="G1742" s="9">
        <f>IFERROR(__xludf.DUMMYFUNCTION("""COMPUTED_VALUE"""),6.0)</f>
        <v>6</v>
      </c>
      <c r="H1742" s="10">
        <f>IFERROR(__xludf.DUMMYFUNCTION("""COMPUTED_VALUE"""),1.0)</f>
        <v>1</v>
      </c>
      <c r="I1742" s="11">
        <f>IFERROR(__xludf.DUMMYFUNCTION("""COMPUTED_VALUE"""),711.0)</f>
        <v>711</v>
      </c>
      <c r="J1742" s="9" t="str">
        <f>IFERROR(__xludf.DUMMYFUNCTION("""COMPUTED_VALUE"""),"UK")</f>
        <v>UK</v>
      </c>
      <c r="K1742" s="8"/>
      <c r="L1742" s="12"/>
      <c r="M1742" s="13"/>
      <c r="N1742" s="13" t="str">
        <f>IFERROR(__xludf.DUMMYFUNCTION("IF(ISBLANK(M1742),"""",M1742*GOOGLEFINANCE(""USDGBP""))"),"")</f>
        <v/>
      </c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8"/>
      <c r="FV1742" s="8"/>
      <c r="FW1742" s="8"/>
      <c r="FX1742" s="8"/>
      <c r="FY1742" s="8"/>
      <c r="FZ1742" s="8"/>
      <c r="GA1742" s="8"/>
      <c r="GB1742" s="8"/>
      <c r="GC1742" s="8"/>
      <c r="GD1742" s="8"/>
      <c r="GE1742" s="8"/>
      <c r="GF1742" s="8"/>
      <c r="GG1742" s="8"/>
      <c r="GH1742" s="8"/>
      <c r="GI1742" s="8"/>
      <c r="GJ1742" s="8"/>
      <c r="GK1742" s="8"/>
      <c r="GL1742" s="8"/>
      <c r="GM1742" s="8"/>
      <c r="GN1742" s="8"/>
      <c r="GO1742" s="8"/>
      <c r="GP1742" s="8"/>
      <c r="GQ1742" s="8"/>
      <c r="GR1742" s="8"/>
      <c r="GS1742" s="8"/>
      <c r="GT1742" s="8"/>
      <c r="GU1742" s="8"/>
      <c r="GV1742" s="8"/>
      <c r="GW1742" s="8"/>
      <c r="GX1742" s="8"/>
    </row>
    <row r="1743">
      <c r="A1743" s="8" t="str">
        <f>IFERROR(__xludf.DUMMYFUNCTION("""COMPUTED_VALUE"""),"141882820200600750")</f>
        <v>141882820200600750</v>
      </c>
      <c r="B1743" s="9" t="str">
        <f>IFERROR(__xludf.DUMMYFUNCTION("""COMPUTED_VALUE"""),"Germany")</f>
        <v>Germany</v>
      </c>
      <c r="C1743" s="9" t="str">
        <f>IFERROR(__xludf.DUMMYFUNCTION("""COMPUTED_VALUE"""),"mosel")</f>
        <v>mosel</v>
      </c>
      <c r="D1743" s="9" t="str">
        <f>IFERROR(__xludf.DUMMYFUNCTION("""COMPUTED_VALUE"""),"Egon Muller, Scharzhof Gallais Wiltinger Braune Kupp Riesling Spatlese, Mosel")</f>
        <v>Egon Muller, Scharzhof Gallais Wiltinger Braune Kupp Riesling Spatlese, Mosel</v>
      </c>
      <c r="E1743" s="9">
        <f>IFERROR(__xludf.DUMMYFUNCTION("""COMPUTED_VALUE"""),2020.0)</f>
        <v>2020</v>
      </c>
      <c r="F1743" s="9">
        <f>IFERROR(__xludf.DUMMYFUNCTION("""COMPUTED_VALUE"""),750.0)</f>
        <v>750</v>
      </c>
      <c r="G1743" s="9">
        <f>IFERROR(__xludf.DUMMYFUNCTION("""COMPUTED_VALUE"""),6.0)</f>
        <v>6</v>
      </c>
      <c r="H1743" s="10">
        <f>IFERROR(__xludf.DUMMYFUNCTION("""COMPUTED_VALUE"""),2.0)</f>
        <v>2</v>
      </c>
      <c r="I1743" s="11">
        <f>IFERROR(__xludf.DUMMYFUNCTION("""COMPUTED_VALUE"""),463.0)</f>
        <v>463</v>
      </c>
      <c r="J1743" s="9" t="str">
        <f>IFERROR(__xludf.DUMMYFUNCTION("""COMPUTED_VALUE"""),"UK")</f>
        <v>UK</v>
      </c>
      <c r="K1743" s="8"/>
      <c r="L1743" s="12"/>
      <c r="M1743" s="13"/>
      <c r="N1743" s="13" t="str">
        <f>IFERROR(__xludf.DUMMYFUNCTION("IF(ISBLANK(M1743),"""",M1743*GOOGLEFINANCE(""USDGBP""))"),"")</f>
        <v/>
      </c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  <c r="GA1743" s="8"/>
      <c r="GB1743" s="8"/>
      <c r="GC1743" s="8"/>
      <c r="GD1743" s="8"/>
      <c r="GE1743" s="8"/>
      <c r="GF1743" s="8"/>
      <c r="GG1743" s="8"/>
      <c r="GH1743" s="8"/>
      <c r="GI1743" s="8"/>
      <c r="GJ1743" s="8"/>
      <c r="GK1743" s="8"/>
      <c r="GL1743" s="8"/>
      <c r="GM1743" s="8"/>
      <c r="GN1743" s="8"/>
      <c r="GO1743" s="8"/>
      <c r="GP1743" s="8"/>
      <c r="GQ1743" s="8"/>
      <c r="GR1743" s="8"/>
      <c r="GS1743" s="8"/>
      <c r="GT1743" s="8"/>
      <c r="GU1743" s="8"/>
      <c r="GV1743" s="8"/>
      <c r="GW1743" s="8"/>
      <c r="GX1743" s="8"/>
    </row>
    <row r="1744">
      <c r="A1744" s="8" t="str">
        <f>IFERROR(__xludf.DUMMYFUNCTION("""COMPUTED_VALUE"""),"108976920170600750")</f>
        <v>108976920170600750</v>
      </c>
      <c r="B1744" s="9" t="str">
        <f>IFERROR(__xludf.DUMMYFUNCTION("""COMPUTED_VALUE"""),"Germany")</f>
        <v>Germany</v>
      </c>
      <c r="C1744" s="9" t="str">
        <f>IFERROR(__xludf.DUMMYFUNCTION("""COMPUTED_VALUE"""),"mosel")</f>
        <v>mosel</v>
      </c>
      <c r="D1744" s="9" t="str">
        <f>IFERROR(__xludf.DUMMYFUNCTION("""COMPUTED_VALUE"""),"Egon Muller, Scharzhofberger Riesling Auslese, Mosel")</f>
        <v>Egon Muller, Scharzhofberger Riesling Auslese, Mosel</v>
      </c>
      <c r="E1744" s="9">
        <f>IFERROR(__xludf.DUMMYFUNCTION("""COMPUTED_VALUE"""),2017.0)</f>
        <v>2017</v>
      </c>
      <c r="F1744" s="9">
        <f>IFERROR(__xludf.DUMMYFUNCTION("""COMPUTED_VALUE"""),750.0)</f>
        <v>750</v>
      </c>
      <c r="G1744" s="9">
        <f>IFERROR(__xludf.DUMMYFUNCTION("""COMPUTED_VALUE"""),6.0)</f>
        <v>6</v>
      </c>
      <c r="H1744" s="10">
        <f>IFERROR(__xludf.DUMMYFUNCTION("""COMPUTED_VALUE"""),2.0)</f>
        <v>2</v>
      </c>
      <c r="I1744" s="11">
        <f>IFERROR(__xludf.DUMMYFUNCTION("""COMPUTED_VALUE"""),2468.0)</f>
        <v>2468</v>
      </c>
      <c r="J1744" s="9" t="str">
        <f>IFERROR(__xludf.DUMMYFUNCTION("""COMPUTED_VALUE"""),"UK")</f>
        <v>UK</v>
      </c>
      <c r="K1744" s="8"/>
      <c r="L1744" s="12"/>
      <c r="M1744" s="13"/>
      <c r="N1744" s="13" t="str">
        <f>IFERROR(__xludf.DUMMYFUNCTION("IF(ISBLANK(M1744),"""",M1744*GOOGLEFINANCE(""USDGBP""))"),"")</f>
        <v/>
      </c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  <c r="GA1744" s="8"/>
      <c r="GB1744" s="8"/>
      <c r="GC1744" s="8"/>
      <c r="GD1744" s="8"/>
      <c r="GE1744" s="8"/>
      <c r="GF1744" s="8"/>
      <c r="GG1744" s="8"/>
      <c r="GH1744" s="8"/>
      <c r="GI1744" s="8"/>
      <c r="GJ1744" s="8"/>
      <c r="GK1744" s="8"/>
      <c r="GL1744" s="8"/>
      <c r="GM1744" s="8"/>
      <c r="GN1744" s="8"/>
      <c r="GO1744" s="8"/>
      <c r="GP1744" s="8"/>
      <c r="GQ1744" s="8"/>
      <c r="GR1744" s="8"/>
      <c r="GS1744" s="8"/>
      <c r="GT1744" s="8"/>
      <c r="GU1744" s="8"/>
      <c r="GV1744" s="8"/>
      <c r="GW1744" s="8"/>
      <c r="GX1744" s="8"/>
    </row>
    <row r="1745">
      <c r="A1745" s="8" t="str">
        <f>IFERROR(__xludf.DUMMYFUNCTION("""COMPUTED_VALUE"""),"108976920180600750")</f>
        <v>108976920180600750</v>
      </c>
      <c r="B1745" s="9" t="str">
        <f>IFERROR(__xludf.DUMMYFUNCTION("""COMPUTED_VALUE"""),"Germany")</f>
        <v>Germany</v>
      </c>
      <c r="C1745" s="9" t="str">
        <f>IFERROR(__xludf.DUMMYFUNCTION("""COMPUTED_VALUE"""),"mosel")</f>
        <v>mosel</v>
      </c>
      <c r="D1745" s="9" t="str">
        <f>IFERROR(__xludf.DUMMYFUNCTION("""COMPUTED_VALUE"""),"Egon Muller, Scharzhofberger Riesling Auslese, Mosel")</f>
        <v>Egon Muller, Scharzhofberger Riesling Auslese, Mosel</v>
      </c>
      <c r="E1745" s="9">
        <f>IFERROR(__xludf.DUMMYFUNCTION("""COMPUTED_VALUE"""),2018.0)</f>
        <v>2018</v>
      </c>
      <c r="F1745" s="9">
        <f>IFERROR(__xludf.DUMMYFUNCTION("""COMPUTED_VALUE"""),750.0)</f>
        <v>750</v>
      </c>
      <c r="G1745" s="9">
        <f>IFERROR(__xludf.DUMMYFUNCTION("""COMPUTED_VALUE"""),6.0)</f>
        <v>6</v>
      </c>
      <c r="H1745" s="10">
        <f>IFERROR(__xludf.DUMMYFUNCTION("""COMPUTED_VALUE"""),4.0)</f>
        <v>4</v>
      </c>
      <c r="I1745" s="11">
        <f>IFERROR(__xludf.DUMMYFUNCTION("""COMPUTED_VALUE"""),2250.0)</f>
        <v>2250</v>
      </c>
      <c r="J1745" s="9" t="str">
        <f>IFERROR(__xludf.DUMMYFUNCTION("""COMPUTED_VALUE"""),"UK")</f>
        <v>UK</v>
      </c>
      <c r="K1745" s="8"/>
      <c r="L1745" s="12"/>
      <c r="M1745" s="13"/>
      <c r="N1745" s="13" t="str">
        <f>IFERROR(__xludf.DUMMYFUNCTION("IF(ISBLANK(M1745),"""",M1745*GOOGLEFINANCE(""USDGBP""))"),"")</f>
        <v/>
      </c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</row>
    <row r="1746">
      <c r="A1746" s="8" t="str">
        <f>IFERROR(__xludf.DUMMYFUNCTION("""COMPUTED_VALUE"""),"130973920170600750")</f>
        <v>130973920170600750</v>
      </c>
      <c r="B1746" s="9" t="str">
        <f>IFERROR(__xludf.DUMMYFUNCTION("""COMPUTED_VALUE"""),"Germany")</f>
        <v>Germany</v>
      </c>
      <c r="C1746" s="9" t="str">
        <f>IFERROR(__xludf.DUMMYFUNCTION("""COMPUTED_VALUE"""),"mosel")</f>
        <v>mosel</v>
      </c>
      <c r="D1746" s="9" t="str">
        <f>IFERROR(__xludf.DUMMYFUNCTION("""COMPUTED_VALUE"""),"Egon Muller, Scharzhofberger Riesling Kabinett Alte Reben Auction, Mosel")</f>
        <v>Egon Muller, Scharzhofberger Riesling Kabinett Alte Reben Auction, Mosel</v>
      </c>
      <c r="E1746" s="9">
        <f>IFERROR(__xludf.DUMMYFUNCTION("""COMPUTED_VALUE"""),2017.0)</f>
        <v>2017</v>
      </c>
      <c r="F1746" s="9">
        <f>IFERROR(__xludf.DUMMYFUNCTION("""COMPUTED_VALUE"""),750.0)</f>
        <v>750</v>
      </c>
      <c r="G1746" s="9">
        <f>IFERROR(__xludf.DUMMYFUNCTION("""COMPUTED_VALUE"""),6.0)</f>
        <v>6</v>
      </c>
      <c r="H1746" s="10">
        <f>IFERROR(__xludf.DUMMYFUNCTION("""COMPUTED_VALUE"""),1.0)</f>
        <v>1</v>
      </c>
      <c r="I1746" s="11">
        <f>IFERROR(__xludf.DUMMYFUNCTION("""COMPUTED_VALUE"""),1443.0)</f>
        <v>1443</v>
      </c>
      <c r="J1746" s="9" t="str">
        <f>IFERROR(__xludf.DUMMYFUNCTION("""COMPUTED_VALUE"""),"UK")</f>
        <v>UK</v>
      </c>
      <c r="K1746" s="8"/>
      <c r="L1746" s="12"/>
      <c r="M1746" s="13"/>
      <c r="N1746" s="13" t="str">
        <f>IFERROR(__xludf.DUMMYFUNCTION("IF(ISBLANK(M1746),"""",M1746*GOOGLEFINANCE(""USDGBP""))"),"")</f>
        <v/>
      </c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</row>
    <row r="1747">
      <c r="A1747" s="8" t="str">
        <f>IFERROR(__xludf.DUMMYFUNCTION("""COMPUTED_VALUE"""),"108988620170600750")</f>
        <v>108988620170600750</v>
      </c>
      <c r="B1747" s="9" t="str">
        <f>IFERROR(__xludf.DUMMYFUNCTION("""COMPUTED_VALUE"""),"Germany")</f>
        <v>Germany</v>
      </c>
      <c r="C1747" s="9" t="str">
        <f>IFERROR(__xludf.DUMMYFUNCTION("""COMPUTED_VALUE"""),"mosel")</f>
        <v>mosel</v>
      </c>
      <c r="D1747" s="9" t="str">
        <f>IFERROR(__xludf.DUMMYFUNCTION("""COMPUTED_VALUE"""),"Egon Muller, Scharzhofberger Riesling Kabinett, Mosel")</f>
        <v>Egon Muller, Scharzhofberger Riesling Kabinett, Mosel</v>
      </c>
      <c r="E1747" s="9">
        <f>IFERROR(__xludf.DUMMYFUNCTION("""COMPUTED_VALUE"""),2017.0)</f>
        <v>2017</v>
      </c>
      <c r="F1747" s="9">
        <f>IFERROR(__xludf.DUMMYFUNCTION("""COMPUTED_VALUE"""),750.0)</f>
        <v>750</v>
      </c>
      <c r="G1747" s="9">
        <f>IFERROR(__xludf.DUMMYFUNCTION("""COMPUTED_VALUE"""),6.0)</f>
        <v>6</v>
      </c>
      <c r="H1747" s="10">
        <f>IFERROR(__xludf.DUMMYFUNCTION("""COMPUTED_VALUE"""),1.0)</f>
        <v>1</v>
      </c>
      <c r="I1747" s="11">
        <f>IFERROR(__xludf.DUMMYFUNCTION("""COMPUTED_VALUE"""),1894.0)</f>
        <v>1894</v>
      </c>
      <c r="J1747" s="9" t="str">
        <f>IFERROR(__xludf.DUMMYFUNCTION("""COMPUTED_VALUE"""),"UK")</f>
        <v>UK</v>
      </c>
      <c r="K1747" s="8"/>
      <c r="L1747" s="12"/>
      <c r="M1747" s="13"/>
      <c r="N1747" s="13" t="str">
        <f>IFERROR(__xludf.DUMMYFUNCTION("IF(ISBLANK(M1747),"""",M1747*GOOGLEFINANCE(""USDGBP""))"),"")</f>
        <v/>
      </c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</row>
    <row r="1748">
      <c r="A1748" s="8" t="str">
        <f>IFERROR(__xludf.DUMMYFUNCTION("""COMPUTED_VALUE"""),"108988620180600750")</f>
        <v>108988620180600750</v>
      </c>
      <c r="B1748" s="9" t="str">
        <f>IFERROR(__xludf.DUMMYFUNCTION("""COMPUTED_VALUE"""),"Germany")</f>
        <v>Germany</v>
      </c>
      <c r="C1748" s="9" t="str">
        <f>IFERROR(__xludf.DUMMYFUNCTION("""COMPUTED_VALUE"""),"mosel")</f>
        <v>mosel</v>
      </c>
      <c r="D1748" s="9" t="str">
        <f>IFERROR(__xludf.DUMMYFUNCTION("""COMPUTED_VALUE"""),"Egon Muller, Scharzhofberger Riesling Kabinett, Mosel")</f>
        <v>Egon Muller, Scharzhofberger Riesling Kabinett, Mosel</v>
      </c>
      <c r="E1748" s="9">
        <f>IFERROR(__xludf.DUMMYFUNCTION("""COMPUTED_VALUE"""),2018.0)</f>
        <v>2018</v>
      </c>
      <c r="F1748" s="9">
        <f>IFERROR(__xludf.DUMMYFUNCTION("""COMPUTED_VALUE"""),750.0)</f>
        <v>750</v>
      </c>
      <c r="G1748" s="9">
        <f>IFERROR(__xludf.DUMMYFUNCTION("""COMPUTED_VALUE"""),6.0)</f>
        <v>6</v>
      </c>
      <c r="H1748" s="10">
        <f>IFERROR(__xludf.DUMMYFUNCTION("""COMPUTED_VALUE"""),2.0)</f>
        <v>2</v>
      </c>
      <c r="I1748" s="11">
        <f>IFERROR(__xludf.DUMMYFUNCTION("""COMPUTED_VALUE"""),667.0)</f>
        <v>667</v>
      </c>
      <c r="J1748" s="9" t="str">
        <f>IFERROR(__xludf.DUMMYFUNCTION("""COMPUTED_VALUE"""),"UK")</f>
        <v>UK</v>
      </c>
      <c r="K1748" s="8"/>
      <c r="L1748" s="12"/>
      <c r="M1748" s="13"/>
      <c r="N1748" s="13" t="str">
        <f>IFERROR(__xludf.DUMMYFUNCTION("IF(ISBLANK(M1748),"""",M1748*GOOGLEFINANCE(""USDGBP""))"),"")</f>
        <v/>
      </c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</row>
    <row r="1749">
      <c r="A1749" s="8" t="str">
        <f>IFERROR(__xludf.DUMMYFUNCTION("""COMPUTED_VALUE"""),"108988620180301500")</f>
        <v>108988620180301500</v>
      </c>
      <c r="B1749" s="9" t="str">
        <f>IFERROR(__xludf.DUMMYFUNCTION("""COMPUTED_VALUE"""),"Germany")</f>
        <v>Germany</v>
      </c>
      <c r="C1749" s="9" t="str">
        <f>IFERROR(__xludf.DUMMYFUNCTION("""COMPUTED_VALUE"""),"mosel")</f>
        <v>mosel</v>
      </c>
      <c r="D1749" s="9" t="str">
        <f>IFERROR(__xludf.DUMMYFUNCTION("""COMPUTED_VALUE"""),"Egon Muller, Scharzhofberger Riesling Kabinett, Mosel")</f>
        <v>Egon Muller, Scharzhofberger Riesling Kabinett, Mosel</v>
      </c>
      <c r="E1749" s="9">
        <f>IFERROR(__xludf.DUMMYFUNCTION("""COMPUTED_VALUE"""),2018.0)</f>
        <v>2018</v>
      </c>
      <c r="F1749" s="9">
        <f>IFERROR(__xludf.DUMMYFUNCTION("""COMPUTED_VALUE"""),1500.0)</f>
        <v>1500</v>
      </c>
      <c r="G1749" s="9">
        <f>IFERROR(__xludf.DUMMYFUNCTION("""COMPUTED_VALUE"""),3.0)</f>
        <v>3</v>
      </c>
      <c r="H1749" s="10">
        <f>IFERROR(__xludf.DUMMYFUNCTION("""COMPUTED_VALUE"""),1.0)</f>
        <v>1</v>
      </c>
      <c r="I1749" s="11">
        <f>IFERROR(__xludf.DUMMYFUNCTION("""COMPUTED_VALUE"""),673.0)</f>
        <v>673</v>
      </c>
      <c r="J1749" s="9" t="str">
        <f>IFERROR(__xludf.DUMMYFUNCTION("""COMPUTED_VALUE"""),"UK")</f>
        <v>UK</v>
      </c>
      <c r="K1749" s="8"/>
      <c r="L1749" s="12"/>
      <c r="M1749" s="13"/>
      <c r="N1749" s="13" t="str">
        <f>IFERROR(__xludf.DUMMYFUNCTION("IF(ISBLANK(M1749),"""",M1749*GOOGLEFINANCE(""USDGBP""))"),"")</f>
        <v/>
      </c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  <c r="FN1749" s="8"/>
      <c r="FO1749" s="8"/>
      <c r="FP1749" s="8"/>
      <c r="FQ1749" s="8"/>
      <c r="FR1749" s="8"/>
      <c r="FS1749" s="8"/>
      <c r="FT1749" s="8"/>
      <c r="FU1749" s="8"/>
      <c r="FV1749" s="8"/>
      <c r="FW1749" s="8"/>
      <c r="FX1749" s="8"/>
      <c r="FY1749" s="8"/>
      <c r="FZ1749" s="8"/>
      <c r="GA1749" s="8"/>
      <c r="GB1749" s="8"/>
      <c r="GC1749" s="8"/>
      <c r="GD1749" s="8"/>
      <c r="GE1749" s="8"/>
      <c r="GF1749" s="8"/>
      <c r="GG1749" s="8"/>
      <c r="GH1749" s="8"/>
      <c r="GI1749" s="8"/>
      <c r="GJ1749" s="8"/>
      <c r="GK1749" s="8"/>
      <c r="GL1749" s="8"/>
      <c r="GM1749" s="8"/>
      <c r="GN1749" s="8"/>
      <c r="GO1749" s="8"/>
      <c r="GP1749" s="8"/>
      <c r="GQ1749" s="8"/>
      <c r="GR1749" s="8"/>
      <c r="GS1749" s="8"/>
      <c r="GT1749" s="8"/>
      <c r="GU1749" s="8"/>
      <c r="GV1749" s="8"/>
      <c r="GW1749" s="8"/>
      <c r="GX1749" s="8"/>
    </row>
    <row r="1750">
      <c r="A1750" s="8" t="str">
        <f>IFERROR(__xludf.DUMMYFUNCTION("""COMPUTED_VALUE"""),"108988620200600750")</f>
        <v>108988620200600750</v>
      </c>
      <c r="B1750" s="9" t="str">
        <f>IFERROR(__xludf.DUMMYFUNCTION("""COMPUTED_VALUE"""),"Germany")</f>
        <v>Germany</v>
      </c>
      <c r="C1750" s="9" t="str">
        <f>IFERROR(__xludf.DUMMYFUNCTION("""COMPUTED_VALUE"""),"mosel")</f>
        <v>mosel</v>
      </c>
      <c r="D1750" s="9" t="str">
        <f>IFERROR(__xludf.DUMMYFUNCTION("""COMPUTED_VALUE"""),"Egon Muller, Scharzhofberger Riesling Kabinett, Mosel")</f>
        <v>Egon Muller, Scharzhofberger Riesling Kabinett, Mosel</v>
      </c>
      <c r="E1750" s="9">
        <f>IFERROR(__xludf.DUMMYFUNCTION("""COMPUTED_VALUE"""),2020.0)</f>
        <v>2020</v>
      </c>
      <c r="F1750" s="9">
        <f>IFERROR(__xludf.DUMMYFUNCTION("""COMPUTED_VALUE"""),750.0)</f>
        <v>750</v>
      </c>
      <c r="G1750" s="9">
        <f>IFERROR(__xludf.DUMMYFUNCTION("""COMPUTED_VALUE"""),6.0)</f>
        <v>6</v>
      </c>
      <c r="H1750" s="10">
        <f>IFERROR(__xludf.DUMMYFUNCTION("""COMPUTED_VALUE"""),3.0)</f>
        <v>3</v>
      </c>
      <c r="I1750" s="11">
        <f>IFERROR(__xludf.DUMMYFUNCTION("""COMPUTED_VALUE"""),803.0)</f>
        <v>803</v>
      </c>
      <c r="J1750" s="9" t="str">
        <f>IFERROR(__xludf.DUMMYFUNCTION("""COMPUTED_VALUE"""),"UK")</f>
        <v>UK</v>
      </c>
      <c r="K1750" s="8"/>
      <c r="L1750" s="12"/>
      <c r="M1750" s="13"/>
      <c r="N1750" s="13" t="str">
        <f>IFERROR(__xludf.DUMMYFUNCTION("IF(ISBLANK(M1750),"""",M1750*GOOGLEFINANCE(""USDGBP""))"),"")</f>
        <v/>
      </c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  <c r="FN1750" s="8"/>
      <c r="FO1750" s="8"/>
      <c r="FP1750" s="8"/>
      <c r="FQ1750" s="8"/>
      <c r="FR1750" s="8"/>
      <c r="FS1750" s="8"/>
      <c r="FT1750" s="8"/>
      <c r="FU1750" s="8"/>
      <c r="FV1750" s="8"/>
      <c r="FW1750" s="8"/>
      <c r="FX1750" s="8"/>
      <c r="FY1750" s="8"/>
      <c r="FZ1750" s="8"/>
      <c r="GA1750" s="8"/>
      <c r="GB1750" s="8"/>
      <c r="GC1750" s="8"/>
      <c r="GD1750" s="8"/>
      <c r="GE1750" s="8"/>
      <c r="GF1750" s="8"/>
      <c r="GG1750" s="8"/>
      <c r="GH1750" s="8"/>
      <c r="GI1750" s="8"/>
      <c r="GJ1750" s="8"/>
      <c r="GK1750" s="8"/>
      <c r="GL1750" s="8"/>
      <c r="GM1750" s="8"/>
      <c r="GN1750" s="8"/>
      <c r="GO1750" s="8"/>
      <c r="GP1750" s="8"/>
      <c r="GQ1750" s="8"/>
      <c r="GR1750" s="8"/>
      <c r="GS1750" s="8"/>
      <c r="GT1750" s="8"/>
      <c r="GU1750" s="8"/>
      <c r="GV1750" s="8"/>
      <c r="GW1750" s="8"/>
      <c r="GX1750" s="8"/>
    </row>
    <row r="1751">
      <c r="A1751" s="8" t="str">
        <f>IFERROR(__xludf.DUMMYFUNCTION("""COMPUTED_VALUE"""),"108991620110600750")</f>
        <v>108991620110600750</v>
      </c>
      <c r="B1751" s="9" t="str">
        <f>IFERROR(__xludf.DUMMYFUNCTION("""COMPUTED_VALUE"""),"Germany")</f>
        <v>Germany</v>
      </c>
      <c r="C1751" s="9" t="str">
        <f>IFERROR(__xludf.DUMMYFUNCTION("""COMPUTED_VALUE"""),"mosel")</f>
        <v>mosel</v>
      </c>
      <c r="D1751" s="9" t="str">
        <f>IFERROR(__xludf.DUMMYFUNCTION("""COMPUTED_VALUE"""),"Egon Muller, Scharzhofberger Riesling Spatlese, Mosel")</f>
        <v>Egon Muller, Scharzhofberger Riesling Spatlese, Mosel</v>
      </c>
      <c r="E1751" s="9">
        <f>IFERROR(__xludf.DUMMYFUNCTION("""COMPUTED_VALUE"""),2011.0)</f>
        <v>2011</v>
      </c>
      <c r="F1751" s="9">
        <f>IFERROR(__xludf.DUMMYFUNCTION("""COMPUTED_VALUE"""),750.0)</f>
        <v>750</v>
      </c>
      <c r="G1751" s="9">
        <f>IFERROR(__xludf.DUMMYFUNCTION("""COMPUTED_VALUE"""),6.0)</f>
        <v>6</v>
      </c>
      <c r="H1751" s="10">
        <f>IFERROR(__xludf.DUMMYFUNCTION("""COMPUTED_VALUE"""),2.0)</f>
        <v>2</v>
      </c>
      <c r="I1751" s="11">
        <f>IFERROR(__xludf.DUMMYFUNCTION("""COMPUTED_VALUE"""),1820.0)</f>
        <v>1820</v>
      </c>
      <c r="J1751" s="9" t="str">
        <f>IFERROR(__xludf.DUMMYFUNCTION("""COMPUTED_VALUE"""),"UK")</f>
        <v>UK</v>
      </c>
      <c r="K1751" s="8"/>
      <c r="L1751" s="12"/>
      <c r="M1751" s="13"/>
      <c r="N1751" s="13" t="str">
        <f>IFERROR(__xludf.DUMMYFUNCTION("IF(ISBLANK(M1751),"""",M1751*GOOGLEFINANCE(""USDGBP""))"),"")</f>
        <v/>
      </c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  <c r="GG1751" s="8"/>
      <c r="GH1751" s="8"/>
      <c r="GI1751" s="8"/>
      <c r="GJ1751" s="8"/>
      <c r="GK1751" s="8"/>
      <c r="GL1751" s="8"/>
      <c r="GM1751" s="8"/>
      <c r="GN1751" s="8"/>
      <c r="GO1751" s="8"/>
      <c r="GP1751" s="8"/>
      <c r="GQ1751" s="8"/>
      <c r="GR1751" s="8"/>
      <c r="GS1751" s="8"/>
      <c r="GT1751" s="8"/>
      <c r="GU1751" s="8"/>
      <c r="GV1751" s="8"/>
      <c r="GW1751" s="8"/>
      <c r="GX1751" s="8"/>
    </row>
    <row r="1752">
      <c r="A1752" s="8" t="str">
        <f>IFERROR(__xludf.DUMMYFUNCTION("""COMPUTED_VALUE"""),"108991620130600750")</f>
        <v>108991620130600750</v>
      </c>
      <c r="B1752" s="9" t="str">
        <f>IFERROR(__xludf.DUMMYFUNCTION("""COMPUTED_VALUE"""),"Germany")</f>
        <v>Germany</v>
      </c>
      <c r="C1752" s="9" t="str">
        <f>IFERROR(__xludf.DUMMYFUNCTION("""COMPUTED_VALUE"""),"mosel")</f>
        <v>mosel</v>
      </c>
      <c r="D1752" s="9" t="str">
        <f>IFERROR(__xludf.DUMMYFUNCTION("""COMPUTED_VALUE"""),"Egon Muller, Scharzhofberger Riesling Spatlese, Mosel")</f>
        <v>Egon Muller, Scharzhofberger Riesling Spatlese, Mosel</v>
      </c>
      <c r="E1752" s="9">
        <f>IFERROR(__xludf.DUMMYFUNCTION("""COMPUTED_VALUE"""),2013.0)</f>
        <v>2013</v>
      </c>
      <c r="F1752" s="9">
        <f>IFERROR(__xludf.DUMMYFUNCTION("""COMPUTED_VALUE"""),750.0)</f>
        <v>750</v>
      </c>
      <c r="G1752" s="9">
        <f>IFERROR(__xludf.DUMMYFUNCTION("""COMPUTED_VALUE"""),6.0)</f>
        <v>6</v>
      </c>
      <c r="H1752" s="10">
        <f>IFERROR(__xludf.DUMMYFUNCTION("""COMPUTED_VALUE"""),7.0)</f>
        <v>7</v>
      </c>
      <c r="I1752" s="11">
        <f>IFERROR(__xludf.DUMMYFUNCTION("""COMPUTED_VALUE"""),1847.0)</f>
        <v>1847</v>
      </c>
      <c r="J1752" s="9" t="str">
        <f>IFERROR(__xludf.DUMMYFUNCTION("""COMPUTED_VALUE"""),"UK")</f>
        <v>UK</v>
      </c>
      <c r="K1752" s="8"/>
      <c r="L1752" s="12"/>
      <c r="M1752" s="13"/>
      <c r="N1752" s="13" t="str">
        <f>IFERROR(__xludf.DUMMYFUNCTION("IF(ISBLANK(M1752),"""",M1752*GOOGLEFINANCE(""USDGBP""))"),"")</f>
        <v/>
      </c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  <c r="GG1752" s="8"/>
      <c r="GH1752" s="8"/>
      <c r="GI1752" s="8"/>
      <c r="GJ1752" s="8"/>
      <c r="GK1752" s="8"/>
      <c r="GL1752" s="8"/>
      <c r="GM1752" s="8"/>
      <c r="GN1752" s="8"/>
      <c r="GO1752" s="8"/>
      <c r="GP1752" s="8"/>
      <c r="GQ1752" s="8"/>
      <c r="GR1752" s="8"/>
      <c r="GS1752" s="8"/>
      <c r="GT1752" s="8"/>
      <c r="GU1752" s="8"/>
      <c r="GV1752" s="8"/>
      <c r="GW1752" s="8"/>
      <c r="GX1752" s="8"/>
    </row>
    <row r="1753">
      <c r="A1753" s="8" t="str">
        <f>IFERROR(__xludf.DUMMYFUNCTION("""COMPUTED_VALUE"""),"108991620160600750")</f>
        <v>108991620160600750</v>
      </c>
      <c r="B1753" s="9" t="str">
        <f>IFERROR(__xludf.DUMMYFUNCTION("""COMPUTED_VALUE"""),"Germany")</f>
        <v>Germany</v>
      </c>
      <c r="C1753" s="9" t="str">
        <f>IFERROR(__xludf.DUMMYFUNCTION("""COMPUTED_VALUE"""),"mosel")</f>
        <v>mosel</v>
      </c>
      <c r="D1753" s="9" t="str">
        <f>IFERROR(__xludf.DUMMYFUNCTION("""COMPUTED_VALUE"""),"Egon Muller, Scharzhofberger Riesling Spatlese, Mosel")</f>
        <v>Egon Muller, Scharzhofberger Riesling Spatlese, Mosel</v>
      </c>
      <c r="E1753" s="9">
        <f>IFERROR(__xludf.DUMMYFUNCTION("""COMPUTED_VALUE"""),2016.0)</f>
        <v>2016</v>
      </c>
      <c r="F1753" s="9">
        <f>IFERROR(__xludf.DUMMYFUNCTION("""COMPUTED_VALUE"""),750.0)</f>
        <v>750</v>
      </c>
      <c r="G1753" s="9">
        <f>IFERROR(__xludf.DUMMYFUNCTION("""COMPUTED_VALUE"""),6.0)</f>
        <v>6</v>
      </c>
      <c r="H1753" s="10">
        <f>IFERROR(__xludf.DUMMYFUNCTION("""COMPUTED_VALUE"""),1.0)</f>
        <v>1</v>
      </c>
      <c r="I1753" s="11">
        <f>IFERROR(__xludf.DUMMYFUNCTION("""COMPUTED_VALUE"""),1024.0)</f>
        <v>1024</v>
      </c>
      <c r="J1753" s="9" t="str">
        <f>IFERROR(__xludf.DUMMYFUNCTION("""COMPUTED_VALUE"""),"UK")</f>
        <v>UK</v>
      </c>
      <c r="K1753" s="8"/>
      <c r="L1753" s="12"/>
      <c r="M1753" s="13"/>
      <c r="N1753" s="13" t="str">
        <f>IFERROR(__xludf.DUMMYFUNCTION("IF(ISBLANK(M1753),"""",M1753*GOOGLEFINANCE(""USDGBP""))"),"")</f>
        <v/>
      </c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</row>
    <row r="1754">
      <c r="A1754" s="8" t="str">
        <f>IFERROR(__xludf.DUMMYFUNCTION("""COMPUTED_VALUE"""),"108991620180600750")</f>
        <v>108991620180600750</v>
      </c>
      <c r="B1754" s="9" t="str">
        <f>IFERROR(__xludf.DUMMYFUNCTION("""COMPUTED_VALUE"""),"Germany")</f>
        <v>Germany</v>
      </c>
      <c r="C1754" s="9" t="str">
        <f>IFERROR(__xludf.DUMMYFUNCTION("""COMPUTED_VALUE"""),"mosel")</f>
        <v>mosel</v>
      </c>
      <c r="D1754" s="9" t="str">
        <f>IFERROR(__xludf.DUMMYFUNCTION("""COMPUTED_VALUE"""),"Egon Muller, Scharzhofberger Riesling Spatlese, Mosel")</f>
        <v>Egon Muller, Scharzhofberger Riesling Spatlese, Mosel</v>
      </c>
      <c r="E1754" s="9">
        <f>IFERROR(__xludf.DUMMYFUNCTION("""COMPUTED_VALUE"""),2018.0)</f>
        <v>2018</v>
      </c>
      <c r="F1754" s="9">
        <f>IFERROR(__xludf.DUMMYFUNCTION("""COMPUTED_VALUE"""),750.0)</f>
        <v>750</v>
      </c>
      <c r="G1754" s="9">
        <f>IFERROR(__xludf.DUMMYFUNCTION("""COMPUTED_VALUE"""),6.0)</f>
        <v>6</v>
      </c>
      <c r="H1754" s="10">
        <f>IFERROR(__xludf.DUMMYFUNCTION("""COMPUTED_VALUE"""),8.0)</f>
        <v>8</v>
      </c>
      <c r="I1754" s="11">
        <f>IFERROR(__xludf.DUMMYFUNCTION("""COMPUTED_VALUE"""),1021.0)</f>
        <v>1021</v>
      </c>
      <c r="J1754" s="9" t="str">
        <f>IFERROR(__xludf.DUMMYFUNCTION("""COMPUTED_VALUE"""),"UK")</f>
        <v>UK</v>
      </c>
      <c r="K1754" s="8"/>
      <c r="L1754" s="12"/>
      <c r="M1754" s="13"/>
      <c r="N1754" s="13" t="str">
        <f>IFERROR(__xludf.DUMMYFUNCTION("IF(ISBLANK(M1754),"""",M1754*GOOGLEFINANCE(""USDGBP""))"),"")</f>
        <v/>
      </c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</row>
    <row r="1755">
      <c r="A1755" s="8" t="str">
        <f>IFERROR(__xludf.DUMMYFUNCTION("""COMPUTED_VALUE"""),"108991620181200750")</f>
        <v>108991620181200750</v>
      </c>
      <c r="B1755" s="9" t="str">
        <f>IFERROR(__xludf.DUMMYFUNCTION("""COMPUTED_VALUE"""),"Germany")</f>
        <v>Germany</v>
      </c>
      <c r="C1755" s="9" t="str">
        <f>IFERROR(__xludf.DUMMYFUNCTION("""COMPUTED_VALUE"""),"mosel")</f>
        <v>mosel</v>
      </c>
      <c r="D1755" s="9" t="str">
        <f>IFERROR(__xludf.DUMMYFUNCTION("""COMPUTED_VALUE"""),"Egon Muller, Scharzhofberger Riesling Spatlese, Mosel")</f>
        <v>Egon Muller, Scharzhofberger Riesling Spatlese, Mosel</v>
      </c>
      <c r="E1755" s="9">
        <f>IFERROR(__xludf.DUMMYFUNCTION("""COMPUTED_VALUE"""),2018.0)</f>
        <v>2018</v>
      </c>
      <c r="F1755" s="9">
        <f>IFERROR(__xludf.DUMMYFUNCTION("""COMPUTED_VALUE"""),750.0)</f>
        <v>750</v>
      </c>
      <c r="G1755" s="9">
        <f>IFERROR(__xludf.DUMMYFUNCTION("""COMPUTED_VALUE"""),12.0)</f>
        <v>12</v>
      </c>
      <c r="H1755" s="10">
        <f>IFERROR(__xludf.DUMMYFUNCTION("""COMPUTED_VALUE"""),1.0)</f>
        <v>1</v>
      </c>
      <c r="I1755" s="11">
        <f>IFERROR(__xludf.DUMMYFUNCTION("""COMPUTED_VALUE"""),2043.0)</f>
        <v>2043</v>
      </c>
      <c r="J1755" s="9" t="str">
        <f>IFERROR(__xludf.DUMMYFUNCTION("""COMPUTED_VALUE"""),"UK")</f>
        <v>UK</v>
      </c>
      <c r="K1755" s="8"/>
      <c r="L1755" s="12"/>
      <c r="M1755" s="13"/>
      <c r="N1755" s="13" t="str">
        <f>IFERROR(__xludf.DUMMYFUNCTION("IF(ISBLANK(M1755),"""",M1755*GOOGLEFINANCE(""USDGBP""))"),"")</f>
        <v/>
      </c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  <c r="GA1755" s="8"/>
      <c r="GB1755" s="8"/>
      <c r="GC1755" s="8"/>
      <c r="GD1755" s="8"/>
      <c r="GE1755" s="8"/>
      <c r="GF1755" s="8"/>
      <c r="GG1755" s="8"/>
      <c r="GH1755" s="8"/>
      <c r="GI1755" s="8"/>
      <c r="GJ1755" s="8"/>
      <c r="GK1755" s="8"/>
      <c r="GL1755" s="8"/>
      <c r="GM1755" s="8"/>
      <c r="GN1755" s="8"/>
      <c r="GO1755" s="8"/>
      <c r="GP1755" s="8"/>
      <c r="GQ1755" s="8"/>
      <c r="GR1755" s="8"/>
      <c r="GS1755" s="8"/>
      <c r="GT1755" s="8"/>
      <c r="GU1755" s="8"/>
      <c r="GV1755" s="8"/>
      <c r="GW1755" s="8"/>
      <c r="GX1755" s="8"/>
    </row>
    <row r="1756">
      <c r="A1756" s="8" t="str">
        <f>IFERROR(__xludf.DUMMYFUNCTION("""COMPUTED_VALUE"""),"108991620200600750")</f>
        <v>108991620200600750</v>
      </c>
      <c r="B1756" s="9" t="str">
        <f>IFERROR(__xludf.DUMMYFUNCTION("""COMPUTED_VALUE"""),"Germany")</f>
        <v>Germany</v>
      </c>
      <c r="C1756" s="9" t="str">
        <f>IFERROR(__xludf.DUMMYFUNCTION("""COMPUTED_VALUE"""),"mosel")</f>
        <v>mosel</v>
      </c>
      <c r="D1756" s="9" t="str">
        <f>IFERROR(__xludf.DUMMYFUNCTION("""COMPUTED_VALUE"""),"Egon Muller, Scharzhofberger Riesling Spatlese, Mosel")</f>
        <v>Egon Muller, Scharzhofberger Riesling Spatlese, Mosel</v>
      </c>
      <c r="E1756" s="9">
        <f>IFERROR(__xludf.DUMMYFUNCTION("""COMPUTED_VALUE"""),2020.0)</f>
        <v>2020</v>
      </c>
      <c r="F1756" s="9">
        <f>IFERROR(__xludf.DUMMYFUNCTION("""COMPUTED_VALUE"""),750.0)</f>
        <v>750</v>
      </c>
      <c r="G1756" s="9">
        <f>IFERROR(__xludf.DUMMYFUNCTION("""COMPUTED_VALUE"""),6.0)</f>
        <v>6</v>
      </c>
      <c r="H1756" s="10">
        <f>IFERROR(__xludf.DUMMYFUNCTION("""COMPUTED_VALUE"""),1.0)</f>
        <v>1</v>
      </c>
      <c r="I1756" s="11">
        <f>IFERROR(__xludf.DUMMYFUNCTION("""COMPUTED_VALUE"""),969.0)</f>
        <v>969</v>
      </c>
      <c r="J1756" s="9" t="str">
        <f>IFERROR(__xludf.DUMMYFUNCTION("""COMPUTED_VALUE"""),"UK")</f>
        <v>UK</v>
      </c>
      <c r="K1756" s="8"/>
      <c r="L1756" s="12"/>
      <c r="M1756" s="13"/>
      <c r="N1756" s="13" t="str">
        <f>IFERROR(__xludf.DUMMYFUNCTION("IF(ISBLANK(M1756),"""",M1756*GOOGLEFINANCE(""USDGBP""))"),"")</f>
        <v/>
      </c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  <c r="GA1756" s="8"/>
      <c r="GB1756" s="8"/>
      <c r="GC1756" s="8"/>
      <c r="GD1756" s="8"/>
      <c r="GE1756" s="8"/>
      <c r="GF1756" s="8"/>
      <c r="GG1756" s="8"/>
      <c r="GH1756" s="8"/>
      <c r="GI1756" s="8"/>
      <c r="GJ1756" s="8"/>
      <c r="GK1756" s="8"/>
      <c r="GL1756" s="8"/>
      <c r="GM1756" s="8"/>
      <c r="GN1756" s="8"/>
      <c r="GO1756" s="8"/>
      <c r="GP1756" s="8"/>
      <c r="GQ1756" s="8"/>
      <c r="GR1756" s="8"/>
      <c r="GS1756" s="8"/>
      <c r="GT1756" s="8"/>
      <c r="GU1756" s="8"/>
      <c r="GV1756" s="8"/>
      <c r="GW1756" s="8"/>
      <c r="GX1756" s="8"/>
    </row>
    <row r="1757">
      <c r="A1757" s="8" t="str">
        <f>IFERROR(__xludf.DUMMYFUNCTION("""COMPUTED_VALUE"""),"108991620201200750")</f>
        <v>108991620201200750</v>
      </c>
      <c r="B1757" s="9" t="str">
        <f>IFERROR(__xludf.DUMMYFUNCTION("""COMPUTED_VALUE"""),"Germany")</f>
        <v>Germany</v>
      </c>
      <c r="C1757" s="9" t="str">
        <f>IFERROR(__xludf.DUMMYFUNCTION("""COMPUTED_VALUE"""),"mosel")</f>
        <v>mosel</v>
      </c>
      <c r="D1757" s="9" t="str">
        <f>IFERROR(__xludf.DUMMYFUNCTION("""COMPUTED_VALUE"""),"Egon Muller, Scharzhofberger Riesling Spatlese, Mosel")</f>
        <v>Egon Muller, Scharzhofberger Riesling Spatlese, Mosel</v>
      </c>
      <c r="E1757" s="9">
        <f>IFERROR(__xludf.DUMMYFUNCTION("""COMPUTED_VALUE"""),2020.0)</f>
        <v>2020</v>
      </c>
      <c r="F1757" s="9">
        <f>IFERROR(__xludf.DUMMYFUNCTION("""COMPUTED_VALUE"""),750.0)</f>
        <v>750</v>
      </c>
      <c r="G1757" s="9">
        <f>IFERROR(__xludf.DUMMYFUNCTION("""COMPUTED_VALUE"""),12.0)</f>
        <v>12</v>
      </c>
      <c r="H1757" s="10">
        <f>IFERROR(__xludf.DUMMYFUNCTION("""COMPUTED_VALUE"""),2.0)</f>
        <v>2</v>
      </c>
      <c r="I1757" s="11">
        <f>IFERROR(__xludf.DUMMYFUNCTION("""COMPUTED_VALUE"""),1936.0)</f>
        <v>1936</v>
      </c>
      <c r="J1757" s="9" t="str">
        <f>IFERROR(__xludf.DUMMYFUNCTION("""COMPUTED_VALUE"""),"UK")</f>
        <v>UK</v>
      </c>
      <c r="K1757" s="8"/>
      <c r="L1757" s="12"/>
      <c r="M1757" s="13"/>
      <c r="N1757" s="13" t="str">
        <f>IFERROR(__xludf.DUMMYFUNCTION("IF(ISBLANK(M1757),"""",M1757*GOOGLEFINANCE(""USDGBP""))"),"")</f>
        <v/>
      </c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  <c r="GA1757" s="8"/>
      <c r="GB1757" s="8"/>
      <c r="GC1757" s="8"/>
      <c r="GD1757" s="8"/>
      <c r="GE1757" s="8"/>
      <c r="GF1757" s="8"/>
      <c r="GG1757" s="8"/>
      <c r="GH1757" s="8"/>
      <c r="GI1757" s="8"/>
      <c r="GJ1757" s="8"/>
      <c r="GK1757" s="8"/>
      <c r="GL1757" s="8"/>
      <c r="GM1757" s="8"/>
      <c r="GN1757" s="8"/>
      <c r="GO1757" s="8"/>
      <c r="GP1757" s="8"/>
      <c r="GQ1757" s="8"/>
      <c r="GR1757" s="8"/>
      <c r="GS1757" s="8"/>
      <c r="GT1757" s="8"/>
      <c r="GU1757" s="8"/>
      <c r="GV1757" s="8"/>
      <c r="GW1757" s="8"/>
      <c r="GX1757" s="8"/>
    </row>
    <row r="1758">
      <c r="A1758" s="8" t="str">
        <f>IFERROR(__xludf.DUMMYFUNCTION("""COMPUTED_VALUE"""),"174335120170600750")</f>
        <v>174335120170600750</v>
      </c>
      <c r="B1758" s="9" t="str">
        <f>IFERROR(__xludf.DUMMYFUNCTION("""COMPUTED_VALUE"""),"Germany")</f>
        <v>Germany</v>
      </c>
      <c r="C1758" s="9" t="str">
        <f>IFERROR(__xludf.DUMMYFUNCTION("""COMPUTED_VALUE"""),"mosel")</f>
        <v>mosel</v>
      </c>
      <c r="D1758" s="9" t="str">
        <f>IFERROR(__xludf.DUMMYFUNCTION("""COMPUTED_VALUE"""),"Egon Muller, Wiltinger Braune Kupp Le Gallais Riesling Spatlese Auktion, Mosel")</f>
        <v>Egon Muller, Wiltinger Braune Kupp Le Gallais Riesling Spatlese Auktion, Mosel</v>
      </c>
      <c r="E1758" s="9">
        <f>IFERROR(__xludf.DUMMYFUNCTION("""COMPUTED_VALUE"""),2017.0)</f>
        <v>2017</v>
      </c>
      <c r="F1758" s="9">
        <f>IFERROR(__xludf.DUMMYFUNCTION("""COMPUTED_VALUE"""),750.0)</f>
        <v>750</v>
      </c>
      <c r="G1758" s="9">
        <f>IFERROR(__xludf.DUMMYFUNCTION("""COMPUTED_VALUE"""),6.0)</f>
        <v>6</v>
      </c>
      <c r="H1758" s="10">
        <f>IFERROR(__xludf.DUMMYFUNCTION("""COMPUTED_VALUE"""),1.0)</f>
        <v>1</v>
      </c>
      <c r="I1758" s="11">
        <f>IFERROR(__xludf.DUMMYFUNCTION("""COMPUTED_VALUE"""),643.0)</f>
        <v>643</v>
      </c>
      <c r="J1758" s="9" t="str">
        <f>IFERROR(__xludf.DUMMYFUNCTION("""COMPUTED_VALUE"""),"UK")</f>
        <v>UK</v>
      </c>
      <c r="K1758" s="8"/>
      <c r="L1758" s="12"/>
      <c r="M1758" s="13"/>
      <c r="N1758" s="13" t="str">
        <f>IFERROR(__xludf.DUMMYFUNCTION("IF(ISBLANK(M1758),"""",M1758*GOOGLEFINANCE(""USDGBP""))"),"")</f>
        <v/>
      </c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  <c r="GG1758" s="8"/>
      <c r="GH1758" s="8"/>
      <c r="GI1758" s="8"/>
      <c r="GJ1758" s="8"/>
      <c r="GK1758" s="8"/>
      <c r="GL1758" s="8"/>
      <c r="GM1758" s="8"/>
      <c r="GN1758" s="8"/>
      <c r="GO1758" s="8"/>
      <c r="GP1758" s="8"/>
      <c r="GQ1758" s="8"/>
      <c r="GR1758" s="8"/>
      <c r="GS1758" s="8"/>
      <c r="GT1758" s="8"/>
      <c r="GU1758" s="8"/>
      <c r="GV1758" s="8"/>
      <c r="GW1758" s="8"/>
      <c r="GX1758" s="8"/>
    </row>
    <row r="1759">
      <c r="A1759" s="8" t="str">
        <f>IFERROR(__xludf.DUMMYFUNCTION("""COMPUTED_VALUE"""),"146787120140600750")</f>
        <v>146787120140600750</v>
      </c>
      <c r="B1759" s="9" t="str">
        <f>IFERROR(__xludf.DUMMYFUNCTION("""COMPUTED_VALUE"""),"Germany")</f>
        <v>Germany</v>
      </c>
      <c r="C1759" s="9" t="str">
        <f>IFERROR(__xludf.DUMMYFUNCTION("""COMPUTED_VALUE"""),"mosel")</f>
        <v>mosel</v>
      </c>
      <c r="D1759" s="9" t="str">
        <f>IFERROR(__xludf.DUMMYFUNCTION("""COMPUTED_VALUE"""),"Forstmeister Geltz Zilliken, Saarburger Rausch Riesling Auslese Versteigerung, Mosel")</f>
        <v>Forstmeister Geltz Zilliken, Saarburger Rausch Riesling Auslese Versteigerung, Mosel</v>
      </c>
      <c r="E1759" s="9">
        <f>IFERROR(__xludf.DUMMYFUNCTION("""COMPUTED_VALUE"""),2014.0)</f>
        <v>2014</v>
      </c>
      <c r="F1759" s="9">
        <f>IFERROR(__xludf.DUMMYFUNCTION("""COMPUTED_VALUE"""),750.0)</f>
        <v>750</v>
      </c>
      <c r="G1759" s="9">
        <f>IFERROR(__xludf.DUMMYFUNCTION("""COMPUTED_VALUE"""),6.0)</f>
        <v>6</v>
      </c>
      <c r="H1759" s="10">
        <f>IFERROR(__xludf.DUMMYFUNCTION("""COMPUTED_VALUE"""),1.0)</f>
        <v>1</v>
      </c>
      <c r="I1759" s="11">
        <f>IFERROR(__xludf.DUMMYFUNCTION("""COMPUTED_VALUE"""),706.0)</f>
        <v>706</v>
      </c>
      <c r="J1759" s="9" t="str">
        <f>IFERROR(__xludf.DUMMYFUNCTION("""COMPUTED_VALUE"""),"UK")</f>
        <v>UK</v>
      </c>
      <c r="K1759" s="8"/>
      <c r="L1759" s="12"/>
      <c r="M1759" s="13"/>
      <c r="N1759" s="13" t="str">
        <f>IFERROR(__xludf.DUMMYFUNCTION("IF(ISBLANK(M1759),"""",M1759*GOOGLEFINANCE(""USDGBP""))"),"")</f>
        <v/>
      </c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  <c r="GA1759" s="8"/>
      <c r="GB1759" s="8"/>
      <c r="GC1759" s="8"/>
      <c r="GD1759" s="8"/>
      <c r="GE1759" s="8"/>
      <c r="GF1759" s="8"/>
      <c r="GG1759" s="8"/>
      <c r="GH1759" s="8"/>
      <c r="GI1759" s="8"/>
      <c r="GJ1759" s="8"/>
      <c r="GK1759" s="8"/>
      <c r="GL1759" s="8"/>
      <c r="GM1759" s="8"/>
      <c r="GN1759" s="8"/>
      <c r="GO1759" s="8"/>
      <c r="GP1759" s="8"/>
      <c r="GQ1759" s="8"/>
      <c r="GR1759" s="8"/>
      <c r="GS1759" s="8"/>
      <c r="GT1759" s="8"/>
      <c r="GU1759" s="8"/>
      <c r="GV1759" s="8"/>
      <c r="GW1759" s="8"/>
      <c r="GX1759" s="8"/>
    </row>
    <row r="1760">
      <c r="A1760" s="8" t="str">
        <f>IFERROR(__xludf.DUMMYFUNCTION("""COMPUTED_VALUE"""),"108625020051200750")</f>
        <v>108625020051200750</v>
      </c>
      <c r="B1760" s="9" t="str">
        <f>IFERROR(__xludf.DUMMYFUNCTION("""COMPUTED_VALUE"""),"Germany")</f>
        <v>Germany</v>
      </c>
      <c r="C1760" s="9" t="str">
        <f>IFERROR(__xludf.DUMMYFUNCTION("""COMPUTED_VALUE"""),"mosel")</f>
        <v>mosel</v>
      </c>
      <c r="D1760" s="9" t="str">
        <f>IFERROR(__xludf.DUMMYFUNCTION("""COMPUTED_VALUE"""),"Fritz Haag, Brauneberger Juffer Sonnenuhr Riesling Spatlese, Mosel")</f>
        <v>Fritz Haag, Brauneberger Juffer Sonnenuhr Riesling Spatlese, Mosel</v>
      </c>
      <c r="E1760" s="9">
        <f>IFERROR(__xludf.DUMMYFUNCTION("""COMPUTED_VALUE"""),2005.0)</f>
        <v>2005</v>
      </c>
      <c r="F1760" s="9">
        <f>IFERROR(__xludf.DUMMYFUNCTION("""COMPUTED_VALUE"""),750.0)</f>
        <v>750</v>
      </c>
      <c r="G1760" s="9">
        <f>IFERROR(__xludf.DUMMYFUNCTION("""COMPUTED_VALUE"""),12.0)</f>
        <v>12</v>
      </c>
      <c r="H1760" s="10">
        <f>IFERROR(__xludf.DUMMYFUNCTION("""COMPUTED_VALUE"""),1.0)</f>
        <v>1</v>
      </c>
      <c r="I1760" s="11">
        <f>IFERROR(__xludf.DUMMYFUNCTION("""COMPUTED_VALUE"""),772.0)</f>
        <v>772</v>
      </c>
      <c r="J1760" s="9" t="str">
        <f>IFERROR(__xludf.DUMMYFUNCTION("""COMPUTED_VALUE"""),"UK")</f>
        <v>UK</v>
      </c>
      <c r="K1760" s="8"/>
      <c r="L1760" s="12"/>
      <c r="M1760" s="13"/>
      <c r="N1760" s="13" t="str">
        <f>IFERROR(__xludf.DUMMYFUNCTION("IF(ISBLANK(M1760),"""",M1760*GOOGLEFINANCE(""USDGBP""))"),"")</f>
        <v/>
      </c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  <c r="GG1760" s="8"/>
      <c r="GH1760" s="8"/>
      <c r="GI1760" s="8"/>
      <c r="GJ1760" s="8"/>
      <c r="GK1760" s="8"/>
      <c r="GL1760" s="8"/>
      <c r="GM1760" s="8"/>
      <c r="GN1760" s="8"/>
      <c r="GO1760" s="8"/>
      <c r="GP1760" s="8"/>
      <c r="GQ1760" s="8"/>
      <c r="GR1760" s="8"/>
      <c r="GS1760" s="8"/>
      <c r="GT1760" s="8"/>
      <c r="GU1760" s="8"/>
      <c r="GV1760" s="8"/>
      <c r="GW1760" s="8"/>
      <c r="GX1760" s="8"/>
    </row>
    <row r="1761">
      <c r="A1761" s="8" t="str">
        <f>IFERROR(__xludf.DUMMYFUNCTION("""COMPUTED_VALUE"""),"151667020140600750")</f>
        <v>151667020140600750</v>
      </c>
      <c r="B1761" s="9" t="str">
        <f>IFERROR(__xludf.DUMMYFUNCTION("""COMPUTED_VALUE"""),"Germany")</f>
        <v>Germany</v>
      </c>
      <c r="C1761" s="9" t="str">
        <f>IFERROR(__xludf.DUMMYFUNCTION("""COMPUTED_VALUE"""),"mosel")</f>
        <v>mosel</v>
      </c>
      <c r="D1761" s="9" t="str">
        <f>IFERROR(__xludf.DUMMYFUNCTION("""COMPUTED_VALUE"""),"Joh. Jos. Prum, Bernkasteler Lay Riesling Auslese Auktion, Mosel")</f>
        <v>Joh. Jos. Prum, Bernkasteler Lay Riesling Auslese Auktion, Mosel</v>
      </c>
      <c r="E1761" s="9">
        <f>IFERROR(__xludf.DUMMYFUNCTION("""COMPUTED_VALUE"""),2014.0)</f>
        <v>2014</v>
      </c>
      <c r="F1761" s="9">
        <f>IFERROR(__xludf.DUMMYFUNCTION("""COMPUTED_VALUE"""),750.0)</f>
        <v>750</v>
      </c>
      <c r="G1761" s="9">
        <f>IFERROR(__xludf.DUMMYFUNCTION("""COMPUTED_VALUE"""),6.0)</f>
        <v>6</v>
      </c>
      <c r="H1761" s="10">
        <f>IFERROR(__xludf.DUMMYFUNCTION("""COMPUTED_VALUE"""),6.0)</f>
        <v>6</v>
      </c>
      <c r="I1761" s="11">
        <f>IFERROR(__xludf.DUMMYFUNCTION("""COMPUTED_VALUE"""),1297.0)</f>
        <v>1297</v>
      </c>
      <c r="J1761" s="9" t="str">
        <f>IFERROR(__xludf.DUMMYFUNCTION("""COMPUTED_VALUE"""),"UK")</f>
        <v>UK</v>
      </c>
      <c r="K1761" s="8"/>
      <c r="L1761" s="12"/>
      <c r="M1761" s="13"/>
      <c r="N1761" s="13" t="str">
        <f>IFERROR(__xludf.DUMMYFUNCTION("IF(ISBLANK(M1761),"""",M1761*GOOGLEFINANCE(""USDGBP""))"),"")</f>
        <v/>
      </c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  <c r="GA1761" s="8"/>
      <c r="GB1761" s="8"/>
      <c r="GC1761" s="8"/>
      <c r="GD1761" s="8"/>
      <c r="GE1761" s="8"/>
      <c r="GF1761" s="8"/>
      <c r="GG1761" s="8"/>
      <c r="GH1761" s="8"/>
      <c r="GI1761" s="8"/>
      <c r="GJ1761" s="8"/>
      <c r="GK1761" s="8"/>
      <c r="GL1761" s="8"/>
      <c r="GM1761" s="8"/>
      <c r="GN1761" s="8"/>
      <c r="GO1761" s="8"/>
      <c r="GP1761" s="8"/>
      <c r="GQ1761" s="8"/>
      <c r="GR1761" s="8"/>
      <c r="GS1761" s="8"/>
      <c r="GT1761" s="8"/>
      <c r="GU1761" s="8"/>
      <c r="GV1761" s="8"/>
      <c r="GW1761" s="8"/>
      <c r="GX1761" s="8"/>
    </row>
    <row r="1762">
      <c r="A1762" s="8" t="str">
        <f>IFERROR(__xludf.DUMMYFUNCTION("""COMPUTED_VALUE"""),"151667020140301500")</f>
        <v>151667020140301500</v>
      </c>
      <c r="B1762" s="9" t="str">
        <f>IFERROR(__xludf.DUMMYFUNCTION("""COMPUTED_VALUE"""),"Germany")</f>
        <v>Germany</v>
      </c>
      <c r="C1762" s="9" t="str">
        <f>IFERROR(__xludf.DUMMYFUNCTION("""COMPUTED_VALUE"""),"mosel")</f>
        <v>mosel</v>
      </c>
      <c r="D1762" s="9" t="str">
        <f>IFERROR(__xludf.DUMMYFUNCTION("""COMPUTED_VALUE"""),"Joh. Jos. Prum, Bernkasteler Lay Riesling Auslese Auktion, Mosel")</f>
        <v>Joh. Jos. Prum, Bernkasteler Lay Riesling Auslese Auktion, Mosel</v>
      </c>
      <c r="E1762" s="9">
        <f>IFERROR(__xludf.DUMMYFUNCTION("""COMPUTED_VALUE"""),2014.0)</f>
        <v>2014</v>
      </c>
      <c r="F1762" s="9">
        <f>IFERROR(__xludf.DUMMYFUNCTION("""COMPUTED_VALUE"""),1500.0)</f>
        <v>1500</v>
      </c>
      <c r="G1762" s="9">
        <f>IFERROR(__xludf.DUMMYFUNCTION("""COMPUTED_VALUE"""),3.0)</f>
        <v>3</v>
      </c>
      <c r="H1762" s="10">
        <f>IFERROR(__xludf.DUMMYFUNCTION("""COMPUTED_VALUE"""),1.0)</f>
        <v>1</v>
      </c>
      <c r="I1762" s="11">
        <f>IFERROR(__xludf.DUMMYFUNCTION("""COMPUTED_VALUE"""),1258.0)</f>
        <v>1258</v>
      </c>
      <c r="J1762" s="9" t="str">
        <f>IFERROR(__xludf.DUMMYFUNCTION("""COMPUTED_VALUE"""),"UK")</f>
        <v>UK</v>
      </c>
      <c r="K1762" s="8"/>
      <c r="L1762" s="12"/>
      <c r="M1762" s="13"/>
      <c r="N1762" s="13" t="str">
        <f>IFERROR(__xludf.DUMMYFUNCTION("IF(ISBLANK(M1762),"""",M1762*GOOGLEFINANCE(""USDGBP""))"),"")</f>
        <v/>
      </c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  <c r="FN1762" s="8"/>
      <c r="FO1762" s="8"/>
      <c r="FP1762" s="8"/>
      <c r="FQ1762" s="8"/>
      <c r="FR1762" s="8"/>
      <c r="FS1762" s="8"/>
      <c r="FT1762" s="8"/>
      <c r="FU1762" s="8"/>
      <c r="FV1762" s="8"/>
      <c r="FW1762" s="8"/>
      <c r="FX1762" s="8"/>
      <c r="FY1762" s="8"/>
      <c r="FZ1762" s="8"/>
      <c r="GA1762" s="8"/>
      <c r="GB1762" s="8"/>
      <c r="GC1762" s="8"/>
      <c r="GD1762" s="8"/>
      <c r="GE1762" s="8"/>
      <c r="GF1762" s="8"/>
      <c r="GG1762" s="8"/>
      <c r="GH1762" s="8"/>
      <c r="GI1762" s="8"/>
      <c r="GJ1762" s="8"/>
      <c r="GK1762" s="8"/>
      <c r="GL1762" s="8"/>
      <c r="GM1762" s="8"/>
      <c r="GN1762" s="8"/>
      <c r="GO1762" s="8"/>
      <c r="GP1762" s="8"/>
      <c r="GQ1762" s="8"/>
      <c r="GR1762" s="8"/>
      <c r="GS1762" s="8"/>
      <c r="GT1762" s="8"/>
      <c r="GU1762" s="8"/>
      <c r="GV1762" s="8"/>
      <c r="GW1762" s="8"/>
      <c r="GX1762" s="8"/>
    </row>
    <row r="1763">
      <c r="A1763" s="8" t="str">
        <f>IFERROR(__xludf.DUMMYFUNCTION("""COMPUTED_VALUE"""),"109042620030600750")</f>
        <v>109042620030600750</v>
      </c>
      <c r="B1763" s="9" t="str">
        <f>IFERROR(__xludf.DUMMYFUNCTION("""COMPUTED_VALUE"""),"Germany")</f>
        <v>Germany</v>
      </c>
      <c r="C1763" s="9" t="str">
        <f>IFERROR(__xludf.DUMMYFUNCTION("""COMPUTED_VALUE"""),"mosel")</f>
        <v>mosel</v>
      </c>
      <c r="D1763" s="9" t="str">
        <f>IFERROR(__xludf.DUMMYFUNCTION("""COMPUTED_VALUE"""),"Joh. Jos. Prum, Wehlener Sonnenuhr Riesling Auslese Goldkapsel, Mosel")</f>
        <v>Joh. Jos. Prum, Wehlener Sonnenuhr Riesling Auslese Goldkapsel, Mosel</v>
      </c>
      <c r="E1763" s="9">
        <f>IFERROR(__xludf.DUMMYFUNCTION("""COMPUTED_VALUE"""),2003.0)</f>
        <v>2003</v>
      </c>
      <c r="F1763" s="9">
        <f>IFERROR(__xludf.DUMMYFUNCTION("""COMPUTED_VALUE"""),750.0)</f>
        <v>750</v>
      </c>
      <c r="G1763" s="9">
        <f>IFERROR(__xludf.DUMMYFUNCTION("""COMPUTED_VALUE"""),6.0)</f>
        <v>6</v>
      </c>
      <c r="H1763" s="10">
        <f>IFERROR(__xludf.DUMMYFUNCTION("""COMPUTED_VALUE"""),1.0)</f>
        <v>1</v>
      </c>
      <c r="I1763" s="11">
        <f>IFERROR(__xludf.DUMMYFUNCTION("""COMPUTED_VALUE"""),678.0)</f>
        <v>678</v>
      </c>
      <c r="J1763" s="9" t="str">
        <f>IFERROR(__xludf.DUMMYFUNCTION("""COMPUTED_VALUE"""),"UK")</f>
        <v>UK</v>
      </c>
      <c r="K1763" s="8"/>
      <c r="L1763" s="12"/>
      <c r="M1763" s="13"/>
      <c r="N1763" s="13" t="str">
        <f>IFERROR(__xludf.DUMMYFUNCTION("IF(ISBLANK(M1763),"""",M1763*GOOGLEFINANCE(""USDGBP""))"),"")</f>
        <v/>
      </c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  <c r="GA1763" s="8"/>
      <c r="GB1763" s="8"/>
      <c r="GC1763" s="8"/>
      <c r="GD1763" s="8"/>
      <c r="GE1763" s="8"/>
      <c r="GF1763" s="8"/>
      <c r="GG1763" s="8"/>
      <c r="GH1763" s="8"/>
      <c r="GI1763" s="8"/>
      <c r="GJ1763" s="8"/>
      <c r="GK1763" s="8"/>
      <c r="GL1763" s="8"/>
      <c r="GM1763" s="8"/>
      <c r="GN1763" s="8"/>
      <c r="GO1763" s="8"/>
      <c r="GP1763" s="8"/>
      <c r="GQ1763" s="8"/>
      <c r="GR1763" s="8"/>
      <c r="GS1763" s="8"/>
      <c r="GT1763" s="8"/>
      <c r="GU1763" s="8"/>
      <c r="GV1763" s="8"/>
      <c r="GW1763" s="8"/>
      <c r="GX1763" s="8"/>
    </row>
    <row r="1764">
      <c r="A1764" s="8" t="str">
        <f>IFERROR(__xludf.DUMMYFUNCTION("""COMPUTED_VALUE"""),"121556020130600750")</f>
        <v>121556020130600750</v>
      </c>
      <c r="B1764" s="9" t="str">
        <f>IFERROR(__xludf.DUMMYFUNCTION("""COMPUTED_VALUE"""),"Germany")</f>
        <v>Germany</v>
      </c>
      <c r="C1764" s="9" t="str">
        <f>IFERROR(__xludf.DUMMYFUNCTION("""COMPUTED_VALUE"""),"mosel")</f>
        <v>mosel</v>
      </c>
      <c r="D1764" s="9" t="str">
        <f>IFERROR(__xludf.DUMMYFUNCTION("""COMPUTED_VALUE"""),"Joh. Jos. Prum, Wehlener Sonnenuhr Riesling Spatlese Auktion, Mosel")</f>
        <v>Joh. Jos. Prum, Wehlener Sonnenuhr Riesling Spatlese Auktion, Mosel</v>
      </c>
      <c r="E1764" s="9">
        <f>IFERROR(__xludf.DUMMYFUNCTION("""COMPUTED_VALUE"""),2013.0)</f>
        <v>2013</v>
      </c>
      <c r="F1764" s="9">
        <f>IFERROR(__xludf.DUMMYFUNCTION("""COMPUTED_VALUE"""),750.0)</f>
        <v>750</v>
      </c>
      <c r="G1764" s="9">
        <f>IFERROR(__xludf.DUMMYFUNCTION("""COMPUTED_VALUE"""),6.0)</f>
        <v>6</v>
      </c>
      <c r="H1764" s="10">
        <f>IFERROR(__xludf.DUMMYFUNCTION("""COMPUTED_VALUE"""),5.0)</f>
        <v>5</v>
      </c>
      <c r="I1764" s="11">
        <f>IFERROR(__xludf.DUMMYFUNCTION("""COMPUTED_VALUE"""),637.0)</f>
        <v>637</v>
      </c>
      <c r="J1764" s="9" t="str">
        <f>IFERROR(__xludf.DUMMYFUNCTION("""COMPUTED_VALUE"""),"UK")</f>
        <v>UK</v>
      </c>
      <c r="K1764" s="8"/>
      <c r="L1764" s="12"/>
      <c r="M1764" s="13"/>
      <c r="N1764" s="13" t="str">
        <f>IFERROR(__xludf.DUMMYFUNCTION("IF(ISBLANK(M1764),"""",M1764*GOOGLEFINANCE(""USDGBP""))"),"")</f>
        <v/>
      </c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  <c r="GA1764" s="8"/>
      <c r="GB1764" s="8"/>
      <c r="GC1764" s="8"/>
      <c r="GD1764" s="8"/>
      <c r="GE1764" s="8"/>
      <c r="GF1764" s="8"/>
      <c r="GG1764" s="8"/>
      <c r="GH1764" s="8"/>
      <c r="GI1764" s="8"/>
      <c r="GJ1764" s="8"/>
      <c r="GK1764" s="8"/>
      <c r="GL1764" s="8"/>
      <c r="GM1764" s="8"/>
      <c r="GN1764" s="8"/>
      <c r="GO1764" s="8"/>
      <c r="GP1764" s="8"/>
      <c r="GQ1764" s="8"/>
      <c r="GR1764" s="8"/>
      <c r="GS1764" s="8"/>
      <c r="GT1764" s="8"/>
      <c r="GU1764" s="8"/>
      <c r="GV1764" s="8"/>
      <c r="GW1764" s="8"/>
      <c r="GX1764" s="8"/>
    </row>
    <row r="1765">
      <c r="A1765" s="8" t="str">
        <f>IFERROR(__xludf.DUMMYFUNCTION("""COMPUTED_VALUE"""),"121556020160600750")</f>
        <v>121556020160600750</v>
      </c>
      <c r="B1765" s="9" t="str">
        <f>IFERROR(__xludf.DUMMYFUNCTION("""COMPUTED_VALUE"""),"Germany")</f>
        <v>Germany</v>
      </c>
      <c r="C1765" s="9" t="str">
        <f>IFERROR(__xludf.DUMMYFUNCTION("""COMPUTED_VALUE"""),"mosel")</f>
        <v>mosel</v>
      </c>
      <c r="D1765" s="9" t="str">
        <f>IFERROR(__xludf.DUMMYFUNCTION("""COMPUTED_VALUE"""),"Joh. Jos. Prum, Wehlener Sonnenuhr Riesling Spatlese Auktion, Mosel")</f>
        <v>Joh. Jos. Prum, Wehlener Sonnenuhr Riesling Spatlese Auktion, Mosel</v>
      </c>
      <c r="E1765" s="9">
        <f>IFERROR(__xludf.DUMMYFUNCTION("""COMPUTED_VALUE"""),2016.0)</f>
        <v>2016</v>
      </c>
      <c r="F1765" s="9">
        <f>IFERROR(__xludf.DUMMYFUNCTION("""COMPUTED_VALUE"""),750.0)</f>
        <v>750</v>
      </c>
      <c r="G1765" s="9">
        <f>IFERROR(__xludf.DUMMYFUNCTION("""COMPUTED_VALUE"""),6.0)</f>
        <v>6</v>
      </c>
      <c r="H1765" s="10">
        <f>IFERROR(__xludf.DUMMYFUNCTION("""COMPUTED_VALUE"""),2.0)</f>
        <v>2</v>
      </c>
      <c r="I1765" s="11">
        <f>IFERROR(__xludf.DUMMYFUNCTION("""COMPUTED_VALUE"""),773.0)</f>
        <v>773</v>
      </c>
      <c r="J1765" s="9" t="str">
        <f>IFERROR(__xludf.DUMMYFUNCTION("""COMPUTED_VALUE"""),"UK")</f>
        <v>UK</v>
      </c>
      <c r="K1765" s="8"/>
      <c r="L1765" s="12"/>
      <c r="M1765" s="13"/>
      <c r="N1765" s="13" t="str">
        <f>IFERROR(__xludf.DUMMYFUNCTION("IF(ISBLANK(M1765),"""",M1765*GOOGLEFINANCE(""USDGBP""))"),"")</f>
        <v/>
      </c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  <c r="GA1765" s="8"/>
      <c r="GB1765" s="8"/>
      <c r="GC1765" s="8"/>
      <c r="GD1765" s="8"/>
      <c r="GE1765" s="8"/>
      <c r="GF1765" s="8"/>
      <c r="GG1765" s="8"/>
      <c r="GH1765" s="8"/>
      <c r="GI1765" s="8"/>
      <c r="GJ1765" s="8"/>
      <c r="GK1765" s="8"/>
      <c r="GL1765" s="8"/>
      <c r="GM1765" s="8"/>
      <c r="GN1765" s="8"/>
      <c r="GO1765" s="8"/>
      <c r="GP1765" s="8"/>
      <c r="GQ1765" s="8"/>
      <c r="GR1765" s="8"/>
      <c r="GS1765" s="8"/>
      <c r="GT1765" s="8"/>
      <c r="GU1765" s="8"/>
      <c r="GV1765" s="8"/>
      <c r="GW1765" s="8"/>
      <c r="GX1765" s="8"/>
    </row>
    <row r="1766">
      <c r="A1766" s="8" t="str">
        <f>IFERROR(__xludf.DUMMYFUNCTION("""COMPUTED_VALUE"""),"121556020160301500")</f>
        <v>121556020160301500</v>
      </c>
      <c r="B1766" s="9" t="str">
        <f>IFERROR(__xludf.DUMMYFUNCTION("""COMPUTED_VALUE"""),"Germany")</f>
        <v>Germany</v>
      </c>
      <c r="C1766" s="9" t="str">
        <f>IFERROR(__xludf.DUMMYFUNCTION("""COMPUTED_VALUE"""),"mosel")</f>
        <v>mosel</v>
      </c>
      <c r="D1766" s="9" t="str">
        <f>IFERROR(__xludf.DUMMYFUNCTION("""COMPUTED_VALUE"""),"Joh. Jos. Prum, Wehlener Sonnenuhr Riesling Spatlese Auktion, Mosel")</f>
        <v>Joh. Jos. Prum, Wehlener Sonnenuhr Riesling Spatlese Auktion, Mosel</v>
      </c>
      <c r="E1766" s="9">
        <f>IFERROR(__xludf.DUMMYFUNCTION("""COMPUTED_VALUE"""),2016.0)</f>
        <v>2016</v>
      </c>
      <c r="F1766" s="9">
        <f>IFERROR(__xludf.DUMMYFUNCTION("""COMPUTED_VALUE"""),1500.0)</f>
        <v>1500</v>
      </c>
      <c r="G1766" s="9">
        <f>IFERROR(__xludf.DUMMYFUNCTION("""COMPUTED_VALUE"""),3.0)</f>
        <v>3</v>
      </c>
      <c r="H1766" s="10">
        <f>IFERROR(__xludf.DUMMYFUNCTION("""COMPUTED_VALUE"""),2.0)</f>
        <v>2</v>
      </c>
      <c r="I1766" s="11">
        <f>IFERROR(__xludf.DUMMYFUNCTION("""COMPUTED_VALUE"""),745.0)</f>
        <v>745</v>
      </c>
      <c r="J1766" s="9" t="str">
        <f>IFERROR(__xludf.DUMMYFUNCTION("""COMPUTED_VALUE"""),"UK")</f>
        <v>UK</v>
      </c>
      <c r="K1766" s="8"/>
      <c r="L1766" s="12"/>
      <c r="M1766" s="13"/>
      <c r="N1766" s="13" t="str">
        <f>IFERROR(__xludf.DUMMYFUNCTION("IF(ISBLANK(M1766),"""",M1766*GOOGLEFINANCE(""USDGBP""))"),"")</f>
        <v/>
      </c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  <c r="GA1766" s="8"/>
      <c r="GB1766" s="8"/>
      <c r="GC1766" s="8"/>
      <c r="GD1766" s="8"/>
      <c r="GE1766" s="8"/>
      <c r="GF1766" s="8"/>
      <c r="GG1766" s="8"/>
      <c r="GH1766" s="8"/>
      <c r="GI1766" s="8"/>
      <c r="GJ1766" s="8"/>
      <c r="GK1766" s="8"/>
      <c r="GL1766" s="8"/>
      <c r="GM1766" s="8"/>
      <c r="GN1766" s="8"/>
      <c r="GO1766" s="8"/>
      <c r="GP1766" s="8"/>
      <c r="GQ1766" s="8"/>
      <c r="GR1766" s="8"/>
      <c r="GS1766" s="8"/>
      <c r="GT1766" s="8"/>
      <c r="GU1766" s="8"/>
      <c r="GV1766" s="8"/>
      <c r="GW1766" s="8"/>
      <c r="GX1766" s="8"/>
    </row>
    <row r="1767">
      <c r="A1767" s="8" t="str">
        <f>IFERROR(__xludf.DUMMYFUNCTION("""COMPUTED_VALUE"""),"131431920181200750")</f>
        <v>131431920181200750</v>
      </c>
      <c r="B1767" s="9" t="str">
        <f>IFERROR(__xludf.DUMMYFUNCTION("""COMPUTED_VALUE"""),"Germany")</f>
        <v>Germany</v>
      </c>
      <c r="C1767" s="9" t="str">
        <f>IFERROR(__xludf.DUMMYFUNCTION("""COMPUTED_VALUE"""),"mosel")</f>
        <v>mosel</v>
      </c>
      <c r="D1767" s="9" t="str">
        <f>IFERROR(__xludf.DUMMYFUNCTION("""COMPUTED_VALUE"""),"Julian Haart, Wintricher Ohligsberg Riesling, Mosel")</f>
        <v>Julian Haart, Wintricher Ohligsberg Riesling, Mosel</v>
      </c>
      <c r="E1767" s="9">
        <f>IFERROR(__xludf.DUMMYFUNCTION("""COMPUTED_VALUE"""),2018.0)</f>
        <v>2018</v>
      </c>
      <c r="F1767" s="9">
        <f>IFERROR(__xludf.DUMMYFUNCTION("""COMPUTED_VALUE"""),750.0)</f>
        <v>750</v>
      </c>
      <c r="G1767" s="9">
        <f>IFERROR(__xludf.DUMMYFUNCTION("""COMPUTED_VALUE"""),12.0)</f>
        <v>12</v>
      </c>
      <c r="H1767" s="10">
        <f>IFERROR(__xludf.DUMMYFUNCTION("""COMPUTED_VALUE"""),1.0)</f>
        <v>1</v>
      </c>
      <c r="I1767" s="11">
        <f>IFERROR(__xludf.DUMMYFUNCTION("""COMPUTED_VALUE"""),814.0)</f>
        <v>814</v>
      </c>
      <c r="J1767" s="9" t="str">
        <f>IFERROR(__xludf.DUMMYFUNCTION("""COMPUTED_VALUE"""),"UK")</f>
        <v>UK</v>
      </c>
      <c r="K1767" s="8"/>
      <c r="L1767" s="12"/>
      <c r="M1767" s="13"/>
      <c r="N1767" s="13" t="str">
        <f>IFERROR(__xludf.DUMMYFUNCTION("IF(ISBLANK(M1767),"""",M1767*GOOGLEFINANCE(""USDGBP""))"),"")</f>
        <v/>
      </c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  <c r="GG1767" s="8"/>
      <c r="GH1767" s="8"/>
      <c r="GI1767" s="8"/>
      <c r="GJ1767" s="8"/>
      <c r="GK1767" s="8"/>
      <c r="GL1767" s="8"/>
      <c r="GM1767" s="8"/>
      <c r="GN1767" s="8"/>
      <c r="GO1767" s="8"/>
      <c r="GP1767" s="8"/>
      <c r="GQ1767" s="8"/>
      <c r="GR1767" s="8"/>
      <c r="GS1767" s="8"/>
      <c r="GT1767" s="8"/>
      <c r="GU1767" s="8"/>
      <c r="GV1767" s="8"/>
      <c r="GW1767" s="8"/>
      <c r="GX1767" s="8"/>
    </row>
    <row r="1768">
      <c r="A1768" s="8" t="str">
        <f>IFERROR(__xludf.DUMMYFUNCTION("""COMPUTED_VALUE"""),"126584220150600750")</f>
        <v>126584220150600750</v>
      </c>
      <c r="B1768" s="9" t="str">
        <f>IFERROR(__xludf.DUMMYFUNCTION("""COMPUTED_VALUE"""),"Germany")</f>
        <v>Germany</v>
      </c>
      <c r="C1768" s="9" t="str">
        <f>IFERROR(__xludf.DUMMYFUNCTION("""COMPUTED_VALUE"""),"mosel")</f>
        <v>mosel</v>
      </c>
      <c r="D1768" s="9" t="str">
        <f>IFERROR(__xludf.DUMMYFUNCTION("""COMPUTED_VALUE"""),"Markus Molitor, Erdener Treppchen Riesling Auslese 3*, Mosel")</f>
        <v>Markus Molitor, Erdener Treppchen Riesling Auslese 3*, Mosel</v>
      </c>
      <c r="E1768" s="9">
        <f>IFERROR(__xludf.DUMMYFUNCTION("""COMPUTED_VALUE"""),2015.0)</f>
        <v>2015</v>
      </c>
      <c r="F1768" s="9">
        <f>IFERROR(__xludf.DUMMYFUNCTION("""COMPUTED_VALUE"""),750.0)</f>
        <v>750</v>
      </c>
      <c r="G1768" s="9">
        <f>IFERROR(__xludf.DUMMYFUNCTION("""COMPUTED_VALUE"""),6.0)</f>
        <v>6</v>
      </c>
      <c r="H1768" s="10">
        <f>IFERROR(__xludf.DUMMYFUNCTION("""COMPUTED_VALUE"""),3.0)</f>
        <v>3</v>
      </c>
      <c r="I1768" s="11">
        <f>IFERROR(__xludf.DUMMYFUNCTION("""COMPUTED_VALUE"""),593.0)</f>
        <v>593</v>
      </c>
      <c r="J1768" s="9" t="str">
        <f>IFERROR(__xludf.DUMMYFUNCTION("""COMPUTED_VALUE"""),"UK")</f>
        <v>UK</v>
      </c>
      <c r="K1768" s="8"/>
      <c r="L1768" s="12"/>
      <c r="M1768" s="13"/>
      <c r="N1768" s="13" t="str">
        <f>IFERROR(__xludf.DUMMYFUNCTION("IF(ISBLANK(M1768),"""",M1768*GOOGLEFINANCE(""USDGBP""))"),"")</f>
        <v/>
      </c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  <c r="GA1768" s="8"/>
      <c r="GB1768" s="8"/>
      <c r="GC1768" s="8"/>
      <c r="GD1768" s="8"/>
      <c r="GE1768" s="8"/>
      <c r="GF1768" s="8"/>
      <c r="GG1768" s="8"/>
      <c r="GH1768" s="8"/>
      <c r="GI1768" s="8"/>
      <c r="GJ1768" s="8"/>
      <c r="GK1768" s="8"/>
      <c r="GL1768" s="8"/>
      <c r="GM1768" s="8"/>
      <c r="GN1768" s="8"/>
      <c r="GO1768" s="8"/>
      <c r="GP1768" s="8"/>
      <c r="GQ1768" s="8"/>
      <c r="GR1768" s="8"/>
      <c r="GS1768" s="8"/>
      <c r="GT1768" s="8"/>
      <c r="GU1768" s="8"/>
      <c r="GV1768" s="8"/>
      <c r="GW1768" s="8"/>
      <c r="GX1768" s="8"/>
    </row>
    <row r="1769">
      <c r="A1769" s="8" t="str">
        <f>IFERROR(__xludf.DUMMYFUNCTION("""COMPUTED_VALUE"""),"148170720150600750")</f>
        <v>148170720150600750</v>
      </c>
      <c r="B1769" s="9" t="str">
        <f>IFERROR(__xludf.DUMMYFUNCTION("""COMPUTED_VALUE"""),"Germany")</f>
        <v>Germany</v>
      </c>
      <c r="C1769" s="9" t="str">
        <f>IFERROR(__xludf.DUMMYFUNCTION("""COMPUTED_VALUE"""),"mosel")</f>
        <v>mosel</v>
      </c>
      <c r="D1769" s="9" t="str">
        <f>IFERROR(__xludf.DUMMYFUNCTION("""COMPUTED_VALUE"""),"Markus Molitor, Kinheimer Rosenberg Riesling Auslese ***, Mosel")</f>
        <v>Markus Molitor, Kinheimer Rosenberg Riesling Auslese ***, Mosel</v>
      </c>
      <c r="E1769" s="9">
        <f>IFERROR(__xludf.DUMMYFUNCTION("""COMPUTED_VALUE"""),2015.0)</f>
        <v>2015</v>
      </c>
      <c r="F1769" s="9">
        <f>IFERROR(__xludf.DUMMYFUNCTION("""COMPUTED_VALUE"""),750.0)</f>
        <v>750</v>
      </c>
      <c r="G1769" s="9">
        <f>IFERROR(__xludf.DUMMYFUNCTION("""COMPUTED_VALUE"""),6.0)</f>
        <v>6</v>
      </c>
      <c r="H1769" s="10">
        <f>IFERROR(__xludf.DUMMYFUNCTION("""COMPUTED_VALUE"""),4.0)</f>
        <v>4</v>
      </c>
      <c r="I1769" s="11">
        <f>IFERROR(__xludf.DUMMYFUNCTION("""COMPUTED_VALUE"""),388.0)</f>
        <v>388</v>
      </c>
      <c r="J1769" s="9" t="str">
        <f>IFERROR(__xludf.DUMMYFUNCTION("""COMPUTED_VALUE"""),"UK")</f>
        <v>UK</v>
      </c>
      <c r="K1769" s="8"/>
      <c r="L1769" s="12"/>
      <c r="M1769" s="13"/>
      <c r="N1769" s="13" t="str">
        <f>IFERROR(__xludf.DUMMYFUNCTION("IF(ISBLANK(M1769),"""",M1769*GOOGLEFINANCE(""USDGBP""))"),"")</f>
        <v/>
      </c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  <c r="FN1769" s="8"/>
      <c r="FO1769" s="8"/>
      <c r="FP1769" s="8"/>
      <c r="FQ1769" s="8"/>
      <c r="FR1769" s="8"/>
      <c r="FS1769" s="8"/>
      <c r="FT1769" s="8"/>
      <c r="FU1769" s="8"/>
      <c r="FV1769" s="8"/>
      <c r="FW1769" s="8"/>
      <c r="FX1769" s="8"/>
      <c r="FY1769" s="8"/>
      <c r="FZ1769" s="8"/>
      <c r="GA1769" s="8"/>
      <c r="GB1769" s="8"/>
      <c r="GC1769" s="8"/>
      <c r="GD1769" s="8"/>
      <c r="GE1769" s="8"/>
      <c r="GF1769" s="8"/>
      <c r="GG1769" s="8"/>
      <c r="GH1769" s="8"/>
      <c r="GI1769" s="8"/>
      <c r="GJ1769" s="8"/>
      <c r="GK1769" s="8"/>
      <c r="GL1769" s="8"/>
      <c r="GM1769" s="8"/>
      <c r="GN1769" s="8"/>
      <c r="GO1769" s="8"/>
      <c r="GP1769" s="8"/>
      <c r="GQ1769" s="8"/>
      <c r="GR1769" s="8"/>
      <c r="GS1769" s="8"/>
      <c r="GT1769" s="8"/>
      <c r="GU1769" s="8"/>
      <c r="GV1769" s="8"/>
      <c r="GW1769" s="8"/>
      <c r="GX1769" s="8"/>
    </row>
    <row r="1770">
      <c r="A1770" s="8" t="str">
        <f>IFERROR(__xludf.DUMMYFUNCTION("""COMPUTED_VALUE"""),"164034420140600750")</f>
        <v>164034420140600750</v>
      </c>
      <c r="B1770" s="9" t="str">
        <f>IFERROR(__xludf.DUMMYFUNCTION("""COMPUTED_VALUE"""),"Germany")</f>
        <v>Germany</v>
      </c>
      <c r="C1770" s="9" t="str">
        <f>IFERROR(__xludf.DUMMYFUNCTION("""COMPUTED_VALUE"""),"mosel")</f>
        <v>mosel</v>
      </c>
      <c r="D1770" s="9" t="str">
        <f>IFERROR(__xludf.DUMMYFUNCTION("""COMPUTED_VALUE"""),"Schloss Lieser, Brauneberger Juffer Sonnenuhr Riesling Auslese Auktion, Mosel")</f>
        <v>Schloss Lieser, Brauneberger Juffer Sonnenuhr Riesling Auslese Auktion, Mosel</v>
      </c>
      <c r="E1770" s="9">
        <f>IFERROR(__xludf.DUMMYFUNCTION("""COMPUTED_VALUE"""),2014.0)</f>
        <v>2014</v>
      </c>
      <c r="F1770" s="9">
        <f>IFERROR(__xludf.DUMMYFUNCTION("""COMPUTED_VALUE"""),750.0)</f>
        <v>750</v>
      </c>
      <c r="G1770" s="9">
        <f>IFERROR(__xludf.DUMMYFUNCTION("""COMPUTED_VALUE"""),6.0)</f>
        <v>6</v>
      </c>
      <c r="H1770" s="10">
        <f>IFERROR(__xludf.DUMMYFUNCTION("""COMPUTED_VALUE"""),10.0)</f>
        <v>10</v>
      </c>
      <c r="I1770" s="11">
        <f>IFERROR(__xludf.DUMMYFUNCTION("""COMPUTED_VALUE"""),866.0)</f>
        <v>866</v>
      </c>
      <c r="J1770" s="9" t="str">
        <f>IFERROR(__xludf.DUMMYFUNCTION("""COMPUTED_VALUE"""),"UK")</f>
        <v>UK</v>
      </c>
      <c r="K1770" s="8"/>
      <c r="L1770" s="12"/>
      <c r="M1770" s="13"/>
      <c r="N1770" s="13" t="str">
        <f>IFERROR(__xludf.DUMMYFUNCTION("IF(ISBLANK(M1770),"""",M1770*GOOGLEFINANCE(""USDGBP""))"),"")</f>
        <v/>
      </c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  <c r="FN1770" s="8"/>
      <c r="FO1770" s="8"/>
      <c r="FP1770" s="8"/>
      <c r="FQ1770" s="8"/>
      <c r="FR1770" s="8"/>
      <c r="FS1770" s="8"/>
      <c r="FT1770" s="8"/>
      <c r="FU1770" s="8"/>
      <c r="FV1770" s="8"/>
      <c r="FW1770" s="8"/>
      <c r="FX1770" s="8"/>
      <c r="FY1770" s="8"/>
      <c r="FZ1770" s="8"/>
      <c r="GA1770" s="8"/>
      <c r="GB1770" s="8"/>
      <c r="GC1770" s="8"/>
      <c r="GD1770" s="8"/>
      <c r="GE1770" s="8"/>
      <c r="GF1770" s="8"/>
      <c r="GG1770" s="8"/>
      <c r="GH1770" s="8"/>
      <c r="GI1770" s="8"/>
      <c r="GJ1770" s="8"/>
      <c r="GK1770" s="8"/>
      <c r="GL1770" s="8"/>
      <c r="GM1770" s="8"/>
      <c r="GN1770" s="8"/>
      <c r="GO1770" s="8"/>
      <c r="GP1770" s="8"/>
      <c r="GQ1770" s="8"/>
      <c r="GR1770" s="8"/>
      <c r="GS1770" s="8"/>
      <c r="GT1770" s="8"/>
      <c r="GU1770" s="8"/>
      <c r="GV1770" s="8"/>
      <c r="GW1770" s="8"/>
      <c r="GX1770" s="8"/>
    </row>
    <row r="1771">
      <c r="A1771" s="8" t="str">
        <f>IFERROR(__xludf.DUMMYFUNCTION("""COMPUTED_VALUE"""),"141575520140600750")</f>
        <v>141575520140600750</v>
      </c>
      <c r="B1771" s="9" t="str">
        <f>IFERROR(__xludf.DUMMYFUNCTION("""COMPUTED_VALUE"""),"Germany")</f>
        <v>Germany</v>
      </c>
      <c r="C1771" s="9" t="str">
        <f>IFERROR(__xludf.DUMMYFUNCTION("""COMPUTED_VALUE"""),"mosel")</f>
        <v>mosel</v>
      </c>
      <c r="D1771" s="9" t="str">
        <f>IFERROR(__xludf.DUMMYFUNCTION("""COMPUTED_VALUE"""),"Schloss Lieser, Brauneberger Juffer Sonnenuhr Riesling Spatlese Auktion, Mosel")</f>
        <v>Schloss Lieser, Brauneberger Juffer Sonnenuhr Riesling Spatlese Auktion, Mosel</v>
      </c>
      <c r="E1771" s="9">
        <f>IFERROR(__xludf.DUMMYFUNCTION("""COMPUTED_VALUE"""),2014.0)</f>
        <v>2014</v>
      </c>
      <c r="F1771" s="9">
        <f>IFERROR(__xludf.DUMMYFUNCTION("""COMPUTED_VALUE"""),750.0)</f>
        <v>750</v>
      </c>
      <c r="G1771" s="9">
        <f>IFERROR(__xludf.DUMMYFUNCTION("""COMPUTED_VALUE"""),6.0)</f>
        <v>6</v>
      </c>
      <c r="H1771" s="10">
        <f>IFERROR(__xludf.DUMMYFUNCTION("""COMPUTED_VALUE"""),7.0)</f>
        <v>7</v>
      </c>
      <c r="I1771" s="11">
        <f>IFERROR(__xludf.DUMMYFUNCTION("""COMPUTED_VALUE"""),872.0)</f>
        <v>872</v>
      </c>
      <c r="J1771" s="9" t="str">
        <f>IFERROR(__xludf.DUMMYFUNCTION("""COMPUTED_VALUE"""),"UK")</f>
        <v>UK</v>
      </c>
      <c r="K1771" s="8"/>
      <c r="L1771" s="12"/>
      <c r="M1771" s="13"/>
      <c r="N1771" s="13" t="str">
        <f>IFERROR(__xludf.DUMMYFUNCTION("IF(ISBLANK(M1771),"""",M1771*GOOGLEFINANCE(""USDGBP""))"),"")</f>
        <v/>
      </c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  <c r="GA1771" s="8"/>
      <c r="GB1771" s="8"/>
      <c r="GC1771" s="8"/>
      <c r="GD1771" s="8"/>
      <c r="GE1771" s="8"/>
      <c r="GF1771" s="8"/>
      <c r="GG1771" s="8"/>
      <c r="GH1771" s="8"/>
      <c r="GI1771" s="8"/>
      <c r="GJ1771" s="8"/>
      <c r="GK1771" s="8"/>
      <c r="GL1771" s="8"/>
      <c r="GM1771" s="8"/>
      <c r="GN1771" s="8"/>
      <c r="GO1771" s="8"/>
      <c r="GP1771" s="8"/>
      <c r="GQ1771" s="8"/>
      <c r="GR1771" s="8"/>
      <c r="GS1771" s="8"/>
      <c r="GT1771" s="8"/>
      <c r="GU1771" s="8"/>
      <c r="GV1771" s="8"/>
      <c r="GW1771" s="8"/>
      <c r="GX1771" s="8"/>
    </row>
    <row r="1772">
      <c r="A1772" s="8" t="str">
        <f>IFERROR(__xludf.DUMMYFUNCTION("""COMPUTED_VALUE"""),"174380120140600750")</f>
        <v>174380120140600750</v>
      </c>
      <c r="B1772" s="9" t="str">
        <f>IFERROR(__xludf.DUMMYFUNCTION("""COMPUTED_VALUE"""),"Germany")</f>
        <v>Germany</v>
      </c>
      <c r="C1772" s="9" t="str">
        <f>IFERROR(__xludf.DUMMYFUNCTION("""COMPUTED_VALUE"""),"mosel")</f>
        <v>mosel</v>
      </c>
      <c r="D1772" s="9" t="str">
        <f>IFERROR(__xludf.DUMMYFUNCTION("""COMPUTED_VALUE"""),"St Urbans Hof, Zickelgarten Riesling Spatlese Auktion, Mosel")</f>
        <v>St Urbans Hof, Zickelgarten Riesling Spatlese Auktion, Mosel</v>
      </c>
      <c r="E1772" s="9">
        <f>IFERROR(__xludf.DUMMYFUNCTION("""COMPUTED_VALUE"""),2014.0)</f>
        <v>2014</v>
      </c>
      <c r="F1772" s="9">
        <f>IFERROR(__xludf.DUMMYFUNCTION("""COMPUTED_VALUE"""),750.0)</f>
        <v>750</v>
      </c>
      <c r="G1772" s="9">
        <f>IFERROR(__xludf.DUMMYFUNCTION("""COMPUTED_VALUE"""),6.0)</f>
        <v>6</v>
      </c>
      <c r="H1772" s="10">
        <f>IFERROR(__xludf.DUMMYFUNCTION("""COMPUTED_VALUE"""),2.0)</f>
        <v>2</v>
      </c>
      <c r="I1772" s="11">
        <f>IFERROR(__xludf.DUMMYFUNCTION("""COMPUTED_VALUE"""),536.0)</f>
        <v>536</v>
      </c>
      <c r="J1772" s="9" t="str">
        <f>IFERROR(__xludf.DUMMYFUNCTION("""COMPUTED_VALUE"""),"UK")</f>
        <v>UK</v>
      </c>
      <c r="K1772" s="8"/>
      <c r="L1772" s="12"/>
      <c r="M1772" s="13"/>
      <c r="N1772" s="13" t="str">
        <f>IFERROR(__xludf.DUMMYFUNCTION("IF(ISBLANK(M1772),"""",M1772*GOOGLEFINANCE(""USDGBP""))"),"")</f>
        <v/>
      </c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  <c r="GG1772" s="8"/>
      <c r="GH1772" s="8"/>
      <c r="GI1772" s="8"/>
      <c r="GJ1772" s="8"/>
      <c r="GK1772" s="8"/>
      <c r="GL1772" s="8"/>
      <c r="GM1772" s="8"/>
      <c r="GN1772" s="8"/>
      <c r="GO1772" s="8"/>
      <c r="GP1772" s="8"/>
      <c r="GQ1772" s="8"/>
      <c r="GR1772" s="8"/>
      <c r="GS1772" s="8"/>
      <c r="GT1772" s="8"/>
      <c r="GU1772" s="8"/>
      <c r="GV1772" s="8"/>
      <c r="GW1772" s="8"/>
      <c r="GX1772" s="8"/>
    </row>
    <row r="1773">
      <c r="A1773" s="8" t="str">
        <f>IFERROR(__xludf.DUMMYFUNCTION("""COMPUTED_VALUE"""),"109557720151200750")</f>
        <v>109557720151200750</v>
      </c>
      <c r="B1773" s="9" t="str">
        <f>IFERROR(__xludf.DUMMYFUNCTION("""COMPUTED_VALUE"""),"Italy")</f>
        <v>Italy</v>
      </c>
      <c r="C1773" s="9" t="str">
        <f>IFERROR(__xludf.DUMMYFUNCTION("""COMPUTED_VALUE"""),"piedmont")</f>
        <v>piedmont</v>
      </c>
      <c r="D1773" s="9" t="str">
        <f>IFERROR(__xludf.DUMMYFUNCTION("""COMPUTED_VALUE"""),"Azelia, Barolo, Bricco Fiasco")</f>
        <v>Azelia, Barolo, Bricco Fiasco</v>
      </c>
      <c r="E1773" s="9">
        <f>IFERROR(__xludf.DUMMYFUNCTION("""COMPUTED_VALUE"""),2015.0)</f>
        <v>2015</v>
      </c>
      <c r="F1773" s="9">
        <f>IFERROR(__xludf.DUMMYFUNCTION("""COMPUTED_VALUE"""),750.0)</f>
        <v>750</v>
      </c>
      <c r="G1773" s="9">
        <f>IFERROR(__xludf.DUMMYFUNCTION("""COMPUTED_VALUE"""),12.0)</f>
        <v>12</v>
      </c>
      <c r="H1773" s="10">
        <f>IFERROR(__xludf.DUMMYFUNCTION("""COMPUTED_VALUE"""),1.0)</f>
        <v>1</v>
      </c>
      <c r="I1773" s="11">
        <f>IFERROR(__xludf.DUMMYFUNCTION("""COMPUTED_VALUE"""),942.0)</f>
        <v>942</v>
      </c>
      <c r="J1773" s="9" t="str">
        <f>IFERROR(__xludf.DUMMYFUNCTION("""COMPUTED_VALUE"""),"UK")</f>
        <v>UK</v>
      </c>
      <c r="K1773" s="8"/>
      <c r="L1773" s="12"/>
      <c r="M1773" s="13"/>
      <c r="N1773" s="13" t="str">
        <f>IFERROR(__xludf.DUMMYFUNCTION("IF(ISBLANK(M1773),"""",M1773*GOOGLEFINANCE(""USDGBP""))"),"")</f>
        <v/>
      </c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  <c r="GA1773" s="8"/>
      <c r="GB1773" s="8"/>
      <c r="GC1773" s="8"/>
      <c r="GD1773" s="8"/>
      <c r="GE1773" s="8"/>
      <c r="GF1773" s="8"/>
      <c r="GG1773" s="8"/>
      <c r="GH1773" s="8"/>
      <c r="GI1773" s="8"/>
      <c r="GJ1773" s="8"/>
      <c r="GK1773" s="8"/>
      <c r="GL1773" s="8"/>
      <c r="GM1773" s="8"/>
      <c r="GN1773" s="8"/>
      <c r="GO1773" s="8"/>
      <c r="GP1773" s="8"/>
      <c r="GQ1773" s="8"/>
      <c r="GR1773" s="8"/>
      <c r="GS1773" s="8"/>
      <c r="GT1773" s="8"/>
      <c r="GU1773" s="8"/>
      <c r="GV1773" s="8"/>
      <c r="GW1773" s="8"/>
      <c r="GX1773" s="8"/>
    </row>
    <row r="1774">
      <c r="A1774" s="8" t="str">
        <f>IFERROR(__xludf.DUMMYFUNCTION("""COMPUTED_VALUE"""),"165149220131200750")</f>
        <v>165149220131200750</v>
      </c>
      <c r="B1774" s="9" t="str">
        <f>IFERROR(__xludf.DUMMYFUNCTION("""COMPUTED_VALUE"""),"Italy")</f>
        <v>Italy</v>
      </c>
      <c r="C1774" s="9" t="str">
        <f>IFERROR(__xludf.DUMMYFUNCTION("""COMPUTED_VALUE"""),"piedmont")</f>
        <v>piedmont</v>
      </c>
      <c r="D1774" s="9" t="str">
        <f>IFERROR(__xludf.DUMMYFUNCTION("""COMPUTED_VALUE"""),"Azienda Agricola Conterno Fantino, Barolo, Ginestra Vigna del Gris")</f>
        <v>Azienda Agricola Conterno Fantino, Barolo, Ginestra Vigna del Gris</v>
      </c>
      <c r="E1774" s="9">
        <f>IFERROR(__xludf.DUMMYFUNCTION("""COMPUTED_VALUE"""),2013.0)</f>
        <v>2013</v>
      </c>
      <c r="F1774" s="9">
        <f>IFERROR(__xludf.DUMMYFUNCTION("""COMPUTED_VALUE"""),750.0)</f>
        <v>750</v>
      </c>
      <c r="G1774" s="9">
        <f>IFERROR(__xludf.DUMMYFUNCTION("""COMPUTED_VALUE"""),12.0)</f>
        <v>12</v>
      </c>
      <c r="H1774" s="10">
        <f>IFERROR(__xludf.DUMMYFUNCTION("""COMPUTED_VALUE"""),3.0)</f>
        <v>3</v>
      </c>
      <c r="I1774" s="11">
        <f>IFERROR(__xludf.DUMMYFUNCTION("""COMPUTED_VALUE"""),660.0)</f>
        <v>660</v>
      </c>
      <c r="J1774" s="9" t="str">
        <f>IFERROR(__xludf.DUMMYFUNCTION("""COMPUTED_VALUE"""),"UK")</f>
        <v>UK</v>
      </c>
      <c r="K1774" s="8"/>
      <c r="L1774" s="12"/>
      <c r="M1774" s="13"/>
      <c r="N1774" s="13" t="str">
        <f>IFERROR(__xludf.DUMMYFUNCTION("IF(ISBLANK(M1774),"""",M1774*GOOGLEFINANCE(""USDGBP""))"),"")</f>
        <v/>
      </c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  <c r="GG1774" s="8"/>
      <c r="GH1774" s="8"/>
      <c r="GI1774" s="8"/>
      <c r="GJ1774" s="8"/>
      <c r="GK1774" s="8"/>
      <c r="GL1774" s="8"/>
      <c r="GM1774" s="8"/>
      <c r="GN1774" s="8"/>
      <c r="GO1774" s="8"/>
      <c r="GP1774" s="8"/>
      <c r="GQ1774" s="8"/>
      <c r="GR1774" s="8"/>
      <c r="GS1774" s="8"/>
      <c r="GT1774" s="8"/>
      <c r="GU1774" s="8"/>
      <c r="GV1774" s="8"/>
      <c r="GW1774" s="8"/>
      <c r="GX1774" s="8"/>
    </row>
    <row r="1775">
      <c r="A1775" s="8" t="str">
        <f>IFERROR(__xludf.DUMMYFUNCTION("""COMPUTED_VALUE"""),"165149220160600750")</f>
        <v>165149220160600750</v>
      </c>
      <c r="B1775" s="9" t="str">
        <f>IFERROR(__xludf.DUMMYFUNCTION("""COMPUTED_VALUE"""),"Italy")</f>
        <v>Italy</v>
      </c>
      <c r="C1775" s="9" t="str">
        <f>IFERROR(__xludf.DUMMYFUNCTION("""COMPUTED_VALUE"""),"piedmont")</f>
        <v>piedmont</v>
      </c>
      <c r="D1775" s="9" t="str">
        <f>IFERROR(__xludf.DUMMYFUNCTION("""COMPUTED_VALUE"""),"Azienda Agricola Conterno Fantino, Barolo, Ginestra Vigna del Gris")</f>
        <v>Azienda Agricola Conterno Fantino, Barolo, Ginestra Vigna del Gris</v>
      </c>
      <c r="E1775" s="9">
        <f>IFERROR(__xludf.DUMMYFUNCTION("""COMPUTED_VALUE"""),2016.0)</f>
        <v>2016</v>
      </c>
      <c r="F1775" s="9">
        <f>IFERROR(__xludf.DUMMYFUNCTION("""COMPUTED_VALUE"""),750.0)</f>
        <v>750</v>
      </c>
      <c r="G1775" s="9">
        <f>IFERROR(__xludf.DUMMYFUNCTION("""COMPUTED_VALUE"""),6.0)</f>
        <v>6</v>
      </c>
      <c r="H1775" s="10">
        <f>IFERROR(__xludf.DUMMYFUNCTION("""COMPUTED_VALUE"""),3.0)</f>
        <v>3</v>
      </c>
      <c r="I1775" s="11">
        <f>IFERROR(__xludf.DUMMYFUNCTION("""COMPUTED_VALUE"""),470.0)</f>
        <v>470</v>
      </c>
      <c r="J1775" s="9" t="str">
        <f>IFERROR(__xludf.DUMMYFUNCTION("""COMPUTED_VALUE"""),"UK")</f>
        <v>UK</v>
      </c>
      <c r="K1775" s="8"/>
      <c r="L1775" s="12"/>
      <c r="M1775" s="13"/>
      <c r="N1775" s="13" t="str">
        <f>IFERROR(__xludf.DUMMYFUNCTION("IF(ISBLANK(M1775),"""",M1775*GOOGLEFINANCE(""USDGBP""))"),"")</f>
        <v/>
      </c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  <c r="FN1775" s="8"/>
      <c r="FO1775" s="8"/>
      <c r="FP1775" s="8"/>
      <c r="FQ1775" s="8"/>
      <c r="FR1775" s="8"/>
      <c r="FS1775" s="8"/>
      <c r="FT1775" s="8"/>
      <c r="FU1775" s="8"/>
      <c r="FV1775" s="8"/>
      <c r="FW1775" s="8"/>
      <c r="FX1775" s="8"/>
      <c r="FY1775" s="8"/>
      <c r="FZ1775" s="8"/>
      <c r="GA1775" s="8"/>
      <c r="GB1775" s="8"/>
      <c r="GC1775" s="8"/>
      <c r="GD1775" s="8"/>
      <c r="GE1775" s="8"/>
      <c r="GF1775" s="8"/>
      <c r="GG1775" s="8"/>
      <c r="GH1775" s="8"/>
      <c r="GI1775" s="8"/>
      <c r="GJ1775" s="8"/>
      <c r="GK1775" s="8"/>
      <c r="GL1775" s="8"/>
      <c r="GM1775" s="8"/>
      <c r="GN1775" s="8"/>
      <c r="GO1775" s="8"/>
      <c r="GP1775" s="8"/>
      <c r="GQ1775" s="8"/>
      <c r="GR1775" s="8"/>
      <c r="GS1775" s="8"/>
      <c r="GT1775" s="8"/>
      <c r="GU1775" s="8"/>
      <c r="GV1775" s="8"/>
      <c r="GW1775" s="8"/>
      <c r="GX1775" s="8"/>
    </row>
    <row r="1776">
      <c r="A1776" s="8" t="str">
        <f>IFERROR(__xludf.DUMMYFUNCTION("""COMPUTED_VALUE"""),"188476820171200750")</f>
        <v>188476820171200750</v>
      </c>
      <c r="B1776" s="9" t="str">
        <f>IFERROR(__xludf.DUMMYFUNCTION("""COMPUTED_VALUE"""),"Italy")</f>
        <v>Italy</v>
      </c>
      <c r="C1776" s="9" t="str">
        <f>IFERROR(__xludf.DUMMYFUNCTION("""COMPUTED_VALUE"""),"piedmont")</f>
        <v>piedmont</v>
      </c>
      <c r="D1776" s="9" t="str">
        <f>IFERROR(__xludf.DUMMYFUNCTION("""COMPUTED_VALUE"""),"Azienda Agricola Stella Giuseppe, Barbera d'Asti, Giaiet Superiore")</f>
        <v>Azienda Agricola Stella Giuseppe, Barbera d'Asti, Giaiet Superiore</v>
      </c>
      <c r="E1776" s="9">
        <f>IFERROR(__xludf.DUMMYFUNCTION("""COMPUTED_VALUE"""),2017.0)</f>
        <v>2017</v>
      </c>
      <c r="F1776" s="9">
        <f>IFERROR(__xludf.DUMMYFUNCTION("""COMPUTED_VALUE"""),750.0)</f>
        <v>750</v>
      </c>
      <c r="G1776" s="9">
        <f>IFERROR(__xludf.DUMMYFUNCTION("""COMPUTED_VALUE"""),12.0)</f>
        <v>12</v>
      </c>
      <c r="H1776" s="10">
        <f>IFERROR(__xludf.DUMMYFUNCTION("""COMPUTED_VALUE"""),4.0)</f>
        <v>4</v>
      </c>
      <c r="I1776" s="11">
        <f>IFERROR(__xludf.DUMMYFUNCTION("""COMPUTED_VALUE"""),382.0)</f>
        <v>382</v>
      </c>
      <c r="J1776" s="9" t="str">
        <f>IFERROR(__xludf.DUMMYFUNCTION("""COMPUTED_VALUE"""),"UK")</f>
        <v>UK</v>
      </c>
      <c r="K1776" s="8"/>
      <c r="L1776" s="12"/>
      <c r="M1776" s="13"/>
      <c r="N1776" s="13" t="str">
        <f>IFERROR(__xludf.DUMMYFUNCTION("IF(ISBLANK(M1776),"""",M1776*GOOGLEFINANCE(""USDGBP""))"),"")</f>
        <v/>
      </c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/>
      <c r="FT1776" s="8"/>
      <c r="FU1776" s="8"/>
      <c r="FV1776" s="8"/>
      <c r="FW1776" s="8"/>
      <c r="FX1776" s="8"/>
      <c r="FY1776" s="8"/>
      <c r="FZ1776" s="8"/>
      <c r="GA1776" s="8"/>
      <c r="GB1776" s="8"/>
      <c r="GC1776" s="8"/>
      <c r="GD1776" s="8"/>
      <c r="GE1776" s="8"/>
      <c r="GF1776" s="8"/>
      <c r="GG1776" s="8"/>
      <c r="GH1776" s="8"/>
      <c r="GI1776" s="8"/>
      <c r="GJ1776" s="8"/>
      <c r="GK1776" s="8"/>
      <c r="GL1776" s="8"/>
      <c r="GM1776" s="8"/>
      <c r="GN1776" s="8"/>
      <c r="GO1776" s="8"/>
      <c r="GP1776" s="8"/>
      <c r="GQ1776" s="8"/>
      <c r="GR1776" s="8"/>
      <c r="GS1776" s="8"/>
      <c r="GT1776" s="8"/>
      <c r="GU1776" s="8"/>
      <c r="GV1776" s="8"/>
      <c r="GW1776" s="8"/>
      <c r="GX1776" s="8"/>
    </row>
    <row r="1777">
      <c r="A1777" s="8" t="str">
        <f>IFERROR(__xludf.DUMMYFUNCTION("""COMPUTED_VALUE"""),"188484320171200750")</f>
        <v>188484320171200750</v>
      </c>
      <c r="B1777" s="9" t="str">
        <f>IFERROR(__xludf.DUMMYFUNCTION("""COMPUTED_VALUE"""),"Italy")</f>
        <v>Italy</v>
      </c>
      <c r="C1777" s="9" t="str">
        <f>IFERROR(__xludf.DUMMYFUNCTION("""COMPUTED_VALUE"""),"piedmont")</f>
        <v>piedmont</v>
      </c>
      <c r="D1777" s="9" t="str">
        <f>IFERROR(__xludf.DUMMYFUNCTION("""COMPUTED_VALUE"""),"Azienda Agricola Stella Giuseppe, Barbera d'Asti, Superiore Il Maestro")</f>
        <v>Azienda Agricola Stella Giuseppe, Barbera d'Asti, Superiore Il Maestro</v>
      </c>
      <c r="E1777" s="9">
        <f>IFERROR(__xludf.DUMMYFUNCTION("""COMPUTED_VALUE"""),2017.0)</f>
        <v>2017</v>
      </c>
      <c r="F1777" s="9">
        <f>IFERROR(__xludf.DUMMYFUNCTION("""COMPUTED_VALUE"""),750.0)</f>
        <v>750</v>
      </c>
      <c r="G1777" s="9">
        <f>IFERROR(__xludf.DUMMYFUNCTION("""COMPUTED_VALUE"""),12.0)</f>
        <v>12</v>
      </c>
      <c r="H1777" s="10">
        <f>IFERROR(__xludf.DUMMYFUNCTION("""COMPUTED_VALUE"""),6.0)</f>
        <v>6</v>
      </c>
      <c r="I1777" s="11">
        <f>IFERROR(__xludf.DUMMYFUNCTION("""COMPUTED_VALUE"""),491.0)</f>
        <v>491</v>
      </c>
      <c r="J1777" s="9" t="str">
        <f>IFERROR(__xludf.DUMMYFUNCTION("""COMPUTED_VALUE"""),"UK")</f>
        <v>UK</v>
      </c>
      <c r="K1777" s="8"/>
      <c r="L1777" s="12"/>
      <c r="M1777" s="13"/>
      <c r="N1777" s="13" t="str">
        <f>IFERROR(__xludf.DUMMYFUNCTION("IF(ISBLANK(M1777),"""",M1777*GOOGLEFINANCE(""USDGBP""))"),"")</f>
        <v/>
      </c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  <c r="FN1777" s="8"/>
      <c r="FO1777" s="8"/>
      <c r="FP1777" s="8"/>
      <c r="FQ1777" s="8"/>
      <c r="FR1777" s="8"/>
      <c r="FS1777" s="8"/>
      <c r="FT1777" s="8"/>
      <c r="FU1777" s="8"/>
      <c r="FV1777" s="8"/>
      <c r="FW1777" s="8"/>
      <c r="FX1777" s="8"/>
      <c r="FY1777" s="8"/>
      <c r="FZ1777" s="8"/>
      <c r="GA1777" s="8"/>
      <c r="GB1777" s="8"/>
      <c r="GC1777" s="8"/>
      <c r="GD1777" s="8"/>
      <c r="GE1777" s="8"/>
      <c r="GF1777" s="8"/>
      <c r="GG1777" s="8"/>
      <c r="GH1777" s="8"/>
      <c r="GI1777" s="8"/>
      <c r="GJ1777" s="8"/>
      <c r="GK1777" s="8"/>
      <c r="GL1777" s="8"/>
      <c r="GM1777" s="8"/>
      <c r="GN1777" s="8"/>
      <c r="GO1777" s="8"/>
      <c r="GP1777" s="8"/>
      <c r="GQ1777" s="8"/>
      <c r="GR1777" s="8"/>
      <c r="GS1777" s="8"/>
      <c r="GT1777" s="8"/>
      <c r="GU1777" s="8"/>
      <c r="GV1777" s="8"/>
      <c r="GW1777" s="8"/>
      <c r="GX1777" s="8"/>
    </row>
    <row r="1778">
      <c r="A1778" s="8" t="str">
        <f>IFERROR(__xludf.DUMMYFUNCTION("""COMPUTED_VALUE"""),"188484320181200750")</f>
        <v>188484320181200750</v>
      </c>
      <c r="B1778" s="9" t="str">
        <f>IFERROR(__xludf.DUMMYFUNCTION("""COMPUTED_VALUE"""),"Italy")</f>
        <v>Italy</v>
      </c>
      <c r="C1778" s="9" t="str">
        <f>IFERROR(__xludf.DUMMYFUNCTION("""COMPUTED_VALUE"""),"piedmont")</f>
        <v>piedmont</v>
      </c>
      <c r="D1778" s="9" t="str">
        <f>IFERROR(__xludf.DUMMYFUNCTION("""COMPUTED_VALUE"""),"Azienda Agricola Stella Giuseppe, Barbera d'Asti, Superiore Il Maestro")</f>
        <v>Azienda Agricola Stella Giuseppe, Barbera d'Asti, Superiore Il Maestro</v>
      </c>
      <c r="E1778" s="9">
        <f>IFERROR(__xludf.DUMMYFUNCTION("""COMPUTED_VALUE"""),2018.0)</f>
        <v>2018</v>
      </c>
      <c r="F1778" s="9">
        <f>IFERROR(__xludf.DUMMYFUNCTION("""COMPUTED_VALUE"""),750.0)</f>
        <v>750</v>
      </c>
      <c r="G1778" s="9">
        <f>IFERROR(__xludf.DUMMYFUNCTION("""COMPUTED_VALUE"""),12.0)</f>
        <v>12</v>
      </c>
      <c r="H1778" s="10">
        <f>IFERROR(__xludf.DUMMYFUNCTION("""COMPUTED_VALUE"""),3.0)</f>
        <v>3</v>
      </c>
      <c r="I1778" s="11">
        <f>IFERROR(__xludf.DUMMYFUNCTION("""COMPUTED_VALUE"""),316.0)</f>
        <v>316</v>
      </c>
      <c r="J1778" s="9" t="str">
        <f>IFERROR(__xludf.DUMMYFUNCTION("""COMPUTED_VALUE"""),"UK")</f>
        <v>UK</v>
      </c>
      <c r="K1778" s="8"/>
      <c r="L1778" s="12"/>
      <c r="M1778" s="13"/>
      <c r="N1778" s="13" t="str">
        <f>IFERROR(__xludf.DUMMYFUNCTION("IF(ISBLANK(M1778),"""",M1778*GOOGLEFINANCE(""USDGBP""))"),"")</f>
        <v/>
      </c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  <c r="FN1778" s="8"/>
      <c r="FO1778" s="8"/>
      <c r="FP1778" s="8"/>
      <c r="FQ1778" s="8"/>
      <c r="FR1778" s="8"/>
      <c r="FS1778" s="8"/>
      <c r="FT1778" s="8"/>
      <c r="FU1778" s="8"/>
      <c r="FV1778" s="8"/>
      <c r="FW1778" s="8"/>
      <c r="FX1778" s="8"/>
      <c r="FY1778" s="8"/>
      <c r="FZ1778" s="8"/>
      <c r="GA1778" s="8"/>
      <c r="GB1778" s="8"/>
      <c r="GC1778" s="8"/>
      <c r="GD1778" s="8"/>
      <c r="GE1778" s="8"/>
      <c r="GF1778" s="8"/>
      <c r="GG1778" s="8"/>
      <c r="GH1778" s="8"/>
      <c r="GI1778" s="8"/>
      <c r="GJ1778" s="8"/>
      <c r="GK1778" s="8"/>
      <c r="GL1778" s="8"/>
      <c r="GM1778" s="8"/>
      <c r="GN1778" s="8"/>
      <c r="GO1778" s="8"/>
      <c r="GP1778" s="8"/>
      <c r="GQ1778" s="8"/>
      <c r="GR1778" s="8"/>
      <c r="GS1778" s="8"/>
      <c r="GT1778" s="8"/>
      <c r="GU1778" s="8"/>
      <c r="GV1778" s="8"/>
      <c r="GW1778" s="8"/>
      <c r="GX1778" s="8"/>
    </row>
    <row r="1779">
      <c r="A1779" s="8" t="str">
        <f>IFERROR(__xludf.DUMMYFUNCTION("""COMPUTED_VALUE"""),"110124520100600750")</f>
        <v>110124520100600750</v>
      </c>
      <c r="B1779" s="9" t="str">
        <f>IFERROR(__xludf.DUMMYFUNCTION("""COMPUTED_VALUE"""),"Italy")</f>
        <v>Italy</v>
      </c>
      <c r="C1779" s="9" t="str">
        <f>IFERROR(__xludf.DUMMYFUNCTION("""COMPUTED_VALUE"""),"piedmont")</f>
        <v>piedmont</v>
      </c>
      <c r="D1779" s="9" t="str">
        <f>IFERROR(__xludf.DUMMYFUNCTION("""COMPUTED_VALUE"""),"Bartolo Mascarello, Barolo")</f>
        <v>Bartolo Mascarello, Barolo</v>
      </c>
      <c r="E1779" s="9">
        <f>IFERROR(__xludf.DUMMYFUNCTION("""COMPUTED_VALUE"""),2010.0)</f>
        <v>2010</v>
      </c>
      <c r="F1779" s="9">
        <f>IFERROR(__xludf.DUMMYFUNCTION("""COMPUTED_VALUE"""),750.0)</f>
        <v>750</v>
      </c>
      <c r="G1779" s="9">
        <f>IFERROR(__xludf.DUMMYFUNCTION("""COMPUTED_VALUE"""),6.0)</f>
        <v>6</v>
      </c>
      <c r="H1779" s="10">
        <f>IFERROR(__xludf.DUMMYFUNCTION("""COMPUTED_VALUE"""),1.0)</f>
        <v>1</v>
      </c>
      <c r="I1779" s="11">
        <f>IFERROR(__xludf.DUMMYFUNCTION("""COMPUTED_VALUE"""),2836.0)</f>
        <v>2836</v>
      </c>
      <c r="J1779" s="9" t="str">
        <f>IFERROR(__xludf.DUMMYFUNCTION("""COMPUTED_VALUE"""),"UK")</f>
        <v>UK</v>
      </c>
      <c r="K1779" s="8"/>
      <c r="L1779" s="12"/>
      <c r="M1779" s="13"/>
      <c r="N1779" s="13" t="str">
        <f>IFERROR(__xludf.DUMMYFUNCTION("IF(ISBLANK(M1779),"""",M1779*GOOGLEFINANCE(""USDGBP""))"),"")</f>
        <v/>
      </c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/>
      <c r="FT1779" s="8"/>
      <c r="FU1779" s="8"/>
      <c r="FV1779" s="8"/>
      <c r="FW1779" s="8"/>
      <c r="FX1779" s="8"/>
      <c r="FY1779" s="8"/>
      <c r="FZ1779" s="8"/>
      <c r="GA1779" s="8"/>
      <c r="GB1779" s="8"/>
      <c r="GC1779" s="8"/>
      <c r="GD1779" s="8"/>
      <c r="GE1779" s="8"/>
      <c r="GF1779" s="8"/>
      <c r="GG1779" s="8"/>
      <c r="GH1779" s="8"/>
      <c r="GI1779" s="8"/>
      <c r="GJ1779" s="8"/>
      <c r="GK1779" s="8"/>
      <c r="GL1779" s="8"/>
      <c r="GM1779" s="8"/>
      <c r="GN1779" s="8"/>
      <c r="GO1779" s="8"/>
      <c r="GP1779" s="8"/>
      <c r="GQ1779" s="8"/>
      <c r="GR1779" s="8"/>
      <c r="GS1779" s="8"/>
      <c r="GT1779" s="8"/>
      <c r="GU1779" s="8"/>
      <c r="GV1779" s="8"/>
      <c r="GW1779" s="8"/>
      <c r="GX1779" s="8"/>
    </row>
    <row r="1780">
      <c r="A1780" s="8" t="str">
        <f>IFERROR(__xludf.DUMMYFUNCTION("""COMPUTED_VALUE"""),"110124520160600750")</f>
        <v>110124520160600750</v>
      </c>
      <c r="B1780" s="9" t="str">
        <f>IFERROR(__xludf.DUMMYFUNCTION("""COMPUTED_VALUE"""),"Italy")</f>
        <v>Italy</v>
      </c>
      <c r="C1780" s="9" t="str">
        <f>IFERROR(__xludf.DUMMYFUNCTION("""COMPUTED_VALUE"""),"piedmont")</f>
        <v>piedmont</v>
      </c>
      <c r="D1780" s="9" t="str">
        <f>IFERROR(__xludf.DUMMYFUNCTION("""COMPUTED_VALUE"""),"Bartolo Mascarello, Barolo")</f>
        <v>Bartolo Mascarello, Barolo</v>
      </c>
      <c r="E1780" s="9">
        <f>IFERROR(__xludf.DUMMYFUNCTION("""COMPUTED_VALUE"""),2016.0)</f>
        <v>2016</v>
      </c>
      <c r="F1780" s="9">
        <f>IFERROR(__xludf.DUMMYFUNCTION("""COMPUTED_VALUE"""),750.0)</f>
        <v>750</v>
      </c>
      <c r="G1780" s="9">
        <f>IFERROR(__xludf.DUMMYFUNCTION("""COMPUTED_VALUE"""),6.0)</f>
        <v>6</v>
      </c>
      <c r="H1780" s="10">
        <f>IFERROR(__xludf.DUMMYFUNCTION("""COMPUTED_VALUE"""),4.0)</f>
        <v>4</v>
      </c>
      <c r="I1780" s="11">
        <f>IFERROR(__xludf.DUMMYFUNCTION("""COMPUTED_VALUE"""),2749.0)</f>
        <v>2749</v>
      </c>
      <c r="J1780" s="9" t="str">
        <f>IFERROR(__xludf.DUMMYFUNCTION("""COMPUTED_VALUE"""),"UK")</f>
        <v>UK</v>
      </c>
      <c r="K1780" s="8"/>
      <c r="L1780" s="12"/>
      <c r="M1780" s="13"/>
      <c r="N1780" s="13" t="str">
        <f>IFERROR(__xludf.DUMMYFUNCTION("IF(ISBLANK(M1780),"""",M1780*GOOGLEFINANCE(""USDGBP""))"),"")</f>
        <v/>
      </c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  <c r="GO1780" s="8"/>
      <c r="GP1780" s="8"/>
      <c r="GQ1780" s="8"/>
      <c r="GR1780" s="8"/>
      <c r="GS1780" s="8"/>
      <c r="GT1780" s="8"/>
      <c r="GU1780" s="8"/>
      <c r="GV1780" s="8"/>
      <c r="GW1780" s="8"/>
      <c r="GX1780" s="8"/>
    </row>
    <row r="1781">
      <c r="A1781" s="8" t="str">
        <f>IFERROR(__xludf.DUMMYFUNCTION("""COMPUTED_VALUE"""),"151149920170600750")</f>
        <v>151149920170600750</v>
      </c>
      <c r="B1781" s="9" t="str">
        <f>IFERROR(__xludf.DUMMYFUNCTION("""COMPUTED_VALUE"""),"Italy")</f>
        <v>Italy</v>
      </c>
      <c r="C1781" s="9" t="str">
        <f>IFERROR(__xludf.DUMMYFUNCTION("""COMPUTED_VALUE"""),"piedmont")</f>
        <v>piedmont</v>
      </c>
      <c r="D1781" s="9" t="str">
        <f>IFERROR(__xludf.DUMMYFUNCTION("""COMPUTED_VALUE"""),"Bartolo Mascarello, Barolo, Artist Label (Etichetta Disegnata)")</f>
        <v>Bartolo Mascarello, Barolo, Artist Label (Etichetta Disegnata)</v>
      </c>
      <c r="E1781" s="9">
        <f>IFERROR(__xludf.DUMMYFUNCTION("""COMPUTED_VALUE"""),2017.0)</f>
        <v>2017</v>
      </c>
      <c r="F1781" s="9">
        <f>IFERROR(__xludf.DUMMYFUNCTION("""COMPUTED_VALUE"""),750.0)</f>
        <v>750</v>
      </c>
      <c r="G1781" s="9">
        <f>IFERROR(__xludf.DUMMYFUNCTION("""COMPUTED_VALUE"""),6.0)</f>
        <v>6</v>
      </c>
      <c r="H1781" s="10">
        <f>IFERROR(__xludf.DUMMYFUNCTION("""COMPUTED_VALUE"""),1.0)</f>
        <v>1</v>
      </c>
      <c r="I1781" s="11">
        <f>IFERROR(__xludf.DUMMYFUNCTION("""COMPUTED_VALUE"""),1929.0)</f>
        <v>1929</v>
      </c>
      <c r="J1781" s="9" t="str">
        <f>IFERROR(__xludf.DUMMYFUNCTION("""COMPUTED_VALUE"""),"UK")</f>
        <v>UK</v>
      </c>
      <c r="K1781" s="8"/>
      <c r="L1781" s="12"/>
      <c r="M1781" s="13"/>
      <c r="N1781" s="13" t="str">
        <f>IFERROR(__xludf.DUMMYFUNCTION("IF(ISBLANK(M1781),"""",M1781*GOOGLEFINANCE(""USDGBP""))"),"")</f>
        <v/>
      </c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  <c r="GA1781" s="8"/>
      <c r="GB1781" s="8"/>
      <c r="GC1781" s="8"/>
      <c r="GD1781" s="8"/>
      <c r="GE1781" s="8"/>
      <c r="GF1781" s="8"/>
      <c r="GG1781" s="8"/>
      <c r="GH1781" s="8"/>
      <c r="GI1781" s="8"/>
      <c r="GJ1781" s="8"/>
      <c r="GK1781" s="8"/>
      <c r="GL1781" s="8"/>
      <c r="GM1781" s="8"/>
      <c r="GN1781" s="8"/>
      <c r="GO1781" s="8"/>
      <c r="GP1781" s="8"/>
      <c r="GQ1781" s="8"/>
      <c r="GR1781" s="8"/>
      <c r="GS1781" s="8"/>
      <c r="GT1781" s="8"/>
      <c r="GU1781" s="8"/>
      <c r="GV1781" s="8"/>
      <c r="GW1781" s="8"/>
      <c r="GX1781" s="8"/>
    </row>
    <row r="1782">
      <c r="A1782" s="8" t="str">
        <f>IFERROR(__xludf.DUMMYFUNCTION("""COMPUTED_VALUE"""),"109985220140600750")</f>
        <v>109985220140600750</v>
      </c>
      <c r="B1782" s="9" t="str">
        <f>IFERROR(__xludf.DUMMYFUNCTION("""COMPUTED_VALUE"""),"Italy")</f>
        <v>Italy</v>
      </c>
      <c r="C1782" s="9" t="str">
        <f>IFERROR(__xludf.DUMMYFUNCTION("""COMPUTED_VALUE"""),"piedmont")</f>
        <v>piedmont</v>
      </c>
      <c r="D1782" s="9" t="str">
        <f>IFERROR(__xludf.DUMMYFUNCTION("""COMPUTED_VALUE"""),"Bruno Giacosa, Barbaresco")</f>
        <v>Bruno Giacosa, Barbaresco</v>
      </c>
      <c r="E1782" s="9">
        <f>IFERROR(__xludf.DUMMYFUNCTION("""COMPUTED_VALUE"""),2014.0)</f>
        <v>2014</v>
      </c>
      <c r="F1782" s="9">
        <f>IFERROR(__xludf.DUMMYFUNCTION("""COMPUTED_VALUE"""),750.0)</f>
        <v>750</v>
      </c>
      <c r="G1782" s="9">
        <f>IFERROR(__xludf.DUMMYFUNCTION("""COMPUTED_VALUE"""),6.0)</f>
        <v>6</v>
      </c>
      <c r="H1782" s="10">
        <f>IFERROR(__xludf.DUMMYFUNCTION("""COMPUTED_VALUE"""),4.0)</f>
        <v>4</v>
      </c>
      <c r="I1782" s="11">
        <f>IFERROR(__xludf.DUMMYFUNCTION("""COMPUTED_VALUE"""),587.0)</f>
        <v>587</v>
      </c>
      <c r="J1782" s="9" t="str">
        <f>IFERROR(__xludf.DUMMYFUNCTION("""COMPUTED_VALUE"""),"UK")</f>
        <v>UK</v>
      </c>
      <c r="K1782" s="8"/>
      <c r="L1782" s="12"/>
      <c r="M1782" s="13"/>
      <c r="N1782" s="13" t="str">
        <f>IFERROR(__xludf.DUMMYFUNCTION("IF(ISBLANK(M1782),"""",M1782*GOOGLEFINANCE(""USDGBP""))"),"")</f>
        <v/>
      </c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  <c r="GA1782" s="8"/>
      <c r="GB1782" s="8"/>
      <c r="GC1782" s="8"/>
      <c r="GD1782" s="8"/>
      <c r="GE1782" s="8"/>
      <c r="GF1782" s="8"/>
      <c r="GG1782" s="8"/>
      <c r="GH1782" s="8"/>
      <c r="GI1782" s="8"/>
      <c r="GJ1782" s="8"/>
      <c r="GK1782" s="8"/>
      <c r="GL1782" s="8"/>
      <c r="GM1782" s="8"/>
      <c r="GN1782" s="8"/>
      <c r="GO1782" s="8"/>
      <c r="GP1782" s="8"/>
      <c r="GQ1782" s="8"/>
      <c r="GR1782" s="8"/>
      <c r="GS1782" s="8"/>
      <c r="GT1782" s="8"/>
      <c r="GU1782" s="8"/>
      <c r="GV1782" s="8"/>
      <c r="GW1782" s="8"/>
      <c r="GX1782" s="8"/>
    </row>
    <row r="1783">
      <c r="A1783" s="8" t="str">
        <f>IFERROR(__xludf.DUMMYFUNCTION("""COMPUTED_VALUE"""),"109986520150600750")</f>
        <v>109986520150600750</v>
      </c>
      <c r="B1783" s="9" t="str">
        <f>IFERROR(__xludf.DUMMYFUNCTION("""COMPUTED_VALUE"""),"Italy")</f>
        <v>Italy</v>
      </c>
      <c r="C1783" s="9" t="str">
        <f>IFERROR(__xludf.DUMMYFUNCTION("""COMPUTED_VALUE"""),"piedmont")</f>
        <v>piedmont</v>
      </c>
      <c r="D1783" s="9" t="str">
        <f>IFERROR(__xludf.DUMMYFUNCTION("""COMPUTED_VALUE"""),"Bruno Giacosa, Barbaresco, Asili")</f>
        <v>Bruno Giacosa, Barbaresco, Asili</v>
      </c>
      <c r="E1783" s="9">
        <f>IFERROR(__xludf.DUMMYFUNCTION("""COMPUTED_VALUE"""),2015.0)</f>
        <v>2015</v>
      </c>
      <c r="F1783" s="9">
        <f>IFERROR(__xludf.DUMMYFUNCTION("""COMPUTED_VALUE"""),750.0)</f>
        <v>750</v>
      </c>
      <c r="G1783" s="9">
        <f>IFERROR(__xludf.DUMMYFUNCTION("""COMPUTED_VALUE"""),6.0)</f>
        <v>6</v>
      </c>
      <c r="H1783" s="10">
        <f>IFERROR(__xludf.DUMMYFUNCTION("""COMPUTED_VALUE"""),4.0)</f>
        <v>4</v>
      </c>
      <c r="I1783" s="11">
        <f>IFERROR(__xludf.DUMMYFUNCTION("""COMPUTED_VALUE"""),632.0)</f>
        <v>632</v>
      </c>
      <c r="J1783" s="9" t="str">
        <f>IFERROR(__xludf.DUMMYFUNCTION("""COMPUTED_VALUE"""),"UK")</f>
        <v>UK</v>
      </c>
      <c r="K1783" s="8"/>
      <c r="L1783" s="12"/>
      <c r="M1783" s="13"/>
      <c r="N1783" s="13" t="str">
        <f>IFERROR(__xludf.DUMMYFUNCTION("IF(ISBLANK(M1783),"""",M1783*GOOGLEFINANCE(""USDGBP""))"),"")</f>
        <v/>
      </c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  <c r="GA1783" s="8"/>
      <c r="GB1783" s="8"/>
      <c r="GC1783" s="8"/>
      <c r="GD1783" s="8"/>
      <c r="GE1783" s="8"/>
      <c r="GF1783" s="8"/>
      <c r="GG1783" s="8"/>
      <c r="GH1783" s="8"/>
      <c r="GI1783" s="8"/>
      <c r="GJ1783" s="8"/>
      <c r="GK1783" s="8"/>
      <c r="GL1783" s="8"/>
      <c r="GM1783" s="8"/>
      <c r="GN1783" s="8"/>
      <c r="GO1783" s="8"/>
      <c r="GP1783" s="8"/>
      <c r="GQ1783" s="8"/>
      <c r="GR1783" s="8"/>
      <c r="GS1783" s="8"/>
      <c r="GT1783" s="8"/>
      <c r="GU1783" s="8"/>
      <c r="GV1783" s="8"/>
      <c r="GW1783" s="8"/>
      <c r="GX1783" s="8"/>
    </row>
    <row r="1784">
      <c r="A1784" s="8" t="str">
        <f>IFERROR(__xludf.DUMMYFUNCTION("""COMPUTED_VALUE"""),"109986520170600750")</f>
        <v>109986520170600750</v>
      </c>
      <c r="B1784" s="9" t="str">
        <f>IFERROR(__xludf.DUMMYFUNCTION("""COMPUTED_VALUE"""),"Italy")</f>
        <v>Italy</v>
      </c>
      <c r="C1784" s="9" t="str">
        <f>IFERROR(__xludf.DUMMYFUNCTION("""COMPUTED_VALUE"""),"piedmont")</f>
        <v>piedmont</v>
      </c>
      <c r="D1784" s="9" t="str">
        <f>IFERROR(__xludf.DUMMYFUNCTION("""COMPUTED_VALUE"""),"Bruno Giacosa, Barbaresco, Asili")</f>
        <v>Bruno Giacosa, Barbaresco, Asili</v>
      </c>
      <c r="E1784" s="9">
        <f>IFERROR(__xludf.DUMMYFUNCTION("""COMPUTED_VALUE"""),2017.0)</f>
        <v>2017</v>
      </c>
      <c r="F1784" s="9">
        <f>IFERROR(__xludf.DUMMYFUNCTION("""COMPUTED_VALUE"""),750.0)</f>
        <v>750</v>
      </c>
      <c r="G1784" s="9">
        <f>IFERROR(__xludf.DUMMYFUNCTION("""COMPUTED_VALUE"""),6.0)</f>
        <v>6</v>
      </c>
      <c r="H1784" s="10">
        <f>IFERROR(__xludf.DUMMYFUNCTION("""COMPUTED_VALUE"""),27.0)</f>
        <v>27</v>
      </c>
      <c r="I1784" s="11">
        <f>IFERROR(__xludf.DUMMYFUNCTION("""COMPUTED_VALUE"""),571.0)</f>
        <v>571</v>
      </c>
      <c r="J1784" s="9" t="str">
        <f>IFERROR(__xludf.DUMMYFUNCTION("""COMPUTED_VALUE"""),"UK")</f>
        <v>UK</v>
      </c>
      <c r="K1784" s="8"/>
      <c r="L1784" s="12"/>
      <c r="M1784" s="13"/>
      <c r="N1784" s="13" t="str">
        <f>IFERROR(__xludf.DUMMYFUNCTION("IF(ISBLANK(M1784),"""",M1784*GOOGLEFINANCE(""USDGBP""))"),"")</f>
        <v/>
      </c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  <c r="GA1784" s="8"/>
      <c r="GB1784" s="8"/>
      <c r="GC1784" s="8"/>
      <c r="GD1784" s="8"/>
      <c r="GE1784" s="8"/>
      <c r="GF1784" s="8"/>
      <c r="GG1784" s="8"/>
      <c r="GH1784" s="8"/>
      <c r="GI1784" s="8"/>
      <c r="GJ1784" s="8"/>
      <c r="GK1784" s="8"/>
      <c r="GL1784" s="8"/>
      <c r="GM1784" s="8"/>
      <c r="GN1784" s="8"/>
      <c r="GO1784" s="8"/>
      <c r="GP1784" s="8"/>
      <c r="GQ1784" s="8"/>
      <c r="GR1784" s="8"/>
      <c r="GS1784" s="8"/>
      <c r="GT1784" s="8"/>
      <c r="GU1784" s="8"/>
      <c r="GV1784" s="8"/>
      <c r="GW1784" s="8"/>
      <c r="GX1784" s="8"/>
    </row>
    <row r="1785">
      <c r="A1785" s="8" t="str">
        <f>IFERROR(__xludf.DUMMYFUNCTION("""COMPUTED_VALUE"""),"109986520170301500")</f>
        <v>109986520170301500</v>
      </c>
      <c r="B1785" s="9" t="str">
        <f>IFERROR(__xludf.DUMMYFUNCTION("""COMPUTED_VALUE"""),"Italy")</f>
        <v>Italy</v>
      </c>
      <c r="C1785" s="9" t="str">
        <f>IFERROR(__xludf.DUMMYFUNCTION("""COMPUTED_VALUE"""),"piedmont")</f>
        <v>piedmont</v>
      </c>
      <c r="D1785" s="9" t="str">
        <f>IFERROR(__xludf.DUMMYFUNCTION("""COMPUTED_VALUE"""),"Bruno Giacosa, Barbaresco, Asili")</f>
        <v>Bruno Giacosa, Barbaresco, Asili</v>
      </c>
      <c r="E1785" s="9">
        <f>IFERROR(__xludf.DUMMYFUNCTION("""COMPUTED_VALUE"""),2017.0)</f>
        <v>2017</v>
      </c>
      <c r="F1785" s="9">
        <f>IFERROR(__xludf.DUMMYFUNCTION("""COMPUTED_VALUE"""),1500.0)</f>
        <v>1500</v>
      </c>
      <c r="G1785" s="9">
        <f>IFERROR(__xludf.DUMMYFUNCTION("""COMPUTED_VALUE"""),3.0)</f>
        <v>3</v>
      </c>
      <c r="H1785" s="10">
        <f>IFERROR(__xludf.DUMMYFUNCTION("""COMPUTED_VALUE"""),2.0)</f>
        <v>2</v>
      </c>
      <c r="I1785" s="11">
        <f>IFERROR(__xludf.DUMMYFUNCTION("""COMPUTED_VALUE"""),572.0)</f>
        <v>572</v>
      </c>
      <c r="J1785" s="9" t="str">
        <f>IFERROR(__xludf.DUMMYFUNCTION("""COMPUTED_VALUE"""),"UK")</f>
        <v>UK</v>
      </c>
      <c r="K1785" s="8"/>
      <c r="L1785" s="12"/>
      <c r="M1785" s="13"/>
      <c r="N1785" s="13" t="str">
        <f>IFERROR(__xludf.DUMMYFUNCTION("IF(ISBLANK(M1785),"""",M1785*GOOGLEFINANCE(""USDGBP""))"),"")</f>
        <v/>
      </c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  <c r="GA1785" s="8"/>
      <c r="GB1785" s="8"/>
      <c r="GC1785" s="8"/>
      <c r="GD1785" s="8"/>
      <c r="GE1785" s="8"/>
      <c r="GF1785" s="8"/>
      <c r="GG1785" s="8"/>
      <c r="GH1785" s="8"/>
      <c r="GI1785" s="8"/>
      <c r="GJ1785" s="8"/>
      <c r="GK1785" s="8"/>
      <c r="GL1785" s="8"/>
      <c r="GM1785" s="8"/>
      <c r="GN1785" s="8"/>
      <c r="GO1785" s="8"/>
      <c r="GP1785" s="8"/>
      <c r="GQ1785" s="8"/>
      <c r="GR1785" s="8"/>
      <c r="GS1785" s="8"/>
      <c r="GT1785" s="8"/>
      <c r="GU1785" s="8"/>
      <c r="GV1785" s="8"/>
      <c r="GW1785" s="8"/>
      <c r="GX1785" s="8"/>
    </row>
    <row r="1786">
      <c r="A1786" s="8" t="str">
        <f>IFERROR(__xludf.DUMMYFUNCTION("""COMPUTED_VALUE"""),"109988120110600750")</f>
        <v>109988120110600750</v>
      </c>
      <c r="B1786" s="9" t="str">
        <f>IFERROR(__xludf.DUMMYFUNCTION("""COMPUTED_VALUE"""),"Italy")</f>
        <v>Italy</v>
      </c>
      <c r="C1786" s="9" t="str">
        <f>IFERROR(__xludf.DUMMYFUNCTION("""COMPUTED_VALUE"""),"piedmont")</f>
        <v>piedmont</v>
      </c>
      <c r="D1786" s="9" t="str">
        <f>IFERROR(__xludf.DUMMYFUNCTION("""COMPUTED_VALUE"""),"Bruno Giacosa, Barbaresco, Asili Riserva")</f>
        <v>Bruno Giacosa, Barbaresco, Asili Riserva</v>
      </c>
      <c r="E1786" s="9">
        <f>IFERROR(__xludf.DUMMYFUNCTION("""COMPUTED_VALUE"""),2011.0)</f>
        <v>2011</v>
      </c>
      <c r="F1786" s="9">
        <f>IFERROR(__xludf.DUMMYFUNCTION("""COMPUTED_VALUE"""),750.0)</f>
        <v>750</v>
      </c>
      <c r="G1786" s="9">
        <f>IFERROR(__xludf.DUMMYFUNCTION("""COMPUTED_VALUE"""),6.0)</f>
        <v>6</v>
      </c>
      <c r="H1786" s="10">
        <f>IFERROR(__xludf.DUMMYFUNCTION("""COMPUTED_VALUE"""),1.0)</f>
        <v>1</v>
      </c>
      <c r="I1786" s="11">
        <f>IFERROR(__xludf.DUMMYFUNCTION("""COMPUTED_VALUE"""),1523.0)</f>
        <v>1523</v>
      </c>
      <c r="J1786" s="9" t="str">
        <f>IFERROR(__xludf.DUMMYFUNCTION("""COMPUTED_VALUE"""),"UK")</f>
        <v>UK</v>
      </c>
      <c r="K1786" s="8"/>
      <c r="L1786" s="12"/>
      <c r="M1786" s="13"/>
      <c r="N1786" s="13" t="str">
        <f>IFERROR(__xludf.DUMMYFUNCTION("IF(ISBLANK(M1786),"""",M1786*GOOGLEFINANCE(""USDGBP""))"),"")</f>
        <v/>
      </c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  <c r="GG1786" s="8"/>
      <c r="GH1786" s="8"/>
      <c r="GI1786" s="8"/>
      <c r="GJ1786" s="8"/>
      <c r="GK1786" s="8"/>
      <c r="GL1786" s="8"/>
      <c r="GM1786" s="8"/>
      <c r="GN1786" s="8"/>
      <c r="GO1786" s="8"/>
      <c r="GP1786" s="8"/>
      <c r="GQ1786" s="8"/>
      <c r="GR1786" s="8"/>
      <c r="GS1786" s="8"/>
      <c r="GT1786" s="8"/>
      <c r="GU1786" s="8"/>
      <c r="GV1786" s="8"/>
      <c r="GW1786" s="8"/>
      <c r="GX1786" s="8"/>
    </row>
    <row r="1787">
      <c r="A1787" s="8" t="str">
        <f>IFERROR(__xludf.DUMMYFUNCTION("""COMPUTED_VALUE"""),"109988120140600750")</f>
        <v>109988120140600750</v>
      </c>
      <c r="B1787" s="9" t="str">
        <f>IFERROR(__xludf.DUMMYFUNCTION("""COMPUTED_VALUE"""),"Italy")</f>
        <v>Italy</v>
      </c>
      <c r="C1787" s="9" t="str">
        <f>IFERROR(__xludf.DUMMYFUNCTION("""COMPUTED_VALUE"""),"piedmont")</f>
        <v>piedmont</v>
      </c>
      <c r="D1787" s="9" t="str">
        <f>IFERROR(__xludf.DUMMYFUNCTION("""COMPUTED_VALUE"""),"Bruno Giacosa, Barbaresco, Asili Riserva")</f>
        <v>Bruno Giacosa, Barbaresco, Asili Riserva</v>
      </c>
      <c r="E1787" s="9">
        <f>IFERROR(__xludf.DUMMYFUNCTION("""COMPUTED_VALUE"""),2014.0)</f>
        <v>2014</v>
      </c>
      <c r="F1787" s="9">
        <f>IFERROR(__xludf.DUMMYFUNCTION("""COMPUTED_VALUE"""),750.0)</f>
        <v>750</v>
      </c>
      <c r="G1787" s="9">
        <f>IFERROR(__xludf.DUMMYFUNCTION("""COMPUTED_VALUE"""),6.0)</f>
        <v>6</v>
      </c>
      <c r="H1787" s="10">
        <f>IFERROR(__xludf.DUMMYFUNCTION("""COMPUTED_VALUE"""),1.0)</f>
        <v>1</v>
      </c>
      <c r="I1787" s="11">
        <f>IFERROR(__xludf.DUMMYFUNCTION("""COMPUTED_VALUE"""),1478.0)</f>
        <v>1478</v>
      </c>
      <c r="J1787" s="9" t="str">
        <f>IFERROR(__xludf.DUMMYFUNCTION("""COMPUTED_VALUE"""),"UK")</f>
        <v>UK</v>
      </c>
      <c r="K1787" s="8"/>
      <c r="L1787" s="12"/>
      <c r="M1787" s="13"/>
      <c r="N1787" s="13" t="str">
        <f>IFERROR(__xludf.DUMMYFUNCTION("IF(ISBLANK(M1787),"""",M1787*GOOGLEFINANCE(""USDGBP""))"),"")</f>
        <v/>
      </c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  <c r="GA1787" s="8"/>
      <c r="GB1787" s="8"/>
      <c r="GC1787" s="8"/>
      <c r="GD1787" s="8"/>
      <c r="GE1787" s="8"/>
      <c r="GF1787" s="8"/>
      <c r="GG1787" s="8"/>
      <c r="GH1787" s="8"/>
      <c r="GI1787" s="8"/>
      <c r="GJ1787" s="8"/>
      <c r="GK1787" s="8"/>
      <c r="GL1787" s="8"/>
      <c r="GM1787" s="8"/>
      <c r="GN1787" s="8"/>
      <c r="GO1787" s="8"/>
      <c r="GP1787" s="8"/>
      <c r="GQ1787" s="8"/>
      <c r="GR1787" s="8"/>
      <c r="GS1787" s="8"/>
      <c r="GT1787" s="8"/>
      <c r="GU1787" s="8"/>
      <c r="GV1787" s="8"/>
      <c r="GW1787" s="8"/>
      <c r="GX1787" s="8"/>
    </row>
    <row r="1788">
      <c r="A1788" s="8" t="str">
        <f>IFERROR(__xludf.DUMMYFUNCTION("""COMPUTED_VALUE"""),"115117820170600750")</f>
        <v>115117820170600750</v>
      </c>
      <c r="B1788" s="9" t="str">
        <f>IFERROR(__xludf.DUMMYFUNCTION("""COMPUTED_VALUE"""),"Italy")</f>
        <v>Italy</v>
      </c>
      <c r="C1788" s="9" t="str">
        <f>IFERROR(__xludf.DUMMYFUNCTION("""COMPUTED_VALUE"""),"piedmont")</f>
        <v>piedmont</v>
      </c>
      <c r="D1788" s="9" t="str">
        <f>IFERROR(__xludf.DUMMYFUNCTION("""COMPUTED_VALUE"""),"Bruno Giacosa, Barbaresco, Rabaja")</f>
        <v>Bruno Giacosa, Barbaresco, Rabaja</v>
      </c>
      <c r="E1788" s="9">
        <f>IFERROR(__xludf.DUMMYFUNCTION("""COMPUTED_VALUE"""),2017.0)</f>
        <v>2017</v>
      </c>
      <c r="F1788" s="9">
        <f>IFERROR(__xludf.DUMMYFUNCTION("""COMPUTED_VALUE"""),750.0)</f>
        <v>750</v>
      </c>
      <c r="G1788" s="9">
        <f>IFERROR(__xludf.DUMMYFUNCTION("""COMPUTED_VALUE"""),6.0)</f>
        <v>6</v>
      </c>
      <c r="H1788" s="10">
        <f>IFERROR(__xludf.DUMMYFUNCTION("""COMPUTED_VALUE"""),5.0)</f>
        <v>5</v>
      </c>
      <c r="I1788" s="11">
        <f>IFERROR(__xludf.DUMMYFUNCTION("""COMPUTED_VALUE"""),912.0)</f>
        <v>912</v>
      </c>
      <c r="J1788" s="9" t="str">
        <f>IFERROR(__xludf.DUMMYFUNCTION("""COMPUTED_VALUE"""),"UK")</f>
        <v>UK</v>
      </c>
      <c r="K1788" s="8"/>
      <c r="L1788" s="12"/>
      <c r="M1788" s="13"/>
      <c r="N1788" s="13" t="str">
        <f>IFERROR(__xludf.DUMMYFUNCTION("IF(ISBLANK(M1788),"""",M1788*GOOGLEFINANCE(""USDGBP""))"),"")</f>
        <v/>
      </c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  <c r="GA1788" s="8"/>
      <c r="GB1788" s="8"/>
      <c r="GC1788" s="8"/>
      <c r="GD1788" s="8"/>
      <c r="GE1788" s="8"/>
      <c r="GF1788" s="8"/>
      <c r="GG1788" s="8"/>
      <c r="GH1788" s="8"/>
      <c r="GI1788" s="8"/>
      <c r="GJ1788" s="8"/>
      <c r="GK1788" s="8"/>
      <c r="GL1788" s="8"/>
      <c r="GM1788" s="8"/>
      <c r="GN1788" s="8"/>
      <c r="GO1788" s="8"/>
      <c r="GP1788" s="8"/>
      <c r="GQ1788" s="8"/>
      <c r="GR1788" s="8"/>
      <c r="GS1788" s="8"/>
      <c r="GT1788" s="8"/>
      <c r="GU1788" s="8"/>
      <c r="GV1788" s="8"/>
      <c r="GW1788" s="8"/>
      <c r="GX1788" s="8"/>
    </row>
    <row r="1789">
      <c r="A1789" s="8" t="str">
        <f>IFERROR(__xludf.DUMMYFUNCTION("""COMPUTED_VALUE"""),"135052620110600750")</f>
        <v>135052620110600750</v>
      </c>
      <c r="B1789" s="9" t="str">
        <f>IFERROR(__xludf.DUMMYFUNCTION("""COMPUTED_VALUE"""),"Italy")</f>
        <v>Italy</v>
      </c>
      <c r="C1789" s="9" t="str">
        <f>IFERROR(__xludf.DUMMYFUNCTION("""COMPUTED_VALUE"""),"piedmont")</f>
        <v>piedmont</v>
      </c>
      <c r="D1789" s="9" t="str">
        <f>IFERROR(__xludf.DUMMYFUNCTION("""COMPUTED_VALUE"""),"Bruno Giacosa, Barbaresco, Santo Stefano")</f>
        <v>Bruno Giacosa, Barbaresco, Santo Stefano</v>
      </c>
      <c r="E1789" s="9">
        <f>IFERROR(__xludf.DUMMYFUNCTION("""COMPUTED_VALUE"""),2011.0)</f>
        <v>2011</v>
      </c>
      <c r="F1789" s="9">
        <f>IFERROR(__xludf.DUMMYFUNCTION("""COMPUTED_VALUE"""),750.0)</f>
        <v>750</v>
      </c>
      <c r="G1789" s="9">
        <f>IFERROR(__xludf.DUMMYFUNCTION("""COMPUTED_VALUE"""),6.0)</f>
        <v>6</v>
      </c>
      <c r="H1789" s="10">
        <f>IFERROR(__xludf.DUMMYFUNCTION("""COMPUTED_VALUE"""),4.0)</f>
        <v>4</v>
      </c>
      <c r="I1789" s="11">
        <f>IFERROR(__xludf.DUMMYFUNCTION("""COMPUTED_VALUE"""),680.0)</f>
        <v>680</v>
      </c>
      <c r="J1789" s="9" t="str">
        <f>IFERROR(__xludf.DUMMYFUNCTION("""COMPUTED_VALUE"""),"UK")</f>
        <v>UK</v>
      </c>
      <c r="K1789" s="8"/>
      <c r="L1789" s="12"/>
      <c r="M1789" s="13"/>
      <c r="N1789" s="13" t="str">
        <f>IFERROR(__xludf.DUMMYFUNCTION("IF(ISBLANK(M1789),"""",M1789*GOOGLEFINANCE(""USDGBP""))"),"")</f>
        <v/>
      </c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  <c r="GG1789" s="8"/>
      <c r="GH1789" s="8"/>
      <c r="GI1789" s="8"/>
      <c r="GJ1789" s="8"/>
      <c r="GK1789" s="8"/>
      <c r="GL1789" s="8"/>
      <c r="GM1789" s="8"/>
      <c r="GN1789" s="8"/>
      <c r="GO1789" s="8"/>
      <c r="GP1789" s="8"/>
      <c r="GQ1789" s="8"/>
      <c r="GR1789" s="8"/>
      <c r="GS1789" s="8"/>
      <c r="GT1789" s="8"/>
      <c r="GU1789" s="8"/>
      <c r="GV1789" s="8"/>
      <c r="GW1789" s="8"/>
      <c r="GX1789" s="8"/>
    </row>
    <row r="1790">
      <c r="A1790" s="8" t="str">
        <f>IFERROR(__xludf.DUMMYFUNCTION("""COMPUTED_VALUE"""),"114473820170600750")</f>
        <v>114473820170600750</v>
      </c>
      <c r="B1790" s="9" t="str">
        <f>IFERROR(__xludf.DUMMYFUNCTION("""COMPUTED_VALUE"""),"Italy")</f>
        <v>Italy</v>
      </c>
      <c r="C1790" s="9" t="str">
        <f>IFERROR(__xludf.DUMMYFUNCTION("""COMPUTED_VALUE"""),"piedmont")</f>
        <v>piedmont</v>
      </c>
      <c r="D1790" s="9" t="str">
        <f>IFERROR(__xludf.DUMMYFUNCTION("""COMPUTED_VALUE"""),"Bruno Giacosa, Barolo")</f>
        <v>Bruno Giacosa, Barolo</v>
      </c>
      <c r="E1790" s="9">
        <f>IFERROR(__xludf.DUMMYFUNCTION("""COMPUTED_VALUE"""),2017.0)</f>
        <v>2017</v>
      </c>
      <c r="F1790" s="9">
        <f>IFERROR(__xludf.DUMMYFUNCTION("""COMPUTED_VALUE"""),750.0)</f>
        <v>750</v>
      </c>
      <c r="G1790" s="9">
        <f>IFERROR(__xludf.DUMMYFUNCTION("""COMPUTED_VALUE"""),6.0)</f>
        <v>6</v>
      </c>
      <c r="H1790" s="10">
        <f>IFERROR(__xludf.DUMMYFUNCTION("""COMPUTED_VALUE"""),4.0)</f>
        <v>4</v>
      </c>
      <c r="I1790" s="11">
        <f>IFERROR(__xludf.DUMMYFUNCTION("""COMPUTED_VALUE"""),700.0)</f>
        <v>700</v>
      </c>
      <c r="J1790" s="9" t="str">
        <f>IFERROR(__xludf.DUMMYFUNCTION("""COMPUTED_VALUE"""),"UK")</f>
        <v>UK</v>
      </c>
      <c r="K1790" s="8"/>
      <c r="L1790" s="12"/>
      <c r="M1790" s="13"/>
      <c r="N1790" s="13" t="str">
        <f>IFERROR(__xludf.DUMMYFUNCTION("IF(ISBLANK(M1790),"""",M1790*GOOGLEFINANCE(""USDGBP""))"),"")</f>
        <v/>
      </c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  <c r="GA1790" s="8"/>
      <c r="GB1790" s="8"/>
      <c r="GC1790" s="8"/>
      <c r="GD1790" s="8"/>
      <c r="GE1790" s="8"/>
      <c r="GF1790" s="8"/>
      <c r="GG1790" s="8"/>
      <c r="GH1790" s="8"/>
      <c r="GI1790" s="8"/>
      <c r="GJ1790" s="8"/>
      <c r="GK1790" s="8"/>
      <c r="GL1790" s="8"/>
      <c r="GM1790" s="8"/>
      <c r="GN1790" s="8"/>
      <c r="GO1790" s="8"/>
      <c r="GP1790" s="8"/>
      <c r="GQ1790" s="8"/>
      <c r="GR1790" s="8"/>
      <c r="GS1790" s="8"/>
      <c r="GT1790" s="8"/>
      <c r="GU1790" s="8"/>
      <c r="GV1790" s="8"/>
      <c r="GW1790" s="8"/>
      <c r="GX1790" s="8"/>
    </row>
    <row r="1791">
      <c r="A1791" s="8" t="str">
        <f>IFERROR(__xludf.DUMMYFUNCTION("""COMPUTED_VALUE"""),"114473820180600750")</f>
        <v>114473820180600750</v>
      </c>
      <c r="B1791" s="9" t="str">
        <f>IFERROR(__xludf.DUMMYFUNCTION("""COMPUTED_VALUE"""),"Italy")</f>
        <v>Italy</v>
      </c>
      <c r="C1791" s="9" t="str">
        <f>IFERROR(__xludf.DUMMYFUNCTION("""COMPUTED_VALUE"""),"piedmont")</f>
        <v>piedmont</v>
      </c>
      <c r="D1791" s="9" t="str">
        <f>IFERROR(__xludf.DUMMYFUNCTION("""COMPUTED_VALUE"""),"Bruno Giacosa, Barolo")</f>
        <v>Bruno Giacosa, Barolo</v>
      </c>
      <c r="E1791" s="9">
        <f>IFERROR(__xludf.DUMMYFUNCTION("""COMPUTED_VALUE"""),2018.0)</f>
        <v>2018</v>
      </c>
      <c r="F1791" s="9">
        <f>IFERROR(__xludf.DUMMYFUNCTION("""COMPUTED_VALUE"""),750.0)</f>
        <v>750</v>
      </c>
      <c r="G1791" s="9">
        <f>IFERROR(__xludf.DUMMYFUNCTION("""COMPUTED_VALUE"""),6.0)</f>
        <v>6</v>
      </c>
      <c r="H1791" s="10">
        <f>IFERROR(__xludf.DUMMYFUNCTION("""COMPUTED_VALUE"""),1.0)</f>
        <v>1</v>
      </c>
      <c r="I1791" s="11">
        <f>IFERROR(__xludf.DUMMYFUNCTION("""COMPUTED_VALUE"""),705.0)</f>
        <v>705</v>
      </c>
      <c r="J1791" s="9" t="str">
        <f>IFERROR(__xludf.DUMMYFUNCTION("""COMPUTED_VALUE"""),"UK")</f>
        <v>UK</v>
      </c>
      <c r="K1791" s="8"/>
      <c r="L1791" s="12"/>
      <c r="M1791" s="13"/>
      <c r="N1791" s="13" t="str">
        <f>IFERROR(__xludf.DUMMYFUNCTION("IF(ISBLANK(M1791),"""",M1791*GOOGLEFINANCE(""USDGBP""))"),"")</f>
        <v/>
      </c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  <c r="FN1791" s="8"/>
      <c r="FO1791" s="8"/>
      <c r="FP1791" s="8"/>
      <c r="FQ1791" s="8"/>
      <c r="FR1791" s="8"/>
      <c r="FS1791" s="8"/>
      <c r="FT1791" s="8"/>
      <c r="FU1791" s="8"/>
      <c r="FV1791" s="8"/>
      <c r="FW1791" s="8"/>
      <c r="FX1791" s="8"/>
      <c r="FY1791" s="8"/>
      <c r="FZ1791" s="8"/>
      <c r="GA1791" s="8"/>
      <c r="GB1791" s="8"/>
      <c r="GC1791" s="8"/>
      <c r="GD1791" s="8"/>
      <c r="GE1791" s="8"/>
      <c r="GF1791" s="8"/>
      <c r="GG1791" s="8"/>
      <c r="GH1791" s="8"/>
      <c r="GI1791" s="8"/>
      <c r="GJ1791" s="8"/>
      <c r="GK1791" s="8"/>
      <c r="GL1791" s="8"/>
      <c r="GM1791" s="8"/>
      <c r="GN1791" s="8"/>
      <c r="GO1791" s="8"/>
      <c r="GP1791" s="8"/>
      <c r="GQ1791" s="8"/>
      <c r="GR1791" s="8"/>
      <c r="GS1791" s="8"/>
      <c r="GT1791" s="8"/>
      <c r="GU1791" s="8"/>
      <c r="GV1791" s="8"/>
      <c r="GW1791" s="8"/>
      <c r="GX1791" s="8"/>
    </row>
    <row r="1792">
      <c r="A1792" s="8" t="str">
        <f>IFERROR(__xludf.DUMMYFUNCTION("""COMPUTED_VALUE"""),"110001720110600750")</f>
        <v>110001720110600750</v>
      </c>
      <c r="B1792" s="9" t="str">
        <f>IFERROR(__xludf.DUMMYFUNCTION("""COMPUTED_VALUE"""),"Italy")</f>
        <v>Italy</v>
      </c>
      <c r="C1792" s="9" t="str">
        <f>IFERROR(__xludf.DUMMYFUNCTION("""COMPUTED_VALUE"""),"piedmont")</f>
        <v>piedmont</v>
      </c>
      <c r="D1792" s="9" t="str">
        <f>IFERROR(__xludf.DUMMYFUNCTION("""COMPUTED_VALUE"""),"Bruno Giacosa, Barolo, Falletto")</f>
        <v>Bruno Giacosa, Barolo, Falletto</v>
      </c>
      <c r="E1792" s="9">
        <f>IFERROR(__xludf.DUMMYFUNCTION("""COMPUTED_VALUE"""),2011.0)</f>
        <v>2011</v>
      </c>
      <c r="F1792" s="9">
        <f>IFERROR(__xludf.DUMMYFUNCTION("""COMPUTED_VALUE"""),750.0)</f>
        <v>750</v>
      </c>
      <c r="G1792" s="9">
        <f>IFERROR(__xludf.DUMMYFUNCTION("""COMPUTED_VALUE"""),6.0)</f>
        <v>6</v>
      </c>
      <c r="H1792" s="10">
        <f>IFERROR(__xludf.DUMMYFUNCTION("""COMPUTED_VALUE"""),3.0)</f>
        <v>3</v>
      </c>
      <c r="I1792" s="11">
        <f>IFERROR(__xludf.DUMMYFUNCTION("""COMPUTED_VALUE"""),656.0)</f>
        <v>656</v>
      </c>
      <c r="J1792" s="9" t="str">
        <f>IFERROR(__xludf.DUMMYFUNCTION("""COMPUTED_VALUE"""),"UK")</f>
        <v>UK</v>
      </c>
      <c r="K1792" s="8"/>
      <c r="L1792" s="12"/>
      <c r="M1792" s="13"/>
      <c r="N1792" s="13" t="str">
        <f>IFERROR(__xludf.DUMMYFUNCTION("IF(ISBLANK(M1792),"""",M1792*GOOGLEFINANCE(""USDGBP""))"),"")</f>
        <v/>
      </c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  <c r="FN1792" s="8"/>
      <c r="FO1792" s="8"/>
      <c r="FP1792" s="8"/>
      <c r="FQ1792" s="8"/>
      <c r="FR1792" s="8"/>
      <c r="FS1792" s="8"/>
      <c r="FT1792" s="8"/>
      <c r="FU1792" s="8"/>
      <c r="FV1792" s="8"/>
      <c r="FW1792" s="8"/>
      <c r="FX1792" s="8"/>
      <c r="FY1792" s="8"/>
      <c r="FZ1792" s="8"/>
      <c r="GA1792" s="8"/>
      <c r="GB1792" s="8"/>
      <c r="GC1792" s="8"/>
      <c r="GD1792" s="8"/>
      <c r="GE1792" s="8"/>
      <c r="GF1792" s="8"/>
      <c r="GG1792" s="8"/>
      <c r="GH1792" s="8"/>
      <c r="GI1792" s="8"/>
      <c r="GJ1792" s="8"/>
      <c r="GK1792" s="8"/>
      <c r="GL1792" s="8"/>
      <c r="GM1792" s="8"/>
      <c r="GN1792" s="8"/>
      <c r="GO1792" s="8"/>
      <c r="GP1792" s="8"/>
      <c r="GQ1792" s="8"/>
      <c r="GR1792" s="8"/>
      <c r="GS1792" s="8"/>
      <c r="GT1792" s="8"/>
      <c r="GU1792" s="8"/>
      <c r="GV1792" s="8"/>
      <c r="GW1792" s="8"/>
      <c r="GX1792" s="8"/>
    </row>
    <row r="1793">
      <c r="A1793" s="8" t="str">
        <f>IFERROR(__xludf.DUMMYFUNCTION("""COMPUTED_VALUE"""),"110001720120600750")</f>
        <v>110001720120600750</v>
      </c>
      <c r="B1793" s="9" t="str">
        <f>IFERROR(__xludf.DUMMYFUNCTION("""COMPUTED_VALUE"""),"Italy")</f>
        <v>Italy</v>
      </c>
      <c r="C1793" s="9" t="str">
        <f>IFERROR(__xludf.DUMMYFUNCTION("""COMPUTED_VALUE"""),"piedmont")</f>
        <v>piedmont</v>
      </c>
      <c r="D1793" s="9" t="str">
        <f>IFERROR(__xludf.DUMMYFUNCTION("""COMPUTED_VALUE"""),"Bruno Giacosa, Barolo, Falletto")</f>
        <v>Bruno Giacosa, Barolo, Falletto</v>
      </c>
      <c r="E1793" s="9">
        <f>IFERROR(__xludf.DUMMYFUNCTION("""COMPUTED_VALUE"""),2012.0)</f>
        <v>2012</v>
      </c>
      <c r="F1793" s="9">
        <f>IFERROR(__xludf.DUMMYFUNCTION("""COMPUTED_VALUE"""),750.0)</f>
        <v>750</v>
      </c>
      <c r="G1793" s="9">
        <f>IFERROR(__xludf.DUMMYFUNCTION("""COMPUTED_VALUE"""),6.0)</f>
        <v>6</v>
      </c>
      <c r="H1793" s="10">
        <f>IFERROR(__xludf.DUMMYFUNCTION("""COMPUTED_VALUE"""),2.0)</f>
        <v>2</v>
      </c>
      <c r="I1793" s="11">
        <f>IFERROR(__xludf.DUMMYFUNCTION("""COMPUTED_VALUE"""),565.0)</f>
        <v>565</v>
      </c>
      <c r="J1793" s="9" t="str">
        <f>IFERROR(__xludf.DUMMYFUNCTION("""COMPUTED_VALUE"""),"UK")</f>
        <v>UK</v>
      </c>
      <c r="K1793" s="8"/>
      <c r="L1793" s="12"/>
      <c r="M1793" s="13"/>
      <c r="N1793" s="13" t="str">
        <f>IFERROR(__xludf.DUMMYFUNCTION("IF(ISBLANK(M1793),"""",M1793*GOOGLEFINANCE(""USDGBP""))"),"")</f>
        <v/>
      </c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  <c r="GA1793" s="8"/>
      <c r="GB1793" s="8"/>
      <c r="GC1793" s="8"/>
      <c r="GD1793" s="8"/>
      <c r="GE1793" s="8"/>
      <c r="GF1793" s="8"/>
      <c r="GG1793" s="8"/>
      <c r="GH1793" s="8"/>
      <c r="GI1793" s="8"/>
      <c r="GJ1793" s="8"/>
      <c r="GK1793" s="8"/>
      <c r="GL1793" s="8"/>
      <c r="GM1793" s="8"/>
      <c r="GN1793" s="8"/>
      <c r="GO1793" s="8"/>
      <c r="GP1793" s="8"/>
      <c r="GQ1793" s="8"/>
      <c r="GR1793" s="8"/>
      <c r="GS1793" s="8"/>
      <c r="GT1793" s="8"/>
      <c r="GU1793" s="8"/>
      <c r="GV1793" s="8"/>
      <c r="GW1793" s="8"/>
      <c r="GX1793" s="8"/>
    </row>
    <row r="1794">
      <c r="A1794" s="8" t="str">
        <f>IFERROR(__xludf.DUMMYFUNCTION("""COMPUTED_VALUE"""),"110001720140600750")</f>
        <v>110001720140600750</v>
      </c>
      <c r="B1794" s="9" t="str">
        <f>IFERROR(__xludf.DUMMYFUNCTION("""COMPUTED_VALUE"""),"Italy")</f>
        <v>Italy</v>
      </c>
      <c r="C1794" s="9" t="str">
        <f>IFERROR(__xludf.DUMMYFUNCTION("""COMPUTED_VALUE"""),"piedmont")</f>
        <v>piedmont</v>
      </c>
      <c r="D1794" s="9" t="str">
        <f>IFERROR(__xludf.DUMMYFUNCTION("""COMPUTED_VALUE"""),"Bruno Giacosa, Barolo, Falletto")</f>
        <v>Bruno Giacosa, Barolo, Falletto</v>
      </c>
      <c r="E1794" s="9">
        <f>IFERROR(__xludf.DUMMYFUNCTION("""COMPUTED_VALUE"""),2014.0)</f>
        <v>2014</v>
      </c>
      <c r="F1794" s="9">
        <f>IFERROR(__xludf.DUMMYFUNCTION("""COMPUTED_VALUE"""),750.0)</f>
        <v>750</v>
      </c>
      <c r="G1794" s="9">
        <f>IFERROR(__xludf.DUMMYFUNCTION("""COMPUTED_VALUE"""),6.0)</f>
        <v>6</v>
      </c>
      <c r="H1794" s="10">
        <f>IFERROR(__xludf.DUMMYFUNCTION("""COMPUTED_VALUE"""),12.0)</f>
        <v>12</v>
      </c>
      <c r="I1794" s="11">
        <f>IFERROR(__xludf.DUMMYFUNCTION("""COMPUTED_VALUE"""),806.0)</f>
        <v>806</v>
      </c>
      <c r="J1794" s="9" t="str">
        <f>IFERROR(__xludf.DUMMYFUNCTION("""COMPUTED_VALUE"""),"UK")</f>
        <v>UK</v>
      </c>
      <c r="K1794" s="8"/>
      <c r="L1794" s="12"/>
      <c r="M1794" s="13"/>
      <c r="N1794" s="13" t="str">
        <f>IFERROR(__xludf.DUMMYFUNCTION("IF(ISBLANK(M1794),"""",M1794*GOOGLEFINANCE(""USDGBP""))"),"")</f>
        <v/>
      </c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  <c r="FN1794" s="8"/>
      <c r="FO1794" s="8"/>
      <c r="FP1794" s="8"/>
      <c r="FQ1794" s="8"/>
      <c r="FR1794" s="8"/>
      <c r="FS1794" s="8"/>
      <c r="FT1794" s="8"/>
      <c r="FU1794" s="8"/>
      <c r="FV1794" s="8"/>
      <c r="FW1794" s="8"/>
      <c r="FX1794" s="8"/>
      <c r="FY1794" s="8"/>
      <c r="FZ1794" s="8"/>
      <c r="GA1794" s="8"/>
      <c r="GB1794" s="8"/>
      <c r="GC1794" s="8"/>
      <c r="GD1794" s="8"/>
      <c r="GE1794" s="8"/>
      <c r="GF1794" s="8"/>
      <c r="GG1794" s="8"/>
      <c r="GH1794" s="8"/>
      <c r="GI1794" s="8"/>
      <c r="GJ1794" s="8"/>
      <c r="GK1794" s="8"/>
      <c r="GL1794" s="8"/>
      <c r="GM1794" s="8"/>
      <c r="GN1794" s="8"/>
      <c r="GO1794" s="8"/>
      <c r="GP1794" s="8"/>
      <c r="GQ1794" s="8"/>
      <c r="GR1794" s="8"/>
      <c r="GS1794" s="8"/>
      <c r="GT1794" s="8"/>
      <c r="GU1794" s="8"/>
      <c r="GV1794" s="8"/>
      <c r="GW1794" s="8"/>
      <c r="GX1794" s="8"/>
    </row>
    <row r="1795">
      <c r="A1795" s="8" t="str">
        <f>IFERROR(__xludf.DUMMYFUNCTION("""COMPUTED_VALUE"""),"110001720160600750")</f>
        <v>110001720160600750</v>
      </c>
      <c r="B1795" s="9" t="str">
        <f>IFERROR(__xludf.DUMMYFUNCTION("""COMPUTED_VALUE"""),"Italy")</f>
        <v>Italy</v>
      </c>
      <c r="C1795" s="9" t="str">
        <f>IFERROR(__xludf.DUMMYFUNCTION("""COMPUTED_VALUE"""),"piedmont")</f>
        <v>piedmont</v>
      </c>
      <c r="D1795" s="9" t="str">
        <f>IFERROR(__xludf.DUMMYFUNCTION("""COMPUTED_VALUE"""),"Bruno Giacosa, Barolo, Falletto")</f>
        <v>Bruno Giacosa, Barolo, Falletto</v>
      </c>
      <c r="E1795" s="9">
        <f>IFERROR(__xludf.DUMMYFUNCTION("""COMPUTED_VALUE"""),2016.0)</f>
        <v>2016</v>
      </c>
      <c r="F1795" s="9">
        <f>IFERROR(__xludf.DUMMYFUNCTION("""COMPUTED_VALUE"""),750.0)</f>
        <v>750</v>
      </c>
      <c r="G1795" s="9">
        <f>IFERROR(__xludf.DUMMYFUNCTION("""COMPUTED_VALUE"""),6.0)</f>
        <v>6</v>
      </c>
      <c r="H1795" s="10">
        <f>IFERROR(__xludf.DUMMYFUNCTION("""COMPUTED_VALUE"""),9.0)</f>
        <v>9</v>
      </c>
      <c r="I1795" s="11">
        <f>IFERROR(__xludf.DUMMYFUNCTION("""COMPUTED_VALUE"""),857.0)</f>
        <v>857</v>
      </c>
      <c r="J1795" s="9" t="str">
        <f>IFERROR(__xludf.DUMMYFUNCTION("""COMPUTED_VALUE"""),"UK")</f>
        <v>UK</v>
      </c>
      <c r="K1795" s="8"/>
      <c r="L1795" s="12"/>
      <c r="M1795" s="13"/>
      <c r="N1795" s="13" t="str">
        <f>IFERROR(__xludf.DUMMYFUNCTION("IF(ISBLANK(M1795),"""",M1795*GOOGLEFINANCE(""USDGBP""))"),"")</f>
        <v/>
      </c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  <c r="FN1795" s="8"/>
      <c r="FO1795" s="8"/>
      <c r="FP1795" s="8"/>
      <c r="FQ1795" s="8"/>
      <c r="FR1795" s="8"/>
      <c r="FS1795" s="8"/>
      <c r="FT1795" s="8"/>
      <c r="FU1795" s="8"/>
      <c r="FV1795" s="8"/>
      <c r="FW1795" s="8"/>
      <c r="FX1795" s="8"/>
      <c r="FY1795" s="8"/>
      <c r="FZ1795" s="8"/>
      <c r="GA1795" s="8"/>
      <c r="GB1795" s="8"/>
      <c r="GC1795" s="8"/>
      <c r="GD1795" s="8"/>
      <c r="GE1795" s="8"/>
      <c r="GF1795" s="8"/>
      <c r="GG1795" s="8"/>
      <c r="GH1795" s="8"/>
      <c r="GI1795" s="8"/>
      <c r="GJ1795" s="8"/>
      <c r="GK1795" s="8"/>
      <c r="GL1795" s="8"/>
      <c r="GM1795" s="8"/>
      <c r="GN1795" s="8"/>
      <c r="GO1795" s="8"/>
      <c r="GP1795" s="8"/>
      <c r="GQ1795" s="8"/>
      <c r="GR1795" s="8"/>
      <c r="GS1795" s="8"/>
      <c r="GT1795" s="8"/>
      <c r="GU1795" s="8"/>
      <c r="GV1795" s="8"/>
      <c r="GW1795" s="8"/>
      <c r="GX1795" s="8"/>
    </row>
    <row r="1796">
      <c r="A1796" s="8" t="str">
        <f>IFERROR(__xludf.DUMMYFUNCTION("""COMPUTED_VALUE"""),"110004620130600750")</f>
        <v>110004620130600750</v>
      </c>
      <c r="B1796" s="9" t="str">
        <f>IFERROR(__xludf.DUMMYFUNCTION("""COMPUTED_VALUE"""),"Italy")</f>
        <v>Italy</v>
      </c>
      <c r="C1796" s="9" t="str">
        <f>IFERROR(__xludf.DUMMYFUNCTION("""COMPUTED_VALUE"""),"piedmont")</f>
        <v>piedmont</v>
      </c>
      <c r="D1796" s="9" t="str">
        <f>IFERROR(__xludf.DUMMYFUNCTION("""COMPUTED_VALUE"""),"Bruno Giacosa, Barolo, Falletto Vigna Le Rocche")</f>
        <v>Bruno Giacosa, Barolo, Falletto Vigna Le Rocche</v>
      </c>
      <c r="E1796" s="9">
        <f>IFERROR(__xludf.DUMMYFUNCTION("""COMPUTED_VALUE"""),2013.0)</f>
        <v>2013</v>
      </c>
      <c r="F1796" s="9">
        <f>IFERROR(__xludf.DUMMYFUNCTION("""COMPUTED_VALUE"""),750.0)</f>
        <v>750</v>
      </c>
      <c r="G1796" s="9">
        <f>IFERROR(__xludf.DUMMYFUNCTION("""COMPUTED_VALUE"""),6.0)</f>
        <v>6</v>
      </c>
      <c r="H1796" s="10">
        <f>IFERROR(__xludf.DUMMYFUNCTION("""COMPUTED_VALUE"""),5.0)</f>
        <v>5</v>
      </c>
      <c r="I1796" s="11">
        <f>IFERROR(__xludf.DUMMYFUNCTION("""COMPUTED_VALUE"""),702.0)</f>
        <v>702</v>
      </c>
      <c r="J1796" s="9" t="str">
        <f>IFERROR(__xludf.DUMMYFUNCTION("""COMPUTED_VALUE"""),"UK")</f>
        <v>UK</v>
      </c>
      <c r="K1796" s="8"/>
      <c r="L1796" s="12"/>
      <c r="M1796" s="13"/>
      <c r="N1796" s="13" t="str">
        <f>IFERROR(__xludf.DUMMYFUNCTION("IF(ISBLANK(M1796),"""",M1796*GOOGLEFINANCE(""USDGBP""))"),"")</f>
        <v/>
      </c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  <c r="FN1796" s="8"/>
      <c r="FO1796" s="8"/>
      <c r="FP1796" s="8"/>
      <c r="FQ1796" s="8"/>
      <c r="FR1796" s="8"/>
      <c r="FS1796" s="8"/>
      <c r="FT1796" s="8"/>
      <c r="FU1796" s="8"/>
      <c r="FV1796" s="8"/>
      <c r="FW1796" s="8"/>
      <c r="FX1796" s="8"/>
      <c r="FY1796" s="8"/>
      <c r="FZ1796" s="8"/>
      <c r="GA1796" s="8"/>
      <c r="GB1796" s="8"/>
      <c r="GC1796" s="8"/>
      <c r="GD1796" s="8"/>
      <c r="GE1796" s="8"/>
      <c r="GF1796" s="8"/>
      <c r="GG1796" s="8"/>
      <c r="GH1796" s="8"/>
      <c r="GI1796" s="8"/>
      <c r="GJ1796" s="8"/>
      <c r="GK1796" s="8"/>
      <c r="GL1796" s="8"/>
      <c r="GM1796" s="8"/>
      <c r="GN1796" s="8"/>
      <c r="GO1796" s="8"/>
      <c r="GP1796" s="8"/>
      <c r="GQ1796" s="8"/>
      <c r="GR1796" s="8"/>
      <c r="GS1796" s="8"/>
      <c r="GT1796" s="8"/>
      <c r="GU1796" s="8"/>
      <c r="GV1796" s="8"/>
      <c r="GW1796" s="8"/>
      <c r="GX1796" s="8"/>
    </row>
    <row r="1797">
      <c r="A1797" s="8" t="str">
        <f>IFERROR(__xludf.DUMMYFUNCTION("""COMPUTED_VALUE"""),"110004620150600750")</f>
        <v>110004620150600750</v>
      </c>
      <c r="B1797" s="9" t="str">
        <f>IFERROR(__xludf.DUMMYFUNCTION("""COMPUTED_VALUE"""),"Italy")</f>
        <v>Italy</v>
      </c>
      <c r="C1797" s="9" t="str">
        <f>IFERROR(__xludf.DUMMYFUNCTION("""COMPUTED_VALUE"""),"piedmont")</f>
        <v>piedmont</v>
      </c>
      <c r="D1797" s="9" t="str">
        <f>IFERROR(__xludf.DUMMYFUNCTION("""COMPUTED_VALUE"""),"Bruno Giacosa, Barolo, Falletto Vigna Le Rocche")</f>
        <v>Bruno Giacosa, Barolo, Falletto Vigna Le Rocche</v>
      </c>
      <c r="E1797" s="9">
        <f>IFERROR(__xludf.DUMMYFUNCTION("""COMPUTED_VALUE"""),2015.0)</f>
        <v>2015</v>
      </c>
      <c r="F1797" s="9">
        <f>IFERROR(__xludf.DUMMYFUNCTION("""COMPUTED_VALUE"""),750.0)</f>
        <v>750</v>
      </c>
      <c r="G1797" s="9">
        <f>IFERROR(__xludf.DUMMYFUNCTION("""COMPUTED_VALUE"""),6.0)</f>
        <v>6</v>
      </c>
      <c r="H1797" s="10">
        <f>IFERROR(__xludf.DUMMYFUNCTION("""COMPUTED_VALUE"""),2.0)</f>
        <v>2</v>
      </c>
      <c r="I1797" s="11">
        <f>IFERROR(__xludf.DUMMYFUNCTION("""COMPUTED_VALUE"""),913.0)</f>
        <v>913</v>
      </c>
      <c r="J1797" s="9" t="str">
        <f>IFERROR(__xludf.DUMMYFUNCTION("""COMPUTED_VALUE"""),"UK")</f>
        <v>UK</v>
      </c>
      <c r="K1797" s="8"/>
      <c r="L1797" s="12"/>
      <c r="M1797" s="13"/>
      <c r="N1797" s="13" t="str">
        <f>IFERROR(__xludf.DUMMYFUNCTION("IF(ISBLANK(M1797),"""",M1797*GOOGLEFINANCE(""USDGBP""))"),"")</f>
        <v/>
      </c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/>
      <c r="FT1797" s="8"/>
      <c r="FU1797" s="8"/>
      <c r="FV1797" s="8"/>
      <c r="FW1797" s="8"/>
      <c r="FX1797" s="8"/>
      <c r="FY1797" s="8"/>
      <c r="FZ1797" s="8"/>
      <c r="GA1797" s="8"/>
      <c r="GB1797" s="8"/>
      <c r="GC1797" s="8"/>
      <c r="GD1797" s="8"/>
      <c r="GE1797" s="8"/>
      <c r="GF1797" s="8"/>
      <c r="GG1797" s="8"/>
      <c r="GH1797" s="8"/>
      <c r="GI1797" s="8"/>
      <c r="GJ1797" s="8"/>
      <c r="GK1797" s="8"/>
      <c r="GL1797" s="8"/>
      <c r="GM1797" s="8"/>
      <c r="GN1797" s="8"/>
      <c r="GO1797" s="8"/>
      <c r="GP1797" s="8"/>
      <c r="GQ1797" s="8"/>
      <c r="GR1797" s="8"/>
      <c r="GS1797" s="8"/>
      <c r="GT1797" s="8"/>
      <c r="GU1797" s="8"/>
      <c r="GV1797" s="8"/>
      <c r="GW1797" s="8"/>
      <c r="GX1797" s="8"/>
    </row>
    <row r="1798">
      <c r="A1798" s="8" t="str">
        <f>IFERROR(__xludf.DUMMYFUNCTION("""COMPUTED_VALUE"""),"110003320000600750")</f>
        <v>110003320000600750</v>
      </c>
      <c r="B1798" s="9" t="str">
        <f>IFERROR(__xludf.DUMMYFUNCTION("""COMPUTED_VALUE"""),"Italy")</f>
        <v>Italy</v>
      </c>
      <c r="C1798" s="9" t="str">
        <f>IFERROR(__xludf.DUMMYFUNCTION("""COMPUTED_VALUE"""),"piedmont")</f>
        <v>piedmont</v>
      </c>
      <c r="D1798" s="9" t="str">
        <f>IFERROR(__xludf.DUMMYFUNCTION("""COMPUTED_VALUE"""),"Bruno Giacosa, Barolo, Falletto Vigna Le Rocche Riserva")</f>
        <v>Bruno Giacosa, Barolo, Falletto Vigna Le Rocche Riserva</v>
      </c>
      <c r="E1798" s="9">
        <f>IFERROR(__xludf.DUMMYFUNCTION("""COMPUTED_VALUE"""),2000.0)</f>
        <v>2000</v>
      </c>
      <c r="F1798" s="9">
        <f>IFERROR(__xludf.DUMMYFUNCTION("""COMPUTED_VALUE"""),750.0)</f>
        <v>750</v>
      </c>
      <c r="G1798" s="9">
        <f>IFERROR(__xludf.DUMMYFUNCTION("""COMPUTED_VALUE"""),6.0)</f>
        <v>6</v>
      </c>
      <c r="H1798" s="10">
        <f>IFERROR(__xludf.DUMMYFUNCTION("""COMPUTED_VALUE"""),1.0)</f>
        <v>1</v>
      </c>
      <c r="I1798" s="11">
        <f>IFERROR(__xludf.DUMMYFUNCTION("""COMPUTED_VALUE"""),3800.0)</f>
        <v>3800</v>
      </c>
      <c r="J1798" s="9" t="str">
        <f>IFERROR(__xludf.DUMMYFUNCTION("""COMPUTED_VALUE"""),"UK")</f>
        <v>UK</v>
      </c>
      <c r="K1798" s="8"/>
      <c r="L1798" s="12"/>
      <c r="M1798" s="13"/>
      <c r="N1798" s="13" t="str">
        <f>IFERROR(__xludf.DUMMYFUNCTION("IF(ISBLANK(M1798),"""",M1798*GOOGLEFINANCE(""USDGBP""))"),"")</f>
        <v/>
      </c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  <c r="FN1798" s="8"/>
      <c r="FO1798" s="8"/>
      <c r="FP1798" s="8"/>
      <c r="FQ1798" s="8"/>
      <c r="FR1798" s="8"/>
      <c r="FS1798" s="8"/>
      <c r="FT1798" s="8"/>
      <c r="FU1798" s="8"/>
      <c r="FV1798" s="8"/>
      <c r="FW1798" s="8"/>
      <c r="FX1798" s="8"/>
      <c r="FY1798" s="8"/>
      <c r="FZ1798" s="8"/>
      <c r="GA1798" s="8"/>
      <c r="GB1798" s="8"/>
      <c r="GC1798" s="8"/>
      <c r="GD1798" s="8"/>
      <c r="GE1798" s="8"/>
      <c r="GF1798" s="8"/>
      <c r="GG1798" s="8"/>
      <c r="GH1798" s="8"/>
      <c r="GI1798" s="8"/>
      <c r="GJ1798" s="8"/>
      <c r="GK1798" s="8"/>
      <c r="GL1798" s="8"/>
      <c r="GM1798" s="8"/>
      <c r="GN1798" s="8"/>
      <c r="GO1798" s="8"/>
      <c r="GP1798" s="8"/>
      <c r="GQ1798" s="8"/>
      <c r="GR1798" s="8"/>
      <c r="GS1798" s="8"/>
      <c r="GT1798" s="8"/>
      <c r="GU1798" s="8"/>
      <c r="GV1798" s="8"/>
      <c r="GW1798" s="8"/>
      <c r="GX1798" s="8"/>
    </row>
    <row r="1799">
      <c r="A1799" s="8" t="str">
        <f>IFERROR(__xludf.DUMMYFUNCTION("""COMPUTED_VALUE"""),"110003320010600750")</f>
        <v>110003320010600750</v>
      </c>
      <c r="B1799" s="9" t="str">
        <f>IFERROR(__xludf.DUMMYFUNCTION("""COMPUTED_VALUE"""),"Italy")</f>
        <v>Italy</v>
      </c>
      <c r="C1799" s="9" t="str">
        <f>IFERROR(__xludf.DUMMYFUNCTION("""COMPUTED_VALUE"""),"piedmont")</f>
        <v>piedmont</v>
      </c>
      <c r="D1799" s="9" t="str">
        <f>IFERROR(__xludf.DUMMYFUNCTION("""COMPUTED_VALUE"""),"Bruno Giacosa, Barolo, Falletto Vigna Le Rocche Riserva")</f>
        <v>Bruno Giacosa, Barolo, Falletto Vigna Le Rocche Riserva</v>
      </c>
      <c r="E1799" s="9">
        <f>IFERROR(__xludf.DUMMYFUNCTION("""COMPUTED_VALUE"""),2001.0)</f>
        <v>2001</v>
      </c>
      <c r="F1799" s="9">
        <f>IFERROR(__xludf.DUMMYFUNCTION("""COMPUTED_VALUE"""),750.0)</f>
        <v>750</v>
      </c>
      <c r="G1799" s="9">
        <f>IFERROR(__xludf.DUMMYFUNCTION("""COMPUTED_VALUE"""),6.0)</f>
        <v>6</v>
      </c>
      <c r="H1799" s="10">
        <f>IFERROR(__xludf.DUMMYFUNCTION("""COMPUTED_VALUE"""),1.0)</f>
        <v>1</v>
      </c>
      <c r="I1799" s="11">
        <f>IFERROR(__xludf.DUMMYFUNCTION("""COMPUTED_VALUE"""),4469.0)</f>
        <v>4469</v>
      </c>
      <c r="J1799" s="9" t="str">
        <f>IFERROR(__xludf.DUMMYFUNCTION("""COMPUTED_VALUE"""),"UK")</f>
        <v>UK</v>
      </c>
      <c r="K1799" s="8"/>
      <c r="L1799" s="12"/>
      <c r="M1799" s="13"/>
      <c r="N1799" s="13" t="str">
        <f>IFERROR(__xludf.DUMMYFUNCTION("IF(ISBLANK(M1799),"""",M1799*GOOGLEFINANCE(""USDGBP""))"),"")</f>
        <v/>
      </c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  <c r="GA1799" s="8"/>
      <c r="GB1799" s="8"/>
      <c r="GC1799" s="8"/>
      <c r="GD1799" s="8"/>
      <c r="GE1799" s="8"/>
      <c r="GF1799" s="8"/>
      <c r="GG1799" s="8"/>
      <c r="GH1799" s="8"/>
      <c r="GI1799" s="8"/>
      <c r="GJ1799" s="8"/>
      <c r="GK1799" s="8"/>
      <c r="GL1799" s="8"/>
      <c r="GM1799" s="8"/>
      <c r="GN1799" s="8"/>
      <c r="GO1799" s="8"/>
      <c r="GP1799" s="8"/>
      <c r="GQ1799" s="8"/>
      <c r="GR1799" s="8"/>
      <c r="GS1799" s="8"/>
      <c r="GT1799" s="8"/>
      <c r="GU1799" s="8"/>
      <c r="GV1799" s="8"/>
      <c r="GW1799" s="8"/>
      <c r="GX1799" s="8"/>
    </row>
    <row r="1800">
      <c r="A1800" s="8" t="str">
        <f>IFERROR(__xludf.DUMMYFUNCTION("""COMPUTED_VALUE"""),"110003320010301500")</f>
        <v>110003320010301500</v>
      </c>
      <c r="B1800" s="9" t="str">
        <f>IFERROR(__xludf.DUMMYFUNCTION("""COMPUTED_VALUE"""),"Italy")</f>
        <v>Italy</v>
      </c>
      <c r="C1800" s="9" t="str">
        <f>IFERROR(__xludf.DUMMYFUNCTION("""COMPUTED_VALUE"""),"piedmont")</f>
        <v>piedmont</v>
      </c>
      <c r="D1800" s="9" t="str">
        <f>IFERROR(__xludf.DUMMYFUNCTION("""COMPUTED_VALUE"""),"Bruno Giacosa, Barolo, Falletto Vigna Le Rocche Riserva")</f>
        <v>Bruno Giacosa, Barolo, Falletto Vigna Le Rocche Riserva</v>
      </c>
      <c r="E1800" s="9">
        <f>IFERROR(__xludf.DUMMYFUNCTION("""COMPUTED_VALUE"""),2001.0)</f>
        <v>2001</v>
      </c>
      <c r="F1800" s="9">
        <f>IFERROR(__xludf.DUMMYFUNCTION("""COMPUTED_VALUE"""),1500.0)</f>
        <v>1500</v>
      </c>
      <c r="G1800" s="9">
        <f>IFERROR(__xludf.DUMMYFUNCTION("""COMPUTED_VALUE"""),3.0)</f>
        <v>3</v>
      </c>
      <c r="H1800" s="10">
        <f>IFERROR(__xludf.DUMMYFUNCTION("""COMPUTED_VALUE"""),1.0)</f>
        <v>1</v>
      </c>
      <c r="I1800" s="11">
        <f>IFERROR(__xludf.DUMMYFUNCTION("""COMPUTED_VALUE"""),5256.0)</f>
        <v>5256</v>
      </c>
      <c r="J1800" s="9" t="str">
        <f>IFERROR(__xludf.DUMMYFUNCTION("""COMPUTED_VALUE"""),"UK")</f>
        <v>UK</v>
      </c>
      <c r="K1800" s="8"/>
      <c r="L1800" s="12"/>
      <c r="M1800" s="13"/>
      <c r="N1800" s="13" t="str">
        <f>IFERROR(__xludf.DUMMYFUNCTION("IF(ISBLANK(M1800),"""",M1800*GOOGLEFINANCE(""USDGBP""))"),"")</f>
        <v/>
      </c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  <c r="FN1800" s="8"/>
      <c r="FO1800" s="8"/>
      <c r="FP1800" s="8"/>
      <c r="FQ1800" s="8"/>
      <c r="FR1800" s="8"/>
      <c r="FS1800" s="8"/>
      <c r="FT1800" s="8"/>
      <c r="FU1800" s="8"/>
      <c r="FV1800" s="8"/>
      <c r="FW1800" s="8"/>
      <c r="FX1800" s="8"/>
      <c r="FY1800" s="8"/>
      <c r="FZ1800" s="8"/>
      <c r="GA1800" s="8"/>
      <c r="GB1800" s="8"/>
      <c r="GC1800" s="8"/>
      <c r="GD1800" s="8"/>
      <c r="GE1800" s="8"/>
      <c r="GF1800" s="8"/>
      <c r="GG1800" s="8"/>
      <c r="GH1800" s="8"/>
      <c r="GI1800" s="8"/>
      <c r="GJ1800" s="8"/>
      <c r="GK1800" s="8"/>
      <c r="GL1800" s="8"/>
      <c r="GM1800" s="8"/>
      <c r="GN1800" s="8"/>
      <c r="GO1800" s="8"/>
      <c r="GP1800" s="8"/>
      <c r="GQ1800" s="8"/>
      <c r="GR1800" s="8"/>
      <c r="GS1800" s="8"/>
      <c r="GT1800" s="8"/>
      <c r="GU1800" s="8"/>
      <c r="GV1800" s="8"/>
      <c r="GW1800" s="8"/>
      <c r="GX1800" s="8"/>
    </row>
    <row r="1801">
      <c r="A1801" s="8" t="str">
        <f>IFERROR(__xludf.DUMMYFUNCTION("""COMPUTED_VALUE"""),"110003320040600750")</f>
        <v>110003320040600750</v>
      </c>
      <c r="B1801" s="9" t="str">
        <f>IFERROR(__xludf.DUMMYFUNCTION("""COMPUTED_VALUE"""),"Italy")</f>
        <v>Italy</v>
      </c>
      <c r="C1801" s="9" t="str">
        <f>IFERROR(__xludf.DUMMYFUNCTION("""COMPUTED_VALUE"""),"piedmont")</f>
        <v>piedmont</v>
      </c>
      <c r="D1801" s="9" t="str">
        <f>IFERROR(__xludf.DUMMYFUNCTION("""COMPUTED_VALUE"""),"Bruno Giacosa, Barolo, Falletto Vigna Le Rocche Riserva")</f>
        <v>Bruno Giacosa, Barolo, Falletto Vigna Le Rocche Riserva</v>
      </c>
      <c r="E1801" s="9">
        <f>IFERROR(__xludf.DUMMYFUNCTION("""COMPUTED_VALUE"""),2004.0)</f>
        <v>2004</v>
      </c>
      <c r="F1801" s="9">
        <f>IFERROR(__xludf.DUMMYFUNCTION("""COMPUTED_VALUE"""),750.0)</f>
        <v>750</v>
      </c>
      <c r="G1801" s="9">
        <f>IFERROR(__xludf.DUMMYFUNCTION("""COMPUTED_VALUE"""),6.0)</f>
        <v>6</v>
      </c>
      <c r="H1801" s="10">
        <f>IFERROR(__xludf.DUMMYFUNCTION("""COMPUTED_VALUE"""),1.0)</f>
        <v>1</v>
      </c>
      <c r="I1801" s="11">
        <f>IFERROR(__xludf.DUMMYFUNCTION("""COMPUTED_VALUE"""),4974.0)</f>
        <v>4974</v>
      </c>
      <c r="J1801" s="9" t="str">
        <f>IFERROR(__xludf.DUMMYFUNCTION("""COMPUTED_VALUE"""),"UK")</f>
        <v>UK</v>
      </c>
      <c r="K1801" s="8"/>
      <c r="L1801" s="12"/>
      <c r="M1801" s="13"/>
      <c r="N1801" s="13" t="str">
        <f>IFERROR(__xludf.DUMMYFUNCTION("IF(ISBLANK(M1801),"""",M1801*GOOGLEFINANCE(""USDGBP""))"),"")</f>
        <v/>
      </c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  <c r="FN1801" s="8"/>
      <c r="FO1801" s="8"/>
      <c r="FP1801" s="8"/>
      <c r="FQ1801" s="8"/>
      <c r="FR1801" s="8"/>
      <c r="FS1801" s="8"/>
      <c r="FT1801" s="8"/>
      <c r="FU1801" s="8"/>
      <c r="FV1801" s="8"/>
      <c r="FW1801" s="8"/>
      <c r="FX1801" s="8"/>
      <c r="FY1801" s="8"/>
      <c r="FZ1801" s="8"/>
      <c r="GA1801" s="8"/>
      <c r="GB1801" s="8"/>
      <c r="GC1801" s="8"/>
      <c r="GD1801" s="8"/>
      <c r="GE1801" s="8"/>
      <c r="GF1801" s="8"/>
      <c r="GG1801" s="8"/>
      <c r="GH1801" s="8"/>
      <c r="GI1801" s="8"/>
      <c r="GJ1801" s="8"/>
      <c r="GK1801" s="8"/>
      <c r="GL1801" s="8"/>
      <c r="GM1801" s="8"/>
      <c r="GN1801" s="8"/>
      <c r="GO1801" s="8"/>
      <c r="GP1801" s="8"/>
      <c r="GQ1801" s="8"/>
      <c r="GR1801" s="8"/>
      <c r="GS1801" s="8"/>
      <c r="GT1801" s="8"/>
      <c r="GU1801" s="8"/>
      <c r="GV1801" s="8"/>
      <c r="GW1801" s="8"/>
      <c r="GX1801" s="8"/>
    </row>
    <row r="1802">
      <c r="A1802" s="8" t="str">
        <f>IFERROR(__xludf.DUMMYFUNCTION("""COMPUTED_VALUE"""),"110003320120600750")</f>
        <v>110003320120600750</v>
      </c>
      <c r="B1802" s="9" t="str">
        <f>IFERROR(__xludf.DUMMYFUNCTION("""COMPUTED_VALUE"""),"Italy")</f>
        <v>Italy</v>
      </c>
      <c r="C1802" s="9" t="str">
        <f>IFERROR(__xludf.DUMMYFUNCTION("""COMPUTED_VALUE"""),"piedmont")</f>
        <v>piedmont</v>
      </c>
      <c r="D1802" s="9" t="str">
        <f>IFERROR(__xludf.DUMMYFUNCTION("""COMPUTED_VALUE"""),"Bruno Giacosa, Barolo, Falletto Vigna Le Rocche Riserva")</f>
        <v>Bruno Giacosa, Barolo, Falletto Vigna Le Rocche Riserva</v>
      </c>
      <c r="E1802" s="9">
        <f>IFERROR(__xludf.DUMMYFUNCTION("""COMPUTED_VALUE"""),2012.0)</f>
        <v>2012</v>
      </c>
      <c r="F1802" s="9">
        <f>IFERROR(__xludf.DUMMYFUNCTION("""COMPUTED_VALUE"""),750.0)</f>
        <v>750</v>
      </c>
      <c r="G1802" s="9">
        <f>IFERROR(__xludf.DUMMYFUNCTION("""COMPUTED_VALUE"""),6.0)</f>
        <v>6</v>
      </c>
      <c r="H1802" s="10">
        <f>IFERROR(__xludf.DUMMYFUNCTION("""COMPUTED_VALUE"""),2.0)</f>
        <v>2</v>
      </c>
      <c r="I1802" s="11">
        <f>IFERROR(__xludf.DUMMYFUNCTION("""COMPUTED_VALUE"""),1675.0)</f>
        <v>1675</v>
      </c>
      <c r="J1802" s="9" t="str">
        <f>IFERROR(__xludf.DUMMYFUNCTION("""COMPUTED_VALUE"""),"UK")</f>
        <v>UK</v>
      </c>
      <c r="K1802" s="8"/>
      <c r="L1802" s="12"/>
      <c r="M1802" s="13"/>
      <c r="N1802" s="13" t="str">
        <f>IFERROR(__xludf.DUMMYFUNCTION("IF(ISBLANK(M1802),"""",M1802*GOOGLEFINANCE(""USDGBP""))"),"")</f>
        <v/>
      </c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  <c r="FN1802" s="8"/>
      <c r="FO1802" s="8"/>
      <c r="FP1802" s="8"/>
      <c r="FQ1802" s="8"/>
      <c r="FR1802" s="8"/>
      <c r="FS1802" s="8"/>
      <c r="FT1802" s="8"/>
      <c r="FU1802" s="8"/>
      <c r="FV1802" s="8"/>
      <c r="FW1802" s="8"/>
      <c r="FX1802" s="8"/>
      <c r="FY1802" s="8"/>
      <c r="FZ1802" s="8"/>
      <c r="GA1802" s="8"/>
      <c r="GB1802" s="8"/>
      <c r="GC1802" s="8"/>
      <c r="GD1802" s="8"/>
      <c r="GE1802" s="8"/>
      <c r="GF1802" s="8"/>
      <c r="GG1802" s="8"/>
      <c r="GH1802" s="8"/>
      <c r="GI1802" s="8"/>
      <c r="GJ1802" s="8"/>
      <c r="GK1802" s="8"/>
      <c r="GL1802" s="8"/>
      <c r="GM1802" s="8"/>
      <c r="GN1802" s="8"/>
      <c r="GO1802" s="8"/>
      <c r="GP1802" s="8"/>
      <c r="GQ1802" s="8"/>
      <c r="GR1802" s="8"/>
      <c r="GS1802" s="8"/>
      <c r="GT1802" s="8"/>
      <c r="GU1802" s="8"/>
      <c r="GV1802" s="8"/>
      <c r="GW1802" s="8"/>
      <c r="GX1802" s="8"/>
    </row>
    <row r="1803">
      <c r="A1803" s="8" t="str">
        <f>IFERROR(__xludf.DUMMYFUNCTION("""COMPUTED_VALUE"""),"110003320120301500")</f>
        <v>110003320120301500</v>
      </c>
      <c r="B1803" s="9" t="str">
        <f>IFERROR(__xludf.DUMMYFUNCTION("""COMPUTED_VALUE"""),"Italy")</f>
        <v>Italy</v>
      </c>
      <c r="C1803" s="9" t="str">
        <f>IFERROR(__xludf.DUMMYFUNCTION("""COMPUTED_VALUE"""),"piedmont")</f>
        <v>piedmont</v>
      </c>
      <c r="D1803" s="9" t="str">
        <f>IFERROR(__xludf.DUMMYFUNCTION("""COMPUTED_VALUE"""),"Bruno Giacosa, Barolo, Falletto Vigna Le Rocche Riserva")</f>
        <v>Bruno Giacosa, Barolo, Falletto Vigna Le Rocche Riserva</v>
      </c>
      <c r="E1803" s="9">
        <f>IFERROR(__xludf.DUMMYFUNCTION("""COMPUTED_VALUE"""),2012.0)</f>
        <v>2012</v>
      </c>
      <c r="F1803" s="9">
        <f>IFERROR(__xludf.DUMMYFUNCTION("""COMPUTED_VALUE"""),1500.0)</f>
        <v>1500</v>
      </c>
      <c r="G1803" s="9">
        <f>IFERROR(__xludf.DUMMYFUNCTION("""COMPUTED_VALUE"""),3.0)</f>
        <v>3</v>
      </c>
      <c r="H1803" s="10">
        <f>IFERROR(__xludf.DUMMYFUNCTION("""COMPUTED_VALUE"""),1.0)</f>
        <v>1</v>
      </c>
      <c r="I1803" s="11">
        <f>IFERROR(__xludf.DUMMYFUNCTION("""COMPUTED_VALUE"""),1644.0)</f>
        <v>1644</v>
      </c>
      <c r="J1803" s="9" t="str">
        <f>IFERROR(__xludf.DUMMYFUNCTION("""COMPUTED_VALUE"""),"UK")</f>
        <v>UK</v>
      </c>
      <c r="K1803" s="8"/>
      <c r="L1803" s="12"/>
      <c r="M1803" s="13"/>
      <c r="N1803" s="13" t="str">
        <f>IFERROR(__xludf.DUMMYFUNCTION("IF(ISBLANK(M1803),"""",M1803*GOOGLEFINANCE(""USDGBP""))"),"")</f>
        <v/>
      </c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  <c r="FN1803" s="8"/>
      <c r="FO1803" s="8"/>
      <c r="FP1803" s="8"/>
      <c r="FQ1803" s="8"/>
      <c r="FR1803" s="8"/>
      <c r="FS1803" s="8"/>
      <c r="FT1803" s="8"/>
      <c r="FU1803" s="8"/>
      <c r="FV1803" s="8"/>
      <c r="FW1803" s="8"/>
      <c r="FX1803" s="8"/>
      <c r="FY1803" s="8"/>
      <c r="FZ1803" s="8"/>
      <c r="GA1803" s="8"/>
      <c r="GB1803" s="8"/>
      <c r="GC1803" s="8"/>
      <c r="GD1803" s="8"/>
      <c r="GE1803" s="8"/>
      <c r="GF1803" s="8"/>
      <c r="GG1803" s="8"/>
      <c r="GH1803" s="8"/>
      <c r="GI1803" s="8"/>
      <c r="GJ1803" s="8"/>
      <c r="GK1803" s="8"/>
      <c r="GL1803" s="8"/>
      <c r="GM1803" s="8"/>
      <c r="GN1803" s="8"/>
      <c r="GO1803" s="8"/>
      <c r="GP1803" s="8"/>
      <c r="GQ1803" s="8"/>
      <c r="GR1803" s="8"/>
      <c r="GS1803" s="8"/>
      <c r="GT1803" s="8"/>
      <c r="GU1803" s="8"/>
      <c r="GV1803" s="8"/>
      <c r="GW1803" s="8"/>
      <c r="GX1803" s="8"/>
    </row>
    <row r="1804">
      <c r="A1804" s="8" t="str">
        <f>IFERROR(__xludf.DUMMYFUNCTION("""COMPUTED_VALUE"""),"110003320140600750")</f>
        <v>110003320140600750</v>
      </c>
      <c r="B1804" s="9" t="str">
        <f>IFERROR(__xludf.DUMMYFUNCTION("""COMPUTED_VALUE"""),"Italy")</f>
        <v>Italy</v>
      </c>
      <c r="C1804" s="9" t="str">
        <f>IFERROR(__xludf.DUMMYFUNCTION("""COMPUTED_VALUE"""),"piedmont")</f>
        <v>piedmont</v>
      </c>
      <c r="D1804" s="9" t="str">
        <f>IFERROR(__xludf.DUMMYFUNCTION("""COMPUTED_VALUE"""),"Bruno Giacosa, Barolo, Falletto Vigna Le Rocche Riserva")</f>
        <v>Bruno Giacosa, Barolo, Falletto Vigna Le Rocche Riserva</v>
      </c>
      <c r="E1804" s="9">
        <f>IFERROR(__xludf.DUMMYFUNCTION("""COMPUTED_VALUE"""),2014.0)</f>
        <v>2014</v>
      </c>
      <c r="F1804" s="9">
        <f>IFERROR(__xludf.DUMMYFUNCTION("""COMPUTED_VALUE"""),750.0)</f>
        <v>750</v>
      </c>
      <c r="G1804" s="9">
        <f>IFERROR(__xludf.DUMMYFUNCTION("""COMPUTED_VALUE"""),6.0)</f>
        <v>6</v>
      </c>
      <c r="H1804" s="10">
        <f>IFERROR(__xludf.DUMMYFUNCTION("""COMPUTED_VALUE"""),5.0)</f>
        <v>5</v>
      </c>
      <c r="I1804" s="11">
        <f>IFERROR(__xludf.DUMMYFUNCTION("""COMPUTED_VALUE"""),1774.0)</f>
        <v>1774</v>
      </c>
      <c r="J1804" s="9" t="str">
        <f>IFERROR(__xludf.DUMMYFUNCTION("""COMPUTED_VALUE"""),"UK")</f>
        <v>UK</v>
      </c>
      <c r="K1804" s="8"/>
      <c r="L1804" s="12"/>
      <c r="M1804" s="13"/>
      <c r="N1804" s="13" t="str">
        <f>IFERROR(__xludf.DUMMYFUNCTION("IF(ISBLANK(M1804),"""",M1804*GOOGLEFINANCE(""USDGBP""))"),"")</f>
        <v/>
      </c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  <c r="FN1804" s="8"/>
      <c r="FO1804" s="8"/>
      <c r="FP1804" s="8"/>
      <c r="FQ1804" s="8"/>
      <c r="FR1804" s="8"/>
      <c r="FS1804" s="8"/>
      <c r="FT1804" s="8"/>
      <c r="FU1804" s="8"/>
      <c r="FV1804" s="8"/>
      <c r="FW1804" s="8"/>
      <c r="FX1804" s="8"/>
      <c r="FY1804" s="8"/>
      <c r="FZ1804" s="8"/>
      <c r="GA1804" s="8"/>
      <c r="GB1804" s="8"/>
      <c r="GC1804" s="8"/>
      <c r="GD1804" s="8"/>
      <c r="GE1804" s="8"/>
      <c r="GF1804" s="8"/>
      <c r="GG1804" s="8"/>
      <c r="GH1804" s="8"/>
      <c r="GI1804" s="8"/>
      <c r="GJ1804" s="8"/>
      <c r="GK1804" s="8"/>
      <c r="GL1804" s="8"/>
      <c r="GM1804" s="8"/>
      <c r="GN1804" s="8"/>
      <c r="GO1804" s="8"/>
      <c r="GP1804" s="8"/>
      <c r="GQ1804" s="8"/>
      <c r="GR1804" s="8"/>
      <c r="GS1804" s="8"/>
      <c r="GT1804" s="8"/>
      <c r="GU1804" s="8"/>
      <c r="GV1804" s="8"/>
      <c r="GW1804" s="8"/>
      <c r="GX1804" s="8"/>
    </row>
    <row r="1805">
      <c r="A1805" s="8" t="str">
        <f>IFERROR(__xludf.DUMMYFUNCTION("""COMPUTED_VALUE"""),"110003320140101500")</f>
        <v>110003320140101500</v>
      </c>
      <c r="B1805" s="9" t="str">
        <f>IFERROR(__xludf.DUMMYFUNCTION("""COMPUTED_VALUE"""),"Italy")</f>
        <v>Italy</v>
      </c>
      <c r="C1805" s="9" t="str">
        <f>IFERROR(__xludf.DUMMYFUNCTION("""COMPUTED_VALUE"""),"piedmont")</f>
        <v>piedmont</v>
      </c>
      <c r="D1805" s="9" t="str">
        <f>IFERROR(__xludf.DUMMYFUNCTION("""COMPUTED_VALUE"""),"Bruno Giacosa, Barolo, Falletto Vigna Le Rocche Riserva")</f>
        <v>Bruno Giacosa, Barolo, Falletto Vigna Le Rocche Riserva</v>
      </c>
      <c r="E1805" s="9">
        <f>IFERROR(__xludf.DUMMYFUNCTION("""COMPUTED_VALUE"""),2014.0)</f>
        <v>2014</v>
      </c>
      <c r="F1805" s="9">
        <f>IFERROR(__xludf.DUMMYFUNCTION("""COMPUTED_VALUE"""),1500.0)</f>
        <v>1500</v>
      </c>
      <c r="G1805" s="9">
        <f>IFERROR(__xludf.DUMMYFUNCTION("""COMPUTED_VALUE"""),1.0)</f>
        <v>1</v>
      </c>
      <c r="H1805" s="10">
        <f>IFERROR(__xludf.DUMMYFUNCTION("""COMPUTED_VALUE"""),1.0)</f>
        <v>1</v>
      </c>
      <c r="I1805" s="11">
        <f>IFERROR(__xludf.DUMMYFUNCTION("""COMPUTED_VALUE"""),591.0)</f>
        <v>591</v>
      </c>
      <c r="J1805" s="9" t="str">
        <f>IFERROR(__xludf.DUMMYFUNCTION("""COMPUTED_VALUE"""),"UK")</f>
        <v>UK</v>
      </c>
      <c r="K1805" s="8"/>
      <c r="L1805" s="12"/>
      <c r="M1805" s="13"/>
      <c r="N1805" s="13" t="str">
        <f>IFERROR(__xludf.DUMMYFUNCTION("IF(ISBLANK(M1805),"""",M1805*GOOGLEFINANCE(""USDGBP""))"),"")</f>
        <v/>
      </c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  <c r="FN1805" s="8"/>
      <c r="FO1805" s="8"/>
      <c r="FP1805" s="8"/>
      <c r="FQ1805" s="8"/>
      <c r="FR1805" s="8"/>
      <c r="FS1805" s="8"/>
      <c r="FT1805" s="8"/>
      <c r="FU1805" s="8"/>
      <c r="FV1805" s="8"/>
      <c r="FW1805" s="8"/>
      <c r="FX1805" s="8"/>
      <c r="FY1805" s="8"/>
      <c r="FZ1805" s="8"/>
      <c r="GA1805" s="8"/>
      <c r="GB1805" s="8"/>
      <c r="GC1805" s="8"/>
      <c r="GD1805" s="8"/>
      <c r="GE1805" s="8"/>
      <c r="GF1805" s="8"/>
      <c r="GG1805" s="8"/>
      <c r="GH1805" s="8"/>
      <c r="GI1805" s="8"/>
      <c r="GJ1805" s="8"/>
      <c r="GK1805" s="8"/>
      <c r="GL1805" s="8"/>
      <c r="GM1805" s="8"/>
      <c r="GN1805" s="8"/>
      <c r="GO1805" s="8"/>
      <c r="GP1805" s="8"/>
      <c r="GQ1805" s="8"/>
      <c r="GR1805" s="8"/>
      <c r="GS1805" s="8"/>
      <c r="GT1805" s="8"/>
      <c r="GU1805" s="8"/>
      <c r="GV1805" s="8"/>
      <c r="GW1805" s="8"/>
      <c r="GX1805" s="8"/>
    </row>
    <row r="1806">
      <c r="A1806" s="8" t="str">
        <f>IFERROR(__xludf.DUMMYFUNCTION("""COMPUTED_VALUE"""),"131746620150600750")</f>
        <v>131746620150600750</v>
      </c>
      <c r="B1806" s="9" t="str">
        <f>IFERROR(__xludf.DUMMYFUNCTION("""COMPUTED_VALUE"""),"Italy")</f>
        <v>Italy</v>
      </c>
      <c r="C1806" s="9" t="str">
        <f>IFERROR(__xludf.DUMMYFUNCTION("""COMPUTED_VALUE"""),"piedmont")</f>
        <v>piedmont</v>
      </c>
      <c r="D1806" s="9" t="str">
        <f>IFERROR(__xludf.DUMMYFUNCTION("""COMPUTED_VALUE"""),"Cappellano, Barolo, Pie Rupestris")</f>
        <v>Cappellano, Barolo, Pie Rupestris</v>
      </c>
      <c r="E1806" s="9">
        <f>IFERROR(__xludf.DUMMYFUNCTION("""COMPUTED_VALUE"""),2015.0)</f>
        <v>2015</v>
      </c>
      <c r="F1806" s="9">
        <f>IFERROR(__xludf.DUMMYFUNCTION("""COMPUTED_VALUE"""),750.0)</f>
        <v>750</v>
      </c>
      <c r="G1806" s="9">
        <f>IFERROR(__xludf.DUMMYFUNCTION("""COMPUTED_VALUE"""),6.0)</f>
        <v>6</v>
      </c>
      <c r="H1806" s="10">
        <f>IFERROR(__xludf.DUMMYFUNCTION("""COMPUTED_VALUE"""),1.0)</f>
        <v>1</v>
      </c>
      <c r="I1806" s="11">
        <f>IFERROR(__xludf.DUMMYFUNCTION("""COMPUTED_VALUE"""),1136.0)</f>
        <v>1136</v>
      </c>
      <c r="J1806" s="9" t="str">
        <f>IFERROR(__xludf.DUMMYFUNCTION("""COMPUTED_VALUE"""),"UK")</f>
        <v>UK</v>
      </c>
      <c r="K1806" s="8"/>
      <c r="L1806" s="12"/>
      <c r="M1806" s="13"/>
      <c r="N1806" s="13" t="str">
        <f>IFERROR(__xludf.DUMMYFUNCTION("IF(ISBLANK(M1806),"""",M1806*GOOGLEFINANCE(""USDGBP""))"),"")</f>
        <v/>
      </c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H1806" s="8"/>
      <c r="FI1806" s="8"/>
      <c r="FJ1806" s="8"/>
      <c r="FK1806" s="8"/>
      <c r="FL1806" s="8"/>
      <c r="FM1806" s="8"/>
      <c r="FN1806" s="8"/>
      <c r="FO1806" s="8"/>
      <c r="FP1806" s="8"/>
      <c r="FQ1806" s="8"/>
      <c r="FR1806" s="8"/>
      <c r="FS1806" s="8"/>
      <c r="FT1806" s="8"/>
      <c r="FU1806" s="8"/>
      <c r="FV1806" s="8"/>
      <c r="FW1806" s="8"/>
      <c r="FX1806" s="8"/>
      <c r="FY1806" s="8"/>
      <c r="FZ1806" s="8"/>
      <c r="GA1806" s="8"/>
      <c r="GB1806" s="8"/>
      <c r="GC1806" s="8"/>
      <c r="GD1806" s="8"/>
      <c r="GE1806" s="8"/>
      <c r="GF1806" s="8"/>
      <c r="GG1806" s="8"/>
      <c r="GH1806" s="8"/>
      <c r="GI1806" s="8"/>
      <c r="GJ1806" s="8"/>
      <c r="GK1806" s="8"/>
      <c r="GL1806" s="8"/>
      <c r="GM1806" s="8"/>
      <c r="GN1806" s="8"/>
      <c r="GO1806" s="8"/>
      <c r="GP1806" s="8"/>
      <c r="GQ1806" s="8"/>
      <c r="GR1806" s="8"/>
      <c r="GS1806" s="8"/>
      <c r="GT1806" s="8"/>
      <c r="GU1806" s="8"/>
      <c r="GV1806" s="8"/>
      <c r="GW1806" s="8"/>
      <c r="GX1806" s="8"/>
    </row>
    <row r="1807">
      <c r="A1807" s="8" t="str">
        <f>IFERROR(__xludf.DUMMYFUNCTION("""COMPUTED_VALUE"""),"131746620160600750")</f>
        <v>131746620160600750</v>
      </c>
      <c r="B1807" s="9" t="str">
        <f>IFERROR(__xludf.DUMMYFUNCTION("""COMPUTED_VALUE"""),"Italy")</f>
        <v>Italy</v>
      </c>
      <c r="C1807" s="9" t="str">
        <f>IFERROR(__xludf.DUMMYFUNCTION("""COMPUTED_VALUE"""),"piedmont")</f>
        <v>piedmont</v>
      </c>
      <c r="D1807" s="9" t="str">
        <f>IFERROR(__xludf.DUMMYFUNCTION("""COMPUTED_VALUE"""),"Cappellano, Barolo, Pie Rupestris")</f>
        <v>Cappellano, Barolo, Pie Rupestris</v>
      </c>
      <c r="E1807" s="9">
        <f>IFERROR(__xludf.DUMMYFUNCTION("""COMPUTED_VALUE"""),2016.0)</f>
        <v>2016</v>
      </c>
      <c r="F1807" s="9">
        <f>IFERROR(__xludf.DUMMYFUNCTION("""COMPUTED_VALUE"""),750.0)</f>
        <v>750</v>
      </c>
      <c r="G1807" s="9">
        <f>IFERROR(__xludf.DUMMYFUNCTION("""COMPUTED_VALUE"""),6.0)</f>
        <v>6</v>
      </c>
      <c r="H1807" s="10">
        <f>IFERROR(__xludf.DUMMYFUNCTION("""COMPUTED_VALUE"""),1.0)</f>
        <v>1</v>
      </c>
      <c r="I1807" s="11">
        <f>IFERROR(__xludf.DUMMYFUNCTION("""COMPUTED_VALUE"""),1511.0)</f>
        <v>1511</v>
      </c>
      <c r="J1807" s="9" t="str">
        <f>IFERROR(__xludf.DUMMYFUNCTION("""COMPUTED_VALUE"""),"UK")</f>
        <v>UK</v>
      </c>
      <c r="K1807" s="8"/>
      <c r="L1807" s="12"/>
      <c r="M1807" s="13"/>
      <c r="N1807" s="13" t="str">
        <f>IFERROR(__xludf.DUMMYFUNCTION("IF(ISBLANK(M1807),"""",M1807*GOOGLEFINANCE(""USDGBP""))"),"")</f>
        <v/>
      </c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  <c r="FN1807" s="8"/>
      <c r="FO1807" s="8"/>
      <c r="FP1807" s="8"/>
      <c r="FQ1807" s="8"/>
      <c r="FR1807" s="8"/>
      <c r="FS1807" s="8"/>
      <c r="FT1807" s="8"/>
      <c r="FU1807" s="8"/>
      <c r="FV1807" s="8"/>
      <c r="FW1807" s="8"/>
      <c r="FX1807" s="8"/>
      <c r="FY1807" s="8"/>
      <c r="FZ1807" s="8"/>
      <c r="GA1807" s="8"/>
      <c r="GB1807" s="8"/>
      <c r="GC1807" s="8"/>
      <c r="GD1807" s="8"/>
      <c r="GE1807" s="8"/>
      <c r="GF1807" s="8"/>
      <c r="GG1807" s="8"/>
      <c r="GH1807" s="8"/>
      <c r="GI1807" s="8"/>
      <c r="GJ1807" s="8"/>
      <c r="GK1807" s="8"/>
      <c r="GL1807" s="8"/>
      <c r="GM1807" s="8"/>
      <c r="GN1807" s="8"/>
      <c r="GO1807" s="8"/>
      <c r="GP1807" s="8"/>
      <c r="GQ1807" s="8"/>
      <c r="GR1807" s="8"/>
      <c r="GS1807" s="8"/>
      <c r="GT1807" s="8"/>
      <c r="GU1807" s="8"/>
      <c r="GV1807" s="8"/>
      <c r="GW1807" s="8"/>
      <c r="GX1807" s="8"/>
    </row>
    <row r="1808">
      <c r="A1808" s="8" t="str">
        <f>IFERROR(__xludf.DUMMYFUNCTION("""COMPUTED_VALUE"""),"109751320070600750")</f>
        <v>109751320070600750</v>
      </c>
      <c r="B1808" s="9" t="str">
        <f>IFERROR(__xludf.DUMMYFUNCTION("""COMPUTED_VALUE"""),"Italy")</f>
        <v>Italy</v>
      </c>
      <c r="C1808" s="9" t="str">
        <f>IFERROR(__xludf.DUMMYFUNCTION("""COMPUTED_VALUE"""),"piedmont")</f>
        <v>piedmont</v>
      </c>
      <c r="D1808" s="9" t="str">
        <f>IFERROR(__xludf.DUMMYFUNCTION("""COMPUTED_VALUE"""),"Cavallotto, Barolo, Bricco Boschis")</f>
        <v>Cavallotto, Barolo, Bricco Boschis</v>
      </c>
      <c r="E1808" s="9">
        <f>IFERROR(__xludf.DUMMYFUNCTION("""COMPUTED_VALUE"""),2007.0)</f>
        <v>2007</v>
      </c>
      <c r="F1808" s="9">
        <f>IFERROR(__xludf.DUMMYFUNCTION("""COMPUTED_VALUE"""),750.0)</f>
        <v>750</v>
      </c>
      <c r="G1808" s="9">
        <f>IFERROR(__xludf.DUMMYFUNCTION("""COMPUTED_VALUE"""),6.0)</f>
        <v>6</v>
      </c>
      <c r="H1808" s="10">
        <f>IFERROR(__xludf.DUMMYFUNCTION("""COMPUTED_VALUE"""),1.0)</f>
        <v>1</v>
      </c>
      <c r="I1808" s="11">
        <f>IFERROR(__xludf.DUMMYFUNCTION("""COMPUTED_VALUE"""),468.0)</f>
        <v>468</v>
      </c>
      <c r="J1808" s="9" t="str">
        <f>IFERROR(__xludf.DUMMYFUNCTION("""COMPUTED_VALUE"""),"UK")</f>
        <v>UK</v>
      </c>
      <c r="K1808" s="8"/>
      <c r="L1808" s="12"/>
      <c r="M1808" s="13"/>
      <c r="N1808" s="13" t="str">
        <f>IFERROR(__xludf.DUMMYFUNCTION("IF(ISBLANK(M1808),"""",M1808*GOOGLEFINANCE(""USDGBP""))"),"")</f>
        <v/>
      </c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  <c r="FN1808" s="8"/>
      <c r="FO1808" s="8"/>
      <c r="FP1808" s="8"/>
      <c r="FQ1808" s="8"/>
      <c r="FR1808" s="8"/>
      <c r="FS1808" s="8"/>
      <c r="FT1808" s="8"/>
      <c r="FU1808" s="8"/>
      <c r="FV1808" s="8"/>
      <c r="FW1808" s="8"/>
      <c r="FX1808" s="8"/>
      <c r="FY1808" s="8"/>
      <c r="FZ1808" s="8"/>
      <c r="GA1808" s="8"/>
      <c r="GB1808" s="8"/>
      <c r="GC1808" s="8"/>
      <c r="GD1808" s="8"/>
      <c r="GE1808" s="8"/>
      <c r="GF1808" s="8"/>
      <c r="GG1808" s="8"/>
      <c r="GH1808" s="8"/>
      <c r="GI1808" s="8"/>
      <c r="GJ1808" s="8"/>
      <c r="GK1808" s="8"/>
      <c r="GL1808" s="8"/>
      <c r="GM1808" s="8"/>
      <c r="GN1808" s="8"/>
      <c r="GO1808" s="8"/>
      <c r="GP1808" s="8"/>
      <c r="GQ1808" s="8"/>
      <c r="GR1808" s="8"/>
      <c r="GS1808" s="8"/>
      <c r="GT1808" s="8"/>
      <c r="GU1808" s="8"/>
      <c r="GV1808" s="8"/>
      <c r="GW1808" s="8"/>
      <c r="GX1808" s="8"/>
    </row>
    <row r="1809">
      <c r="A1809" s="8" t="str">
        <f>IFERROR(__xludf.DUMMYFUNCTION("""COMPUTED_VALUE"""),"109751320130600750")</f>
        <v>109751320130600750</v>
      </c>
      <c r="B1809" s="9" t="str">
        <f>IFERROR(__xludf.DUMMYFUNCTION("""COMPUTED_VALUE"""),"Italy")</f>
        <v>Italy</v>
      </c>
      <c r="C1809" s="9" t="str">
        <f>IFERROR(__xludf.DUMMYFUNCTION("""COMPUTED_VALUE"""),"piedmont")</f>
        <v>piedmont</v>
      </c>
      <c r="D1809" s="9" t="str">
        <f>IFERROR(__xludf.DUMMYFUNCTION("""COMPUTED_VALUE"""),"Cavallotto, Barolo, Bricco Boschis")</f>
        <v>Cavallotto, Barolo, Bricco Boschis</v>
      </c>
      <c r="E1809" s="9">
        <f>IFERROR(__xludf.DUMMYFUNCTION("""COMPUTED_VALUE"""),2013.0)</f>
        <v>2013</v>
      </c>
      <c r="F1809" s="9">
        <f>IFERROR(__xludf.DUMMYFUNCTION("""COMPUTED_VALUE"""),750.0)</f>
        <v>750</v>
      </c>
      <c r="G1809" s="9">
        <f>IFERROR(__xludf.DUMMYFUNCTION("""COMPUTED_VALUE"""),6.0)</f>
        <v>6</v>
      </c>
      <c r="H1809" s="10">
        <f>IFERROR(__xludf.DUMMYFUNCTION("""COMPUTED_VALUE"""),4.0)</f>
        <v>4</v>
      </c>
      <c r="I1809" s="11">
        <f>IFERROR(__xludf.DUMMYFUNCTION("""COMPUTED_VALUE"""),431.0)</f>
        <v>431</v>
      </c>
      <c r="J1809" s="9" t="str">
        <f>IFERROR(__xludf.DUMMYFUNCTION("""COMPUTED_VALUE"""),"UK")</f>
        <v>UK</v>
      </c>
      <c r="K1809" s="8"/>
      <c r="L1809" s="12"/>
      <c r="M1809" s="13"/>
      <c r="N1809" s="13" t="str">
        <f>IFERROR(__xludf.DUMMYFUNCTION("IF(ISBLANK(M1809),"""",M1809*GOOGLEFINANCE(""USDGBP""))"),"")</f>
        <v/>
      </c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  <c r="FN1809" s="8"/>
      <c r="FO1809" s="8"/>
      <c r="FP1809" s="8"/>
      <c r="FQ1809" s="8"/>
      <c r="FR1809" s="8"/>
      <c r="FS1809" s="8"/>
      <c r="FT1809" s="8"/>
      <c r="FU1809" s="8"/>
      <c r="FV1809" s="8"/>
      <c r="FW1809" s="8"/>
      <c r="FX1809" s="8"/>
      <c r="FY1809" s="8"/>
      <c r="FZ1809" s="8"/>
      <c r="GA1809" s="8"/>
      <c r="GB1809" s="8"/>
      <c r="GC1809" s="8"/>
      <c r="GD1809" s="8"/>
      <c r="GE1809" s="8"/>
      <c r="GF1809" s="8"/>
      <c r="GG1809" s="8"/>
      <c r="GH1809" s="8"/>
      <c r="GI1809" s="8"/>
      <c r="GJ1809" s="8"/>
      <c r="GK1809" s="8"/>
      <c r="GL1809" s="8"/>
      <c r="GM1809" s="8"/>
      <c r="GN1809" s="8"/>
      <c r="GO1809" s="8"/>
      <c r="GP1809" s="8"/>
      <c r="GQ1809" s="8"/>
      <c r="GR1809" s="8"/>
      <c r="GS1809" s="8"/>
      <c r="GT1809" s="8"/>
      <c r="GU1809" s="8"/>
      <c r="GV1809" s="8"/>
      <c r="GW1809" s="8"/>
      <c r="GX1809" s="8"/>
    </row>
    <row r="1810">
      <c r="A1810" s="8" t="str">
        <f>IFERROR(__xludf.DUMMYFUNCTION("""COMPUTED_VALUE"""),"109751320160600750")</f>
        <v>109751320160600750</v>
      </c>
      <c r="B1810" s="9" t="str">
        <f>IFERROR(__xludf.DUMMYFUNCTION("""COMPUTED_VALUE"""),"Italy")</f>
        <v>Italy</v>
      </c>
      <c r="C1810" s="9" t="str">
        <f>IFERROR(__xludf.DUMMYFUNCTION("""COMPUTED_VALUE"""),"piedmont")</f>
        <v>piedmont</v>
      </c>
      <c r="D1810" s="9" t="str">
        <f>IFERROR(__xludf.DUMMYFUNCTION("""COMPUTED_VALUE"""),"Cavallotto, Barolo, Bricco Boschis")</f>
        <v>Cavallotto, Barolo, Bricco Boschis</v>
      </c>
      <c r="E1810" s="9">
        <f>IFERROR(__xludf.DUMMYFUNCTION("""COMPUTED_VALUE"""),2016.0)</f>
        <v>2016</v>
      </c>
      <c r="F1810" s="9">
        <f>IFERROR(__xludf.DUMMYFUNCTION("""COMPUTED_VALUE"""),750.0)</f>
        <v>750</v>
      </c>
      <c r="G1810" s="9">
        <f>IFERROR(__xludf.DUMMYFUNCTION("""COMPUTED_VALUE"""),6.0)</f>
        <v>6</v>
      </c>
      <c r="H1810" s="10">
        <f>IFERROR(__xludf.DUMMYFUNCTION("""COMPUTED_VALUE"""),4.0)</f>
        <v>4</v>
      </c>
      <c r="I1810" s="11">
        <f>IFERROR(__xludf.DUMMYFUNCTION("""COMPUTED_VALUE"""),431.0)</f>
        <v>431</v>
      </c>
      <c r="J1810" s="9" t="str">
        <f>IFERROR(__xludf.DUMMYFUNCTION("""COMPUTED_VALUE"""),"UK")</f>
        <v>UK</v>
      </c>
      <c r="K1810" s="8"/>
      <c r="L1810" s="12"/>
      <c r="M1810" s="13"/>
      <c r="N1810" s="13" t="str">
        <f>IFERROR(__xludf.DUMMYFUNCTION("IF(ISBLANK(M1810),"""",M1810*GOOGLEFINANCE(""USDGBP""))"),"")</f>
        <v/>
      </c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  <c r="FN1810" s="8"/>
      <c r="FO1810" s="8"/>
      <c r="FP1810" s="8"/>
      <c r="FQ1810" s="8"/>
      <c r="FR1810" s="8"/>
      <c r="FS1810" s="8"/>
      <c r="FT1810" s="8"/>
      <c r="FU1810" s="8"/>
      <c r="FV1810" s="8"/>
      <c r="FW1810" s="8"/>
      <c r="FX1810" s="8"/>
      <c r="FY1810" s="8"/>
      <c r="FZ1810" s="8"/>
      <c r="GA1810" s="8"/>
      <c r="GB1810" s="8"/>
      <c r="GC1810" s="8"/>
      <c r="GD1810" s="8"/>
      <c r="GE1810" s="8"/>
      <c r="GF1810" s="8"/>
      <c r="GG1810" s="8"/>
      <c r="GH1810" s="8"/>
      <c r="GI1810" s="8"/>
      <c r="GJ1810" s="8"/>
      <c r="GK1810" s="8"/>
      <c r="GL1810" s="8"/>
      <c r="GM1810" s="8"/>
      <c r="GN1810" s="8"/>
      <c r="GO1810" s="8"/>
      <c r="GP1810" s="8"/>
      <c r="GQ1810" s="8"/>
      <c r="GR1810" s="8"/>
      <c r="GS1810" s="8"/>
      <c r="GT1810" s="8"/>
      <c r="GU1810" s="8"/>
      <c r="GV1810" s="8"/>
      <c r="GW1810" s="8"/>
      <c r="GX1810" s="8"/>
    </row>
    <row r="1811">
      <c r="A1811" s="8" t="str">
        <f>IFERROR(__xludf.DUMMYFUNCTION("""COMPUTED_VALUE"""),"112932620130600750")</f>
        <v>112932620130600750</v>
      </c>
      <c r="B1811" s="9" t="str">
        <f>IFERROR(__xludf.DUMMYFUNCTION("""COMPUTED_VALUE"""),"Italy")</f>
        <v>Italy</v>
      </c>
      <c r="C1811" s="9" t="str">
        <f>IFERROR(__xludf.DUMMYFUNCTION("""COMPUTED_VALUE"""),"piedmont")</f>
        <v>piedmont</v>
      </c>
      <c r="D1811" s="9" t="str">
        <f>IFERROR(__xludf.DUMMYFUNCTION("""COMPUTED_VALUE"""),"Cavallotto, Barolo, Bricco Boschis San Giuseppe Riserva")</f>
        <v>Cavallotto, Barolo, Bricco Boschis San Giuseppe Riserva</v>
      </c>
      <c r="E1811" s="9">
        <f>IFERROR(__xludf.DUMMYFUNCTION("""COMPUTED_VALUE"""),2013.0)</f>
        <v>2013</v>
      </c>
      <c r="F1811" s="9">
        <f>IFERROR(__xludf.DUMMYFUNCTION("""COMPUTED_VALUE"""),750.0)</f>
        <v>750</v>
      </c>
      <c r="G1811" s="9">
        <f>IFERROR(__xludf.DUMMYFUNCTION("""COMPUTED_VALUE"""),6.0)</f>
        <v>6</v>
      </c>
      <c r="H1811" s="10">
        <f>IFERROR(__xludf.DUMMYFUNCTION("""COMPUTED_VALUE"""),1.0)</f>
        <v>1</v>
      </c>
      <c r="I1811" s="11">
        <f>IFERROR(__xludf.DUMMYFUNCTION("""COMPUTED_VALUE"""),799.0)</f>
        <v>799</v>
      </c>
      <c r="J1811" s="9" t="str">
        <f>IFERROR(__xludf.DUMMYFUNCTION("""COMPUTED_VALUE"""),"UK")</f>
        <v>UK</v>
      </c>
      <c r="K1811" s="8"/>
      <c r="L1811" s="12"/>
      <c r="M1811" s="13"/>
      <c r="N1811" s="13" t="str">
        <f>IFERROR(__xludf.DUMMYFUNCTION("IF(ISBLANK(M1811),"""",M1811*GOOGLEFINANCE(""USDGBP""))"),"")</f>
        <v/>
      </c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  <c r="FN1811" s="8"/>
      <c r="FO1811" s="8"/>
      <c r="FP1811" s="8"/>
      <c r="FQ1811" s="8"/>
      <c r="FR1811" s="8"/>
      <c r="FS1811" s="8"/>
      <c r="FT1811" s="8"/>
      <c r="FU1811" s="8"/>
      <c r="FV1811" s="8"/>
      <c r="FW1811" s="8"/>
      <c r="FX1811" s="8"/>
      <c r="FY1811" s="8"/>
      <c r="FZ1811" s="8"/>
      <c r="GA1811" s="8"/>
      <c r="GB1811" s="8"/>
      <c r="GC1811" s="8"/>
      <c r="GD1811" s="8"/>
      <c r="GE1811" s="8"/>
      <c r="GF1811" s="8"/>
      <c r="GG1811" s="8"/>
      <c r="GH1811" s="8"/>
      <c r="GI1811" s="8"/>
      <c r="GJ1811" s="8"/>
      <c r="GK1811" s="8"/>
      <c r="GL1811" s="8"/>
      <c r="GM1811" s="8"/>
      <c r="GN1811" s="8"/>
      <c r="GO1811" s="8"/>
      <c r="GP1811" s="8"/>
      <c r="GQ1811" s="8"/>
      <c r="GR1811" s="8"/>
      <c r="GS1811" s="8"/>
      <c r="GT1811" s="8"/>
      <c r="GU1811" s="8"/>
      <c r="GV1811" s="8"/>
      <c r="GW1811" s="8"/>
      <c r="GX1811" s="8"/>
    </row>
    <row r="1812">
      <c r="A1812" s="8" t="str">
        <f>IFERROR(__xludf.DUMMYFUNCTION("""COMPUTED_VALUE"""),"112932620150600750")</f>
        <v>112932620150600750</v>
      </c>
      <c r="B1812" s="9" t="str">
        <f>IFERROR(__xludf.DUMMYFUNCTION("""COMPUTED_VALUE"""),"Italy")</f>
        <v>Italy</v>
      </c>
      <c r="C1812" s="9" t="str">
        <f>IFERROR(__xludf.DUMMYFUNCTION("""COMPUTED_VALUE"""),"piedmont")</f>
        <v>piedmont</v>
      </c>
      <c r="D1812" s="9" t="str">
        <f>IFERROR(__xludf.DUMMYFUNCTION("""COMPUTED_VALUE"""),"Cavallotto, Barolo, Bricco Boschis San Giuseppe Riserva")</f>
        <v>Cavallotto, Barolo, Bricco Boschis San Giuseppe Riserva</v>
      </c>
      <c r="E1812" s="9">
        <f>IFERROR(__xludf.DUMMYFUNCTION("""COMPUTED_VALUE"""),2015.0)</f>
        <v>2015</v>
      </c>
      <c r="F1812" s="9">
        <f>IFERROR(__xludf.DUMMYFUNCTION("""COMPUTED_VALUE"""),750.0)</f>
        <v>750</v>
      </c>
      <c r="G1812" s="9">
        <f>IFERROR(__xludf.DUMMYFUNCTION("""COMPUTED_VALUE"""),6.0)</f>
        <v>6</v>
      </c>
      <c r="H1812" s="10">
        <f>IFERROR(__xludf.DUMMYFUNCTION("""COMPUTED_VALUE"""),11.0)</f>
        <v>11</v>
      </c>
      <c r="I1812" s="11">
        <f>IFERROR(__xludf.DUMMYFUNCTION("""COMPUTED_VALUE"""),694.0)</f>
        <v>694</v>
      </c>
      <c r="J1812" s="9" t="str">
        <f>IFERROR(__xludf.DUMMYFUNCTION("""COMPUTED_VALUE"""),"UK")</f>
        <v>UK</v>
      </c>
      <c r="K1812" s="8"/>
      <c r="L1812" s="12"/>
      <c r="M1812" s="13"/>
      <c r="N1812" s="13" t="str">
        <f>IFERROR(__xludf.DUMMYFUNCTION("IF(ISBLANK(M1812),"""",M1812*GOOGLEFINANCE(""USDGBP""))"),"")</f>
        <v/>
      </c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H1812" s="8"/>
      <c r="FI1812" s="8"/>
      <c r="FJ1812" s="8"/>
      <c r="FK1812" s="8"/>
      <c r="FL1812" s="8"/>
      <c r="FM1812" s="8"/>
      <c r="FN1812" s="8"/>
      <c r="FO1812" s="8"/>
      <c r="FP1812" s="8"/>
      <c r="FQ1812" s="8"/>
      <c r="FR1812" s="8"/>
      <c r="FS1812" s="8"/>
      <c r="FT1812" s="8"/>
      <c r="FU1812" s="8"/>
      <c r="FV1812" s="8"/>
      <c r="FW1812" s="8"/>
      <c r="FX1812" s="8"/>
      <c r="FY1812" s="8"/>
      <c r="FZ1812" s="8"/>
      <c r="GA1812" s="8"/>
      <c r="GB1812" s="8"/>
      <c r="GC1812" s="8"/>
      <c r="GD1812" s="8"/>
      <c r="GE1812" s="8"/>
      <c r="GF1812" s="8"/>
      <c r="GG1812" s="8"/>
      <c r="GH1812" s="8"/>
      <c r="GI1812" s="8"/>
      <c r="GJ1812" s="8"/>
      <c r="GK1812" s="8"/>
      <c r="GL1812" s="8"/>
      <c r="GM1812" s="8"/>
      <c r="GN1812" s="8"/>
      <c r="GO1812" s="8"/>
      <c r="GP1812" s="8"/>
      <c r="GQ1812" s="8"/>
      <c r="GR1812" s="8"/>
      <c r="GS1812" s="8"/>
      <c r="GT1812" s="8"/>
      <c r="GU1812" s="8"/>
      <c r="GV1812" s="8"/>
      <c r="GW1812" s="8"/>
      <c r="GX1812" s="8"/>
    </row>
    <row r="1813">
      <c r="A1813" s="8" t="str">
        <f>IFERROR(__xludf.DUMMYFUNCTION("""COMPUTED_VALUE"""),"109753920130600750")</f>
        <v>109753920130600750</v>
      </c>
      <c r="B1813" s="9" t="str">
        <f>IFERROR(__xludf.DUMMYFUNCTION("""COMPUTED_VALUE"""),"Italy")</f>
        <v>Italy</v>
      </c>
      <c r="C1813" s="9" t="str">
        <f>IFERROR(__xludf.DUMMYFUNCTION("""COMPUTED_VALUE"""),"piedmont")</f>
        <v>piedmont</v>
      </c>
      <c r="D1813" s="9" t="str">
        <f>IFERROR(__xludf.DUMMYFUNCTION("""COMPUTED_VALUE"""),"Cavallotto, Barolo, Vignolo Riserva")</f>
        <v>Cavallotto, Barolo, Vignolo Riserva</v>
      </c>
      <c r="E1813" s="9">
        <f>IFERROR(__xludf.DUMMYFUNCTION("""COMPUTED_VALUE"""),2013.0)</f>
        <v>2013</v>
      </c>
      <c r="F1813" s="9">
        <f>IFERROR(__xludf.DUMMYFUNCTION("""COMPUTED_VALUE"""),750.0)</f>
        <v>750</v>
      </c>
      <c r="G1813" s="9">
        <f>IFERROR(__xludf.DUMMYFUNCTION("""COMPUTED_VALUE"""),6.0)</f>
        <v>6</v>
      </c>
      <c r="H1813" s="10">
        <f>IFERROR(__xludf.DUMMYFUNCTION("""COMPUTED_VALUE"""),1.0)</f>
        <v>1</v>
      </c>
      <c r="I1813" s="11">
        <f>IFERROR(__xludf.DUMMYFUNCTION("""COMPUTED_VALUE"""),649.0)</f>
        <v>649</v>
      </c>
      <c r="J1813" s="9" t="str">
        <f>IFERROR(__xludf.DUMMYFUNCTION("""COMPUTED_VALUE"""),"UK")</f>
        <v>UK</v>
      </c>
      <c r="K1813" s="8"/>
      <c r="L1813" s="12"/>
      <c r="M1813" s="13"/>
      <c r="N1813" s="13" t="str">
        <f>IFERROR(__xludf.DUMMYFUNCTION("IF(ISBLANK(M1813),"""",M1813*GOOGLEFINANCE(""USDGBP""))"),"")</f>
        <v/>
      </c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8"/>
      <c r="FL1813" s="8"/>
      <c r="FM1813" s="8"/>
      <c r="FN1813" s="8"/>
      <c r="FO1813" s="8"/>
      <c r="FP1813" s="8"/>
      <c r="FQ1813" s="8"/>
      <c r="FR1813" s="8"/>
      <c r="FS1813" s="8"/>
      <c r="FT1813" s="8"/>
      <c r="FU1813" s="8"/>
      <c r="FV1813" s="8"/>
      <c r="FW1813" s="8"/>
      <c r="FX1813" s="8"/>
      <c r="FY1813" s="8"/>
      <c r="FZ1813" s="8"/>
      <c r="GA1813" s="8"/>
      <c r="GB1813" s="8"/>
      <c r="GC1813" s="8"/>
      <c r="GD1813" s="8"/>
      <c r="GE1813" s="8"/>
      <c r="GF1813" s="8"/>
      <c r="GG1813" s="8"/>
      <c r="GH1813" s="8"/>
      <c r="GI1813" s="8"/>
      <c r="GJ1813" s="8"/>
      <c r="GK1813" s="8"/>
      <c r="GL1813" s="8"/>
      <c r="GM1813" s="8"/>
      <c r="GN1813" s="8"/>
      <c r="GO1813" s="8"/>
      <c r="GP1813" s="8"/>
      <c r="GQ1813" s="8"/>
      <c r="GR1813" s="8"/>
      <c r="GS1813" s="8"/>
      <c r="GT1813" s="8"/>
      <c r="GU1813" s="8"/>
      <c r="GV1813" s="8"/>
      <c r="GW1813" s="8"/>
      <c r="GX1813" s="8"/>
    </row>
    <row r="1814">
      <c r="A1814" s="8" t="str">
        <f>IFERROR(__xludf.DUMMYFUNCTION("""COMPUTED_VALUE"""),"109753920150600750")</f>
        <v>109753920150600750</v>
      </c>
      <c r="B1814" s="9" t="str">
        <f>IFERROR(__xludf.DUMMYFUNCTION("""COMPUTED_VALUE"""),"Italy")</f>
        <v>Italy</v>
      </c>
      <c r="C1814" s="9" t="str">
        <f>IFERROR(__xludf.DUMMYFUNCTION("""COMPUTED_VALUE"""),"piedmont")</f>
        <v>piedmont</v>
      </c>
      <c r="D1814" s="9" t="str">
        <f>IFERROR(__xludf.DUMMYFUNCTION("""COMPUTED_VALUE"""),"Cavallotto, Barolo, Vignolo Riserva")</f>
        <v>Cavallotto, Barolo, Vignolo Riserva</v>
      </c>
      <c r="E1814" s="9">
        <f>IFERROR(__xludf.DUMMYFUNCTION("""COMPUTED_VALUE"""),2015.0)</f>
        <v>2015</v>
      </c>
      <c r="F1814" s="9">
        <f>IFERROR(__xludf.DUMMYFUNCTION("""COMPUTED_VALUE"""),750.0)</f>
        <v>750</v>
      </c>
      <c r="G1814" s="9">
        <f>IFERROR(__xludf.DUMMYFUNCTION("""COMPUTED_VALUE"""),6.0)</f>
        <v>6</v>
      </c>
      <c r="H1814" s="10">
        <f>IFERROR(__xludf.DUMMYFUNCTION("""COMPUTED_VALUE"""),3.0)</f>
        <v>3</v>
      </c>
      <c r="I1814" s="11">
        <f>IFERROR(__xludf.DUMMYFUNCTION("""COMPUTED_VALUE"""),489.0)</f>
        <v>489</v>
      </c>
      <c r="J1814" s="9" t="str">
        <f>IFERROR(__xludf.DUMMYFUNCTION("""COMPUTED_VALUE"""),"UK")</f>
        <v>UK</v>
      </c>
      <c r="K1814" s="8"/>
      <c r="L1814" s="12"/>
      <c r="M1814" s="13"/>
      <c r="N1814" s="13" t="str">
        <f>IFERROR(__xludf.DUMMYFUNCTION("IF(ISBLANK(M1814),"""",M1814*GOOGLEFINANCE(""USDGBP""))"),"")</f>
        <v/>
      </c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  <c r="FG1814" s="8"/>
      <c r="FH1814" s="8"/>
      <c r="FI1814" s="8"/>
      <c r="FJ1814" s="8"/>
      <c r="FK1814" s="8"/>
      <c r="FL1814" s="8"/>
      <c r="FM1814" s="8"/>
      <c r="FN1814" s="8"/>
      <c r="FO1814" s="8"/>
      <c r="FP1814" s="8"/>
      <c r="FQ1814" s="8"/>
      <c r="FR1814" s="8"/>
      <c r="FS1814" s="8"/>
      <c r="FT1814" s="8"/>
      <c r="FU1814" s="8"/>
      <c r="FV1814" s="8"/>
      <c r="FW1814" s="8"/>
      <c r="FX1814" s="8"/>
      <c r="FY1814" s="8"/>
      <c r="FZ1814" s="8"/>
      <c r="GA1814" s="8"/>
      <c r="GB1814" s="8"/>
      <c r="GC1814" s="8"/>
      <c r="GD1814" s="8"/>
      <c r="GE1814" s="8"/>
      <c r="GF1814" s="8"/>
      <c r="GG1814" s="8"/>
      <c r="GH1814" s="8"/>
      <c r="GI1814" s="8"/>
      <c r="GJ1814" s="8"/>
      <c r="GK1814" s="8"/>
      <c r="GL1814" s="8"/>
      <c r="GM1814" s="8"/>
      <c r="GN1814" s="8"/>
      <c r="GO1814" s="8"/>
      <c r="GP1814" s="8"/>
      <c r="GQ1814" s="8"/>
      <c r="GR1814" s="8"/>
      <c r="GS1814" s="8"/>
      <c r="GT1814" s="8"/>
      <c r="GU1814" s="8"/>
      <c r="GV1814" s="8"/>
      <c r="GW1814" s="8"/>
      <c r="GX1814" s="8"/>
    </row>
    <row r="1815">
      <c r="A1815" s="8" t="str">
        <f>IFERROR(__xludf.DUMMYFUNCTION("""COMPUTED_VALUE"""),"109753920160600750")</f>
        <v>109753920160600750</v>
      </c>
      <c r="B1815" s="9" t="str">
        <f>IFERROR(__xludf.DUMMYFUNCTION("""COMPUTED_VALUE"""),"Italy")</f>
        <v>Italy</v>
      </c>
      <c r="C1815" s="9" t="str">
        <f>IFERROR(__xludf.DUMMYFUNCTION("""COMPUTED_VALUE"""),"piedmont")</f>
        <v>piedmont</v>
      </c>
      <c r="D1815" s="9" t="str">
        <f>IFERROR(__xludf.DUMMYFUNCTION("""COMPUTED_VALUE"""),"Cavallotto, Barolo, Vignolo Riserva")</f>
        <v>Cavallotto, Barolo, Vignolo Riserva</v>
      </c>
      <c r="E1815" s="9">
        <f>IFERROR(__xludf.DUMMYFUNCTION("""COMPUTED_VALUE"""),2016.0)</f>
        <v>2016</v>
      </c>
      <c r="F1815" s="9">
        <f>IFERROR(__xludf.DUMMYFUNCTION("""COMPUTED_VALUE"""),750.0)</f>
        <v>750</v>
      </c>
      <c r="G1815" s="9">
        <f>IFERROR(__xludf.DUMMYFUNCTION("""COMPUTED_VALUE"""),6.0)</f>
        <v>6</v>
      </c>
      <c r="H1815" s="10">
        <f>IFERROR(__xludf.DUMMYFUNCTION("""COMPUTED_VALUE"""),1.0)</f>
        <v>1</v>
      </c>
      <c r="I1815" s="11">
        <f>IFERROR(__xludf.DUMMYFUNCTION("""COMPUTED_VALUE"""),652.0)</f>
        <v>652</v>
      </c>
      <c r="J1815" s="9" t="str">
        <f>IFERROR(__xludf.DUMMYFUNCTION("""COMPUTED_VALUE"""),"UK")</f>
        <v>UK</v>
      </c>
      <c r="K1815" s="8"/>
      <c r="L1815" s="12"/>
      <c r="M1815" s="13"/>
      <c r="N1815" s="13" t="str">
        <f>IFERROR(__xludf.DUMMYFUNCTION("IF(ISBLANK(M1815),"""",M1815*GOOGLEFINANCE(""USDGBP""))"),"")</f>
        <v/>
      </c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  <c r="FG1815" s="8"/>
      <c r="FH1815" s="8"/>
      <c r="FI1815" s="8"/>
      <c r="FJ1815" s="8"/>
      <c r="FK1815" s="8"/>
      <c r="FL1815" s="8"/>
      <c r="FM1815" s="8"/>
      <c r="FN1815" s="8"/>
      <c r="FO1815" s="8"/>
      <c r="FP1815" s="8"/>
      <c r="FQ1815" s="8"/>
      <c r="FR1815" s="8"/>
      <c r="FS1815" s="8"/>
      <c r="FT1815" s="8"/>
      <c r="FU1815" s="8"/>
      <c r="FV1815" s="8"/>
      <c r="FW1815" s="8"/>
      <c r="FX1815" s="8"/>
      <c r="FY1815" s="8"/>
      <c r="FZ1815" s="8"/>
      <c r="GA1815" s="8"/>
      <c r="GB1815" s="8"/>
      <c r="GC1815" s="8"/>
      <c r="GD1815" s="8"/>
      <c r="GE1815" s="8"/>
      <c r="GF1815" s="8"/>
      <c r="GG1815" s="8"/>
      <c r="GH1815" s="8"/>
      <c r="GI1815" s="8"/>
      <c r="GJ1815" s="8"/>
      <c r="GK1815" s="8"/>
      <c r="GL1815" s="8"/>
      <c r="GM1815" s="8"/>
      <c r="GN1815" s="8"/>
      <c r="GO1815" s="8"/>
      <c r="GP1815" s="8"/>
      <c r="GQ1815" s="8"/>
      <c r="GR1815" s="8"/>
      <c r="GS1815" s="8"/>
      <c r="GT1815" s="8"/>
      <c r="GU1815" s="8"/>
      <c r="GV1815" s="8"/>
      <c r="GW1815" s="8"/>
      <c r="GX1815" s="8"/>
    </row>
    <row r="1816">
      <c r="A1816" s="8" t="str">
        <f>IFERROR(__xludf.DUMMYFUNCTION("""COMPUTED_VALUE"""),"147179919980600750")</f>
        <v>147179919980600750</v>
      </c>
      <c r="B1816" s="9" t="str">
        <f>IFERROR(__xludf.DUMMYFUNCTION("""COMPUTED_VALUE"""),"Italy")</f>
        <v>Italy</v>
      </c>
      <c r="C1816" s="9" t="str">
        <f>IFERROR(__xludf.DUMMYFUNCTION("""COMPUTED_VALUE"""),"piedmont")</f>
        <v>piedmont</v>
      </c>
      <c r="D1816" s="9" t="str">
        <f>IFERROR(__xludf.DUMMYFUNCTION("""COMPUTED_VALUE"""),"Ceretto, Barbaresco, Asili")</f>
        <v>Ceretto, Barbaresco, Asili</v>
      </c>
      <c r="E1816" s="9">
        <f>IFERROR(__xludf.DUMMYFUNCTION("""COMPUTED_VALUE"""),1998.0)</f>
        <v>1998</v>
      </c>
      <c r="F1816" s="9">
        <f>IFERROR(__xludf.DUMMYFUNCTION("""COMPUTED_VALUE"""),750.0)</f>
        <v>750</v>
      </c>
      <c r="G1816" s="9">
        <f>IFERROR(__xludf.DUMMYFUNCTION("""COMPUTED_VALUE"""),6.0)</f>
        <v>6</v>
      </c>
      <c r="H1816" s="10">
        <f>IFERROR(__xludf.DUMMYFUNCTION("""COMPUTED_VALUE"""),1.0)</f>
        <v>1</v>
      </c>
      <c r="I1816" s="11">
        <f>IFERROR(__xludf.DUMMYFUNCTION("""COMPUTED_VALUE"""),448.0)</f>
        <v>448</v>
      </c>
      <c r="J1816" s="9" t="str">
        <f>IFERROR(__xludf.DUMMYFUNCTION("""COMPUTED_VALUE"""),"UK")</f>
        <v>UK</v>
      </c>
      <c r="K1816" s="8"/>
      <c r="L1816" s="12"/>
      <c r="M1816" s="13"/>
      <c r="N1816" s="13" t="str">
        <f>IFERROR(__xludf.DUMMYFUNCTION("IF(ISBLANK(M1816),"""",M1816*GOOGLEFINANCE(""USDGBP""))"),"")</f>
        <v/>
      </c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  <c r="FN1816" s="8"/>
      <c r="FO1816" s="8"/>
      <c r="FP1816" s="8"/>
      <c r="FQ1816" s="8"/>
      <c r="FR1816" s="8"/>
      <c r="FS1816" s="8"/>
      <c r="FT1816" s="8"/>
      <c r="FU1816" s="8"/>
      <c r="FV1816" s="8"/>
      <c r="FW1816" s="8"/>
      <c r="FX1816" s="8"/>
      <c r="FY1816" s="8"/>
      <c r="FZ1816" s="8"/>
      <c r="GA1816" s="8"/>
      <c r="GB1816" s="8"/>
      <c r="GC1816" s="8"/>
      <c r="GD1816" s="8"/>
      <c r="GE1816" s="8"/>
      <c r="GF1816" s="8"/>
      <c r="GG1816" s="8"/>
      <c r="GH1816" s="8"/>
      <c r="GI1816" s="8"/>
      <c r="GJ1816" s="8"/>
      <c r="GK1816" s="8"/>
      <c r="GL1816" s="8"/>
      <c r="GM1816" s="8"/>
      <c r="GN1816" s="8"/>
      <c r="GO1816" s="8"/>
      <c r="GP1816" s="8"/>
      <c r="GQ1816" s="8"/>
      <c r="GR1816" s="8"/>
      <c r="GS1816" s="8"/>
      <c r="GT1816" s="8"/>
      <c r="GU1816" s="8"/>
      <c r="GV1816" s="8"/>
      <c r="GW1816" s="8"/>
      <c r="GX1816" s="8"/>
    </row>
    <row r="1817">
      <c r="A1817" s="8" t="str">
        <f>IFERROR(__xludf.DUMMYFUNCTION("""COMPUTED_VALUE"""),"147179920130600750")</f>
        <v>147179920130600750</v>
      </c>
      <c r="B1817" s="9" t="str">
        <f>IFERROR(__xludf.DUMMYFUNCTION("""COMPUTED_VALUE"""),"Italy")</f>
        <v>Italy</v>
      </c>
      <c r="C1817" s="9" t="str">
        <f>IFERROR(__xludf.DUMMYFUNCTION("""COMPUTED_VALUE"""),"piedmont")</f>
        <v>piedmont</v>
      </c>
      <c r="D1817" s="9" t="str">
        <f>IFERROR(__xludf.DUMMYFUNCTION("""COMPUTED_VALUE"""),"Ceretto, Barbaresco, Asili")</f>
        <v>Ceretto, Barbaresco, Asili</v>
      </c>
      <c r="E1817" s="9">
        <f>IFERROR(__xludf.DUMMYFUNCTION("""COMPUTED_VALUE"""),2013.0)</f>
        <v>2013</v>
      </c>
      <c r="F1817" s="9">
        <f>IFERROR(__xludf.DUMMYFUNCTION("""COMPUTED_VALUE"""),750.0)</f>
        <v>750</v>
      </c>
      <c r="G1817" s="9">
        <f>IFERROR(__xludf.DUMMYFUNCTION("""COMPUTED_VALUE"""),6.0)</f>
        <v>6</v>
      </c>
      <c r="H1817" s="10">
        <f>IFERROR(__xludf.DUMMYFUNCTION("""COMPUTED_VALUE"""),3.0)</f>
        <v>3</v>
      </c>
      <c r="I1817" s="11">
        <f>IFERROR(__xludf.DUMMYFUNCTION("""COMPUTED_VALUE"""),610.0)</f>
        <v>610</v>
      </c>
      <c r="J1817" s="9" t="str">
        <f>IFERROR(__xludf.DUMMYFUNCTION("""COMPUTED_VALUE"""),"UK")</f>
        <v>UK</v>
      </c>
      <c r="K1817" s="8"/>
      <c r="L1817" s="12"/>
      <c r="M1817" s="13"/>
      <c r="N1817" s="13" t="str">
        <f>IFERROR(__xludf.DUMMYFUNCTION("IF(ISBLANK(M1817),"""",M1817*GOOGLEFINANCE(""USDGBP""))"),"")</f>
        <v/>
      </c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H1817" s="8"/>
      <c r="FI1817" s="8"/>
      <c r="FJ1817" s="8"/>
      <c r="FK1817" s="8"/>
      <c r="FL1817" s="8"/>
      <c r="FM1817" s="8"/>
      <c r="FN1817" s="8"/>
      <c r="FO1817" s="8"/>
      <c r="FP1817" s="8"/>
      <c r="FQ1817" s="8"/>
      <c r="FR1817" s="8"/>
      <c r="FS1817" s="8"/>
      <c r="FT1817" s="8"/>
      <c r="FU1817" s="8"/>
      <c r="FV1817" s="8"/>
      <c r="FW1817" s="8"/>
      <c r="FX1817" s="8"/>
      <c r="FY1817" s="8"/>
      <c r="FZ1817" s="8"/>
      <c r="GA1817" s="8"/>
      <c r="GB1817" s="8"/>
      <c r="GC1817" s="8"/>
      <c r="GD1817" s="8"/>
      <c r="GE1817" s="8"/>
      <c r="GF1817" s="8"/>
      <c r="GG1817" s="8"/>
      <c r="GH1817" s="8"/>
      <c r="GI1817" s="8"/>
      <c r="GJ1817" s="8"/>
      <c r="GK1817" s="8"/>
      <c r="GL1817" s="8"/>
      <c r="GM1817" s="8"/>
      <c r="GN1817" s="8"/>
      <c r="GO1817" s="8"/>
      <c r="GP1817" s="8"/>
      <c r="GQ1817" s="8"/>
      <c r="GR1817" s="8"/>
      <c r="GS1817" s="8"/>
      <c r="GT1817" s="8"/>
      <c r="GU1817" s="8"/>
      <c r="GV1817" s="8"/>
      <c r="GW1817" s="8"/>
      <c r="GX1817" s="8"/>
    </row>
    <row r="1818">
      <c r="A1818" s="8" t="str">
        <f>IFERROR(__xludf.DUMMYFUNCTION("""COMPUTED_VALUE"""),"147179920150600750")</f>
        <v>147179920150600750</v>
      </c>
      <c r="B1818" s="9" t="str">
        <f>IFERROR(__xludf.DUMMYFUNCTION("""COMPUTED_VALUE"""),"Italy")</f>
        <v>Italy</v>
      </c>
      <c r="C1818" s="9" t="str">
        <f>IFERROR(__xludf.DUMMYFUNCTION("""COMPUTED_VALUE"""),"piedmont")</f>
        <v>piedmont</v>
      </c>
      <c r="D1818" s="9" t="str">
        <f>IFERROR(__xludf.DUMMYFUNCTION("""COMPUTED_VALUE"""),"Ceretto, Barbaresco, Asili")</f>
        <v>Ceretto, Barbaresco, Asili</v>
      </c>
      <c r="E1818" s="9">
        <f>IFERROR(__xludf.DUMMYFUNCTION("""COMPUTED_VALUE"""),2015.0)</f>
        <v>2015</v>
      </c>
      <c r="F1818" s="9">
        <f>IFERROR(__xludf.DUMMYFUNCTION("""COMPUTED_VALUE"""),750.0)</f>
        <v>750</v>
      </c>
      <c r="G1818" s="9">
        <f>IFERROR(__xludf.DUMMYFUNCTION("""COMPUTED_VALUE"""),6.0)</f>
        <v>6</v>
      </c>
      <c r="H1818" s="10">
        <f>IFERROR(__xludf.DUMMYFUNCTION("""COMPUTED_VALUE"""),1.0)</f>
        <v>1</v>
      </c>
      <c r="I1818" s="11">
        <f>IFERROR(__xludf.DUMMYFUNCTION("""COMPUTED_VALUE"""),969.0)</f>
        <v>969</v>
      </c>
      <c r="J1818" s="9" t="str">
        <f>IFERROR(__xludf.DUMMYFUNCTION("""COMPUTED_VALUE"""),"UK")</f>
        <v>UK</v>
      </c>
      <c r="K1818" s="8"/>
      <c r="L1818" s="12"/>
      <c r="M1818" s="13"/>
      <c r="N1818" s="13" t="str">
        <f>IFERROR(__xludf.DUMMYFUNCTION("IF(ISBLANK(M1818),"""",M1818*GOOGLEFINANCE(""USDGBP""))"),"")</f>
        <v/>
      </c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  <c r="FG1818" s="8"/>
      <c r="FH1818" s="8"/>
      <c r="FI1818" s="8"/>
      <c r="FJ1818" s="8"/>
      <c r="FK1818" s="8"/>
      <c r="FL1818" s="8"/>
      <c r="FM1818" s="8"/>
      <c r="FN1818" s="8"/>
      <c r="FO1818" s="8"/>
      <c r="FP1818" s="8"/>
      <c r="FQ1818" s="8"/>
      <c r="FR1818" s="8"/>
      <c r="FS1818" s="8"/>
      <c r="FT1818" s="8"/>
      <c r="FU1818" s="8"/>
      <c r="FV1818" s="8"/>
      <c r="FW1818" s="8"/>
      <c r="FX1818" s="8"/>
      <c r="FY1818" s="8"/>
      <c r="FZ1818" s="8"/>
      <c r="GA1818" s="8"/>
      <c r="GB1818" s="8"/>
      <c r="GC1818" s="8"/>
      <c r="GD1818" s="8"/>
      <c r="GE1818" s="8"/>
      <c r="GF1818" s="8"/>
      <c r="GG1818" s="8"/>
      <c r="GH1818" s="8"/>
      <c r="GI1818" s="8"/>
      <c r="GJ1818" s="8"/>
      <c r="GK1818" s="8"/>
      <c r="GL1818" s="8"/>
      <c r="GM1818" s="8"/>
      <c r="GN1818" s="8"/>
      <c r="GO1818" s="8"/>
      <c r="GP1818" s="8"/>
      <c r="GQ1818" s="8"/>
      <c r="GR1818" s="8"/>
      <c r="GS1818" s="8"/>
      <c r="GT1818" s="8"/>
      <c r="GU1818" s="8"/>
      <c r="GV1818" s="8"/>
      <c r="GW1818" s="8"/>
      <c r="GX1818" s="8"/>
    </row>
    <row r="1819">
      <c r="A1819" s="8" t="str">
        <f>IFERROR(__xludf.DUMMYFUNCTION("""COMPUTED_VALUE"""),"147179920160600750")</f>
        <v>147179920160600750</v>
      </c>
      <c r="B1819" s="9" t="str">
        <f>IFERROR(__xludf.DUMMYFUNCTION("""COMPUTED_VALUE"""),"Italy")</f>
        <v>Italy</v>
      </c>
      <c r="C1819" s="9" t="str">
        <f>IFERROR(__xludf.DUMMYFUNCTION("""COMPUTED_VALUE"""),"piedmont")</f>
        <v>piedmont</v>
      </c>
      <c r="D1819" s="9" t="str">
        <f>IFERROR(__xludf.DUMMYFUNCTION("""COMPUTED_VALUE"""),"Ceretto, Barbaresco, Asili")</f>
        <v>Ceretto, Barbaresco, Asili</v>
      </c>
      <c r="E1819" s="9">
        <f>IFERROR(__xludf.DUMMYFUNCTION("""COMPUTED_VALUE"""),2016.0)</f>
        <v>2016</v>
      </c>
      <c r="F1819" s="9">
        <f>IFERROR(__xludf.DUMMYFUNCTION("""COMPUTED_VALUE"""),750.0)</f>
        <v>750</v>
      </c>
      <c r="G1819" s="9">
        <f>IFERROR(__xludf.DUMMYFUNCTION("""COMPUTED_VALUE"""),6.0)</f>
        <v>6</v>
      </c>
      <c r="H1819" s="10">
        <f>IFERROR(__xludf.DUMMYFUNCTION("""COMPUTED_VALUE"""),3.0)</f>
        <v>3</v>
      </c>
      <c r="I1819" s="11">
        <f>IFERROR(__xludf.DUMMYFUNCTION("""COMPUTED_VALUE"""),756.0)</f>
        <v>756</v>
      </c>
      <c r="J1819" s="9" t="str">
        <f>IFERROR(__xludf.DUMMYFUNCTION("""COMPUTED_VALUE"""),"UK")</f>
        <v>UK</v>
      </c>
      <c r="K1819" s="8"/>
      <c r="L1819" s="12"/>
      <c r="M1819" s="13"/>
      <c r="N1819" s="13" t="str">
        <f>IFERROR(__xludf.DUMMYFUNCTION("IF(ISBLANK(M1819),"""",M1819*GOOGLEFINANCE(""USDGBP""))"),"")</f>
        <v/>
      </c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  <c r="FG1819" s="8"/>
      <c r="FH1819" s="8"/>
      <c r="FI1819" s="8"/>
      <c r="FJ1819" s="8"/>
      <c r="FK1819" s="8"/>
      <c r="FL1819" s="8"/>
      <c r="FM1819" s="8"/>
      <c r="FN1819" s="8"/>
      <c r="FO1819" s="8"/>
      <c r="FP1819" s="8"/>
      <c r="FQ1819" s="8"/>
      <c r="FR1819" s="8"/>
      <c r="FS1819" s="8"/>
      <c r="FT1819" s="8"/>
      <c r="FU1819" s="8"/>
      <c r="FV1819" s="8"/>
      <c r="FW1819" s="8"/>
      <c r="FX1819" s="8"/>
      <c r="FY1819" s="8"/>
      <c r="FZ1819" s="8"/>
      <c r="GA1819" s="8"/>
      <c r="GB1819" s="8"/>
      <c r="GC1819" s="8"/>
      <c r="GD1819" s="8"/>
      <c r="GE1819" s="8"/>
      <c r="GF1819" s="8"/>
      <c r="GG1819" s="8"/>
      <c r="GH1819" s="8"/>
      <c r="GI1819" s="8"/>
      <c r="GJ1819" s="8"/>
      <c r="GK1819" s="8"/>
      <c r="GL1819" s="8"/>
      <c r="GM1819" s="8"/>
      <c r="GN1819" s="8"/>
      <c r="GO1819" s="8"/>
      <c r="GP1819" s="8"/>
      <c r="GQ1819" s="8"/>
      <c r="GR1819" s="8"/>
      <c r="GS1819" s="8"/>
      <c r="GT1819" s="8"/>
      <c r="GU1819" s="8"/>
      <c r="GV1819" s="8"/>
      <c r="GW1819" s="8"/>
      <c r="GX1819" s="8"/>
    </row>
    <row r="1820">
      <c r="A1820" s="8" t="str">
        <f>IFERROR(__xludf.DUMMYFUNCTION("""COMPUTED_VALUE"""),"147179920170600750")</f>
        <v>147179920170600750</v>
      </c>
      <c r="B1820" s="9" t="str">
        <f>IFERROR(__xludf.DUMMYFUNCTION("""COMPUTED_VALUE"""),"Italy")</f>
        <v>Italy</v>
      </c>
      <c r="C1820" s="9" t="str">
        <f>IFERROR(__xludf.DUMMYFUNCTION("""COMPUTED_VALUE"""),"piedmont")</f>
        <v>piedmont</v>
      </c>
      <c r="D1820" s="9" t="str">
        <f>IFERROR(__xludf.DUMMYFUNCTION("""COMPUTED_VALUE"""),"Ceretto, Barbaresco, Asili")</f>
        <v>Ceretto, Barbaresco, Asili</v>
      </c>
      <c r="E1820" s="9">
        <f>IFERROR(__xludf.DUMMYFUNCTION("""COMPUTED_VALUE"""),2017.0)</f>
        <v>2017</v>
      </c>
      <c r="F1820" s="9">
        <f>IFERROR(__xludf.DUMMYFUNCTION("""COMPUTED_VALUE"""),750.0)</f>
        <v>750</v>
      </c>
      <c r="G1820" s="9">
        <f>IFERROR(__xludf.DUMMYFUNCTION("""COMPUTED_VALUE"""),6.0)</f>
        <v>6</v>
      </c>
      <c r="H1820" s="10">
        <f>IFERROR(__xludf.DUMMYFUNCTION("""COMPUTED_VALUE"""),7.0)</f>
        <v>7</v>
      </c>
      <c r="I1820" s="11">
        <f>IFERROR(__xludf.DUMMYFUNCTION("""COMPUTED_VALUE"""),946.0)</f>
        <v>946</v>
      </c>
      <c r="J1820" s="9" t="str">
        <f>IFERROR(__xludf.DUMMYFUNCTION("""COMPUTED_VALUE"""),"UK")</f>
        <v>UK</v>
      </c>
      <c r="K1820" s="8"/>
      <c r="L1820" s="12"/>
      <c r="M1820" s="13"/>
      <c r="N1820" s="13" t="str">
        <f>IFERROR(__xludf.DUMMYFUNCTION("IF(ISBLANK(M1820),"""",M1820*GOOGLEFINANCE(""USDGBP""))"),"")</f>
        <v/>
      </c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  <c r="FG1820" s="8"/>
      <c r="FH1820" s="8"/>
      <c r="FI1820" s="8"/>
      <c r="FJ1820" s="8"/>
      <c r="FK1820" s="8"/>
      <c r="FL1820" s="8"/>
      <c r="FM1820" s="8"/>
      <c r="FN1820" s="8"/>
      <c r="FO1820" s="8"/>
      <c r="FP1820" s="8"/>
      <c r="FQ1820" s="8"/>
      <c r="FR1820" s="8"/>
      <c r="FS1820" s="8"/>
      <c r="FT1820" s="8"/>
      <c r="FU1820" s="8"/>
      <c r="FV1820" s="8"/>
      <c r="FW1820" s="8"/>
      <c r="FX1820" s="8"/>
      <c r="FY1820" s="8"/>
      <c r="FZ1820" s="8"/>
      <c r="GA1820" s="8"/>
      <c r="GB1820" s="8"/>
      <c r="GC1820" s="8"/>
      <c r="GD1820" s="8"/>
      <c r="GE1820" s="8"/>
      <c r="GF1820" s="8"/>
      <c r="GG1820" s="8"/>
      <c r="GH1820" s="8"/>
      <c r="GI1820" s="8"/>
      <c r="GJ1820" s="8"/>
      <c r="GK1820" s="8"/>
      <c r="GL1820" s="8"/>
      <c r="GM1820" s="8"/>
      <c r="GN1820" s="8"/>
      <c r="GO1820" s="8"/>
      <c r="GP1820" s="8"/>
      <c r="GQ1820" s="8"/>
      <c r="GR1820" s="8"/>
      <c r="GS1820" s="8"/>
      <c r="GT1820" s="8"/>
      <c r="GU1820" s="8"/>
      <c r="GV1820" s="8"/>
      <c r="GW1820" s="8"/>
      <c r="GX1820" s="8"/>
    </row>
    <row r="1821">
      <c r="A1821" s="8" t="str">
        <f>IFERROR(__xludf.DUMMYFUNCTION("""COMPUTED_VALUE"""),"147179920180600750")</f>
        <v>147179920180600750</v>
      </c>
      <c r="B1821" s="9" t="str">
        <f>IFERROR(__xludf.DUMMYFUNCTION("""COMPUTED_VALUE"""),"Italy")</f>
        <v>Italy</v>
      </c>
      <c r="C1821" s="9" t="str">
        <f>IFERROR(__xludf.DUMMYFUNCTION("""COMPUTED_VALUE"""),"piedmont")</f>
        <v>piedmont</v>
      </c>
      <c r="D1821" s="9" t="str">
        <f>IFERROR(__xludf.DUMMYFUNCTION("""COMPUTED_VALUE"""),"Ceretto, Barbaresco, Asili")</f>
        <v>Ceretto, Barbaresco, Asili</v>
      </c>
      <c r="E1821" s="9">
        <f>IFERROR(__xludf.DUMMYFUNCTION("""COMPUTED_VALUE"""),2018.0)</f>
        <v>2018</v>
      </c>
      <c r="F1821" s="9">
        <f>IFERROR(__xludf.DUMMYFUNCTION("""COMPUTED_VALUE"""),750.0)</f>
        <v>750</v>
      </c>
      <c r="G1821" s="9">
        <f>IFERROR(__xludf.DUMMYFUNCTION("""COMPUTED_VALUE"""),6.0)</f>
        <v>6</v>
      </c>
      <c r="H1821" s="10">
        <f>IFERROR(__xludf.DUMMYFUNCTION("""COMPUTED_VALUE"""),14.0)</f>
        <v>14</v>
      </c>
      <c r="I1821" s="11">
        <f>IFERROR(__xludf.DUMMYFUNCTION("""COMPUTED_VALUE"""),723.0)</f>
        <v>723</v>
      </c>
      <c r="J1821" s="9" t="str">
        <f>IFERROR(__xludf.DUMMYFUNCTION("""COMPUTED_VALUE"""),"UK")</f>
        <v>UK</v>
      </c>
      <c r="K1821" s="8"/>
      <c r="L1821" s="12"/>
      <c r="M1821" s="13"/>
      <c r="N1821" s="13" t="str">
        <f>IFERROR(__xludf.DUMMYFUNCTION("IF(ISBLANK(M1821),"""",M1821*GOOGLEFINANCE(""USDGBP""))"),"")</f>
        <v/>
      </c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  <c r="FG1821" s="8"/>
      <c r="FH1821" s="8"/>
      <c r="FI1821" s="8"/>
      <c r="FJ1821" s="8"/>
      <c r="FK1821" s="8"/>
      <c r="FL1821" s="8"/>
      <c r="FM1821" s="8"/>
      <c r="FN1821" s="8"/>
      <c r="FO1821" s="8"/>
      <c r="FP1821" s="8"/>
      <c r="FQ1821" s="8"/>
      <c r="FR1821" s="8"/>
      <c r="FS1821" s="8"/>
      <c r="FT1821" s="8"/>
      <c r="FU1821" s="8"/>
      <c r="FV1821" s="8"/>
      <c r="FW1821" s="8"/>
      <c r="FX1821" s="8"/>
      <c r="FY1821" s="8"/>
      <c r="FZ1821" s="8"/>
      <c r="GA1821" s="8"/>
      <c r="GB1821" s="8"/>
      <c r="GC1821" s="8"/>
      <c r="GD1821" s="8"/>
      <c r="GE1821" s="8"/>
      <c r="GF1821" s="8"/>
      <c r="GG1821" s="8"/>
      <c r="GH1821" s="8"/>
      <c r="GI1821" s="8"/>
      <c r="GJ1821" s="8"/>
      <c r="GK1821" s="8"/>
      <c r="GL1821" s="8"/>
      <c r="GM1821" s="8"/>
      <c r="GN1821" s="8"/>
      <c r="GO1821" s="8"/>
      <c r="GP1821" s="8"/>
      <c r="GQ1821" s="8"/>
      <c r="GR1821" s="8"/>
      <c r="GS1821" s="8"/>
      <c r="GT1821" s="8"/>
      <c r="GU1821" s="8"/>
      <c r="GV1821" s="8"/>
      <c r="GW1821" s="8"/>
      <c r="GX1821" s="8"/>
    </row>
    <row r="1822">
      <c r="A1822" s="8" t="str">
        <f>IFERROR(__xludf.DUMMYFUNCTION("""COMPUTED_VALUE"""),"147179920190600750")</f>
        <v>147179920190600750</v>
      </c>
      <c r="B1822" s="9" t="str">
        <f>IFERROR(__xludf.DUMMYFUNCTION("""COMPUTED_VALUE"""),"Italy")</f>
        <v>Italy</v>
      </c>
      <c r="C1822" s="9" t="str">
        <f>IFERROR(__xludf.DUMMYFUNCTION("""COMPUTED_VALUE"""),"piedmont")</f>
        <v>piedmont</v>
      </c>
      <c r="D1822" s="9" t="str">
        <f>IFERROR(__xludf.DUMMYFUNCTION("""COMPUTED_VALUE"""),"Ceretto, Barbaresco, Asili")</f>
        <v>Ceretto, Barbaresco, Asili</v>
      </c>
      <c r="E1822" s="9">
        <f>IFERROR(__xludf.DUMMYFUNCTION("""COMPUTED_VALUE"""),2019.0)</f>
        <v>2019</v>
      </c>
      <c r="F1822" s="9">
        <f>IFERROR(__xludf.DUMMYFUNCTION("""COMPUTED_VALUE"""),750.0)</f>
        <v>750</v>
      </c>
      <c r="G1822" s="9">
        <f>IFERROR(__xludf.DUMMYFUNCTION("""COMPUTED_VALUE"""),6.0)</f>
        <v>6</v>
      </c>
      <c r="H1822" s="10">
        <f>IFERROR(__xludf.DUMMYFUNCTION("""COMPUTED_VALUE"""),2.0)</f>
        <v>2</v>
      </c>
      <c r="I1822" s="11">
        <f>IFERROR(__xludf.DUMMYFUNCTION("""COMPUTED_VALUE"""),566.0)</f>
        <v>566</v>
      </c>
      <c r="J1822" s="9" t="str">
        <f>IFERROR(__xludf.DUMMYFUNCTION("""COMPUTED_VALUE"""),"UK")</f>
        <v>UK</v>
      </c>
      <c r="K1822" s="8"/>
      <c r="L1822" s="12"/>
      <c r="M1822" s="13"/>
      <c r="N1822" s="13" t="str">
        <f>IFERROR(__xludf.DUMMYFUNCTION("IF(ISBLANK(M1822),"""",M1822*GOOGLEFINANCE(""USDGBP""))"),"")</f>
        <v/>
      </c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  <c r="GG1822" s="8"/>
      <c r="GH1822" s="8"/>
      <c r="GI1822" s="8"/>
      <c r="GJ1822" s="8"/>
      <c r="GK1822" s="8"/>
      <c r="GL1822" s="8"/>
      <c r="GM1822" s="8"/>
      <c r="GN1822" s="8"/>
      <c r="GO1822" s="8"/>
      <c r="GP1822" s="8"/>
      <c r="GQ1822" s="8"/>
      <c r="GR1822" s="8"/>
      <c r="GS1822" s="8"/>
      <c r="GT1822" s="8"/>
      <c r="GU1822" s="8"/>
      <c r="GV1822" s="8"/>
      <c r="GW1822" s="8"/>
      <c r="GX1822" s="8"/>
    </row>
    <row r="1823">
      <c r="A1823" s="8" t="str">
        <f>IFERROR(__xludf.DUMMYFUNCTION("""COMPUTED_VALUE"""),"131451120130600750")</f>
        <v>131451120130600750</v>
      </c>
      <c r="B1823" s="9" t="str">
        <f>IFERROR(__xludf.DUMMYFUNCTION("""COMPUTED_VALUE"""),"Italy")</f>
        <v>Italy</v>
      </c>
      <c r="C1823" s="9" t="str">
        <f>IFERROR(__xludf.DUMMYFUNCTION("""COMPUTED_VALUE"""),"piedmont")</f>
        <v>piedmont</v>
      </c>
      <c r="D1823" s="9" t="str">
        <f>IFERROR(__xludf.DUMMYFUNCTION("""COMPUTED_VALUE"""),"Ceretto, Barbaresco, Bernadot")</f>
        <v>Ceretto, Barbaresco, Bernadot</v>
      </c>
      <c r="E1823" s="9">
        <f>IFERROR(__xludf.DUMMYFUNCTION("""COMPUTED_VALUE"""),2013.0)</f>
        <v>2013</v>
      </c>
      <c r="F1823" s="9">
        <f>IFERROR(__xludf.DUMMYFUNCTION("""COMPUTED_VALUE"""),750.0)</f>
        <v>750</v>
      </c>
      <c r="G1823" s="9">
        <f>IFERROR(__xludf.DUMMYFUNCTION("""COMPUTED_VALUE"""),6.0)</f>
        <v>6</v>
      </c>
      <c r="H1823" s="10">
        <f>IFERROR(__xludf.DUMMYFUNCTION("""COMPUTED_VALUE"""),1.0)</f>
        <v>1</v>
      </c>
      <c r="I1823" s="11">
        <f>IFERROR(__xludf.DUMMYFUNCTION("""COMPUTED_VALUE"""),459.0)</f>
        <v>459</v>
      </c>
      <c r="J1823" s="9" t="str">
        <f>IFERROR(__xludf.DUMMYFUNCTION("""COMPUTED_VALUE"""),"UK")</f>
        <v>UK</v>
      </c>
      <c r="K1823" s="8"/>
      <c r="L1823" s="12"/>
      <c r="M1823" s="13"/>
      <c r="N1823" s="13" t="str">
        <f>IFERROR(__xludf.DUMMYFUNCTION("IF(ISBLANK(M1823),"""",M1823*GOOGLEFINANCE(""USDGBP""))"),"")</f>
        <v/>
      </c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H1823" s="8"/>
      <c r="FI1823" s="8"/>
      <c r="FJ1823" s="8"/>
      <c r="FK1823" s="8"/>
      <c r="FL1823" s="8"/>
      <c r="FM1823" s="8"/>
      <c r="FN1823" s="8"/>
      <c r="FO1823" s="8"/>
      <c r="FP1823" s="8"/>
      <c r="FQ1823" s="8"/>
      <c r="FR1823" s="8"/>
      <c r="FS1823" s="8"/>
      <c r="FT1823" s="8"/>
      <c r="FU1823" s="8"/>
      <c r="FV1823" s="8"/>
      <c r="FW1823" s="8"/>
      <c r="FX1823" s="8"/>
      <c r="FY1823" s="8"/>
      <c r="FZ1823" s="8"/>
      <c r="GA1823" s="8"/>
      <c r="GB1823" s="8"/>
      <c r="GC1823" s="8"/>
      <c r="GD1823" s="8"/>
      <c r="GE1823" s="8"/>
      <c r="GF1823" s="8"/>
      <c r="GG1823" s="8"/>
      <c r="GH1823" s="8"/>
      <c r="GI1823" s="8"/>
      <c r="GJ1823" s="8"/>
      <c r="GK1823" s="8"/>
      <c r="GL1823" s="8"/>
      <c r="GM1823" s="8"/>
      <c r="GN1823" s="8"/>
      <c r="GO1823" s="8"/>
      <c r="GP1823" s="8"/>
      <c r="GQ1823" s="8"/>
      <c r="GR1823" s="8"/>
      <c r="GS1823" s="8"/>
      <c r="GT1823" s="8"/>
      <c r="GU1823" s="8"/>
      <c r="GV1823" s="8"/>
      <c r="GW1823" s="8"/>
      <c r="GX1823" s="8"/>
    </row>
    <row r="1824">
      <c r="A1824" s="8" t="str">
        <f>IFERROR(__xludf.DUMMYFUNCTION("""COMPUTED_VALUE"""),"131451120140600750")</f>
        <v>131451120140600750</v>
      </c>
      <c r="B1824" s="9" t="str">
        <f>IFERROR(__xludf.DUMMYFUNCTION("""COMPUTED_VALUE"""),"Italy")</f>
        <v>Italy</v>
      </c>
      <c r="C1824" s="9" t="str">
        <f>IFERROR(__xludf.DUMMYFUNCTION("""COMPUTED_VALUE"""),"piedmont")</f>
        <v>piedmont</v>
      </c>
      <c r="D1824" s="9" t="str">
        <f>IFERROR(__xludf.DUMMYFUNCTION("""COMPUTED_VALUE"""),"Ceretto, Barbaresco, Bernadot")</f>
        <v>Ceretto, Barbaresco, Bernadot</v>
      </c>
      <c r="E1824" s="9">
        <f>IFERROR(__xludf.DUMMYFUNCTION("""COMPUTED_VALUE"""),2014.0)</f>
        <v>2014</v>
      </c>
      <c r="F1824" s="9">
        <f>IFERROR(__xludf.DUMMYFUNCTION("""COMPUTED_VALUE"""),750.0)</f>
        <v>750</v>
      </c>
      <c r="G1824" s="9">
        <f>IFERROR(__xludf.DUMMYFUNCTION("""COMPUTED_VALUE"""),6.0)</f>
        <v>6</v>
      </c>
      <c r="H1824" s="10">
        <f>IFERROR(__xludf.DUMMYFUNCTION("""COMPUTED_VALUE"""),1.0)</f>
        <v>1</v>
      </c>
      <c r="I1824" s="11">
        <f>IFERROR(__xludf.DUMMYFUNCTION("""COMPUTED_VALUE"""),453.0)</f>
        <v>453</v>
      </c>
      <c r="J1824" s="9" t="str">
        <f>IFERROR(__xludf.DUMMYFUNCTION("""COMPUTED_VALUE"""),"UK")</f>
        <v>UK</v>
      </c>
      <c r="K1824" s="8"/>
      <c r="L1824" s="12"/>
      <c r="M1824" s="13"/>
      <c r="N1824" s="13" t="str">
        <f>IFERROR(__xludf.DUMMYFUNCTION("IF(ISBLANK(M1824),"""",M1824*GOOGLEFINANCE(""USDGBP""))"),"")</f>
        <v/>
      </c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H1824" s="8"/>
      <c r="FI1824" s="8"/>
      <c r="FJ1824" s="8"/>
      <c r="FK1824" s="8"/>
      <c r="FL1824" s="8"/>
      <c r="FM1824" s="8"/>
      <c r="FN1824" s="8"/>
      <c r="FO1824" s="8"/>
      <c r="FP1824" s="8"/>
      <c r="FQ1824" s="8"/>
      <c r="FR1824" s="8"/>
      <c r="FS1824" s="8"/>
      <c r="FT1824" s="8"/>
      <c r="FU1824" s="8"/>
      <c r="FV1824" s="8"/>
      <c r="FW1824" s="8"/>
      <c r="FX1824" s="8"/>
      <c r="FY1824" s="8"/>
      <c r="FZ1824" s="8"/>
      <c r="GA1824" s="8"/>
      <c r="GB1824" s="8"/>
      <c r="GC1824" s="8"/>
      <c r="GD1824" s="8"/>
      <c r="GE1824" s="8"/>
      <c r="GF1824" s="8"/>
      <c r="GG1824" s="8"/>
      <c r="GH1824" s="8"/>
      <c r="GI1824" s="8"/>
      <c r="GJ1824" s="8"/>
      <c r="GK1824" s="8"/>
      <c r="GL1824" s="8"/>
      <c r="GM1824" s="8"/>
      <c r="GN1824" s="8"/>
      <c r="GO1824" s="8"/>
      <c r="GP1824" s="8"/>
      <c r="GQ1824" s="8"/>
      <c r="GR1824" s="8"/>
      <c r="GS1824" s="8"/>
      <c r="GT1824" s="8"/>
      <c r="GU1824" s="8"/>
      <c r="GV1824" s="8"/>
      <c r="GW1824" s="8"/>
      <c r="GX1824" s="8"/>
    </row>
    <row r="1825">
      <c r="A1825" s="8" t="str">
        <f>IFERROR(__xludf.DUMMYFUNCTION("""COMPUTED_VALUE"""),"131451120150600750")</f>
        <v>131451120150600750</v>
      </c>
      <c r="B1825" s="9" t="str">
        <f>IFERROR(__xludf.DUMMYFUNCTION("""COMPUTED_VALUE"""),"Italy")</f>
        <v>Italy</v>
      </c>
      <c r="C1825" s="9" t="str">
        <f>IFERROR(__xludf.DUMMYFUNCTION("""COMPUTED_VALUE"""),"piedmont")</f>
        <v>piedmont</v>
      </c>
      <c r="D1825" s="9" t="str">
        <f>IFERROR(__xludf.DUMMYFUNCTION("""COMPUTED_VALUE"""),"Ceretto, Barbaresco, Bernadot")</f>
        <v>Ceretto, Barbaresco, Bernadot</v>
      </c>
      <c r="E1825" s="9">
        <f>IFERROR(__xludf.DUMMYFUNCTION("""COMPUTED_VALUE"""),2015.0)</f>
        <v>2015</v>
      </c>
      <c r="F1825" s="9">
        <f>IFERROR(__xludf.DUMMYFUNCTION("""COMPUTED_VALUE"""),750.0)</f>
        <v>750</v>
      </c>
      <c r="G1825" s="9">
        <f>IFERROR(__xludf.DUMMYFUNCTION("""COMPUTED_VALUE"""),6.0)</f>
        <v>6</v>
      </c>
      <c r="H1825" s="10">
        <f>IFERROR(__xludf.DUMMYFUNCTION("""COMPUTED_VALUE"""),1.0)</f>
        <v>1</v>
      </c>
      <c r="I1825" s="11">
        <f>IFERROR(__xludf.DUMMYFUNCTION("""COMPUTED_VALUE"""),403.0)</f>
        <v>403</v>
      </c>
      <c r="J1825" s="9" t="str">
        <f>IFERROR(__xludf.DUMMYFUNCTION("""COMPUTED_VALUE"""),"UK")</f>
        <v>UK</v>
      </c>
      <c r="K1825" s="8"/>
      <c r="L1825" s="12"/>
      <c r="M1825" s="13"/>
      <c r="N1825" s="13" t="str">
        <f>IFERROR(__xludf.DUMMYFUNCTION("IF(ISBLANK(M1825),"""",M1825*GOOGLEFINANCE(""USDGBP""))"),"")</f>
        <v/>
      </c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H1825" s="8"/>
      <c r="FI1825" s="8"/>
      <c r="FJ1825" s="8"/>
      <c r="FK1825" s="8"/>
      <c r="FL1825" s="8"/>
      <c r="FM1825" s="8"/>
      <c r="FN1825" s="8"/>
      <c r="FO1825" s="8"/>
      <c r="FP1825" s="8"/>
      <c r="FQ1825" s="8"/>
      <c r="FR1825" s="8"/>
      <c r="FS1825" s="8"/>
      <c r="FT1825" s="8"/>
      <c r="FU1825" s="8"/>
      <c r="FV1825" s="8"/>
      <c r="FW1825" s="8"/>
      <c r="FX1825" s="8"/>
      <c r="FY1825" s="8"/>
      <c r="FZ1825" s="8"/>
      <c r="GA1825" s="8"/>
      <c r="GB1825" s="8"/>
      <c r="GC1825" s="8"/>
      <c r="GD1825" s="8"/>
      <c r="GE1825" s="8"/>
      <c r="GF1825" s="8"/>
      <c r="GG1825" s="8"/>
      <c r="GH1825" s="8"/>
      <c r="GI1825" s="8"/>
      <c r="GJ1825" s="8"/>
      <c r="GK1825" s="8"/>
      <c r="GL1825" s="8"/>
      <c r="GM1825" s="8"/>
      <c r="GN1825" s="8"/>
      <c r="GO1825" s="8"/>
      <c r="GP1825" s="8"/>
      <c r="GQ1825" s="8"/>
      <c r="GR1825" s="8"/>
      <c r="GS1825" s="8"/>
      <c r="GT1825" s="8"/>
      <c r="GU1825" s="8"/>
      <c r="GV1825" s="8"/>
      <c r="GW1825" s="8"/>
      <c r="GX1825" s="8"/>
    </row>
    <row r="1826">
      <c r="A1826" s="8" t="str">
        <f>IFERROR(__xludf.DUMMYFUNCTION("""COMPUTED_VALUE"""),"131451120160600750")</f>
        <v>131451120160600750</v>
      </c>
      <c r="B1826" s="9" t="str">
        <f>IFERROR(__xludf.DUMMYFUNCTION("""COMPUTED_VALUE"""),"Italy")</f>
        <v>Italy</v>
      </c>
      <c r="C1826" s="9" t="str">
        <f>IFERROR(__xludf.DUMMYFUNCTION("""COMPUTED_VALUE"""),"piedmont")</f>
        <v>piedmont</v>
      </c>
      <c r="D1826" s="9" t="str">
        <f>IFERROR(__xludf.DUMMYFUNCTION("""COMPUTED_VALUE"""),"Ceretto, Barbaresco, Bernadot")</f>
        <v>Ceretto, Barbaresco, Bernadot</v>
      </c>
      <c r="E1826" s="9">
        <f>IFERROR(__xludf.DUMMYFUNCTION("""COMPUTED_VALUE"""),2016.0)</f>
        <v>2016</v>
      </c>
      <c r="F1826" s="9">
        <f>IFERROR(__xludf.DUMMYFUNCTION("""COMPUTED_VALUE"""),750.0)</f>
        <v>750</v>
      </c>
      <c r="G1826" s="9">
        <f>IFERROR(__xludf.DUMMYFUNCTION("""COMPUTED_VALUE"""),6.0)</f>
        <v>6</v>
      </c>
      <c r="H1826" s="10">
        <f>IFERROR(__xludf.DUMMYFUNCTION("""COMPUTED_VALUE"""),1.0)</f>
        <v>1</v>
      </c>
      <c r="I1826" s="11">
        <f>IFERROR(__xludf.DUMMYFUNCTION("""COMPUTED_VALUE"""),414.0)</f>
        <v>414</v>
      </c>
      <c r="J1826" s="9" t="str">
        <f>IFERROR(__xludf.DUMMYFUNCTION("""COMPUTED_VALUE"""),"UK")</f>
        <v>UK</v>
      </c>
      <c r="K1826" s="8"/>
      <c r="L1826" s="12"/>
      <c r="M1826" s="13"/>
      <c r="N1826" s="13" t="str">
        <f>IFERROR(__xludf.DUMMYFUNCTION("IF(ISBLANK(M1826),"""",M1826*GOOGLEFINANCE(""USDGBP""))"),"")</f>
        <v/>
      </c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H1826" s="8"/>
      <c r="FI1826" s="8"/>
      <c r="FJ1826" s="8"/>
      <c r="FK1826" s="8"/>
      <c r="FL1826" s="8"/>
      <c r="FM1826" s="8"/>
      <c r="FN1826" s="8"/>
      <c r="FO1826" s="8"/>
      <c r="FP1826" s="8"/>
      <c r="FQ1826" s="8"/>
      <c r="FR1826" s="8"/>
      <c r="FS1826" s="8"/>
      <c r="FT1826" s="8"/>
      <c r="FU1826" s="8"/>
      <c r="FV1826" s="8"/>
      <c r="FW1826" s="8"/>
      <c r="FX1826" s="8"/>
      <c r="FY1826" s="8"/>
      <c r="FZ1826" s="8"/>
      <c r="GA1826" s="8"/>
      <c r="GB1826" s="8"/>
      <c r="GC1826" s="8"/>
      <c r="GD1826" s="8"/>
      <c r="GE1826" s="8"/>
      <c r="GF1826" s="8"/>
      <c r="GG1826" s="8"/>
      <c r="GH1826" s="8"/>
      <c r="GI1826" s="8"/>
      <c r="GJ1826" s="8"/>
      <c r="GK1826" s="8"/>
      <c r="GL1826" s="8"/>
      <c r="GM1826" s="8"/>
      <c r="GN1826" s="8"/>
      <c r="GO1826" s="8"/>
      <c r="GP1826" s="8"/>
      <c r="GQ1826" s="8"/>
      <c r="GR1826" s="8"/>
      <c r="GS1826" s="8"/>
      <c r="GT1826" s="8"/>
      <c r="GU1826" s="8"/>
      <c r="GV1826" s="8"/>
      <c r="GW1826" s="8"/>
      <c r="GX1826" s="8"/>
    </row>
    <row r="1827">
      <c r="A1827" s="8" t="str">
        <f>IFERROR(__xludf.DUMMYFUNCTION("""COMPUTED_VALUE"""),"131451120170600750")</f>
        <v>131451120170600750</v>
      </c>
      <c r="B1827" s="9" t="str">
        <f>IFERROR(__xludf.DUMMYFUNCTION("""COMPUTED_VALUE"""),"Italy")</f>
        <v>Italy</v>
      </c>
      <c r="C1827" s="9" t="str">
        <f>IFERROR(__xludf.DUMMYFUNCTION("""COMPUTED_VALUE"""),"piedmont")</f>
        <v>piedmont</v>
      </c>
      <c r="D1827" s="9" t="str">
        <f>IFERROR(__xludf.DUMMYFUNCTION("""COMPUTED_VALUE"""),"Ceretto, Barbaresco, Bernadot")</f>
        <v>Ceretto, Barbaresco, Bernadot</v>
      </c>
      <c r="E1827" s="9">
        <f>IFERROR(__xludf.DUMMYFUNCTION("""COMPUTED_VALUE"""),2017.0)</f>
        <v>2017</v>
      </c>
      <c r="F1827" s="9">
        <f>IFERROR(__xludf.DUMMYFUNCTION("""COMPUTED_VALUE"""),750.0)</f>
        <v>750</v>
      </c>
      <c r="G1827" s="9">
        <f>IFERROR(__xludf.DUMMYFUNCTION("""COMPUTED_VALUE"""),6.0)</f>
        <v>6</v>
      </c>
      <c r="H1827" s="10">
        <f>IFERROR(__xludf.DUMMYFUNCTION("""COMPUTED_VALUE"""),3.0)</f>
        <v>3</v>
      </c>
      <c r="I1827" s="11">
        <f>IFERROR(__xludf.DUMMYFUNCTION("""COMPUTED_VALUE"""),549.0)</f>
        <v>549</v>
      </c>
      <c r="J1827" s="9" t="str">
        <f>IFERROR(__xludf.DUMMYFUNCTION("""COMPUTED_VALUE"""),"UK")</f>
        <v>UK</v>
      </c>
      <c r="K1827" s="8"/>
      <c r="L1827" s="12"/>
      <c r="M1827" s="13"/>
      <c r="N1827" s="13" t="str">
        <f>IFERROR(__xludf.DUMMYFUNCTION("IF(ISBLANK(M1827),"""",M1827*GOOGLEFINANCE(""USDGBP""))"),"")</f>
        <v/>
      </c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H1827" s="8"/>
      <c r="FI1827" s="8"/>
      <c r="FJ1827" s="8"/>
      <c r="FK1827" s="8"/>
      <c r="FL1827" s="8"/>
      <c r="FM1827" s="8"/>
      <c r="FN1827" s="8"/>
      <c r="FO1827" s="8"/>
      <c r="FP1827" s="8"/>
      <c r="FQ1827" s="8"/>
      <c r="FR1827" s="8"/>
      <c r="FS1827" s="8"/>
      <c r="FT1827" s="8"/>
      <c r="FU1827" s="8"/>
      <c r="FV1827" s="8"/>
      <c r="FW1827" s="8"/>
      <c r="FX1827" s="8"/>
      <c r="FY1827" s="8"/>
      <c r="FZ1827" s="8"/>
      <c r="GA1827" s="8"/>
      <c r="GB1827" s="8"/>
      <c r="GC1827" s="8"/>
      <c r="GD1827" s="8"/>
      <c r="GE1827" s="8"/>
      <c r="GF1827" s="8"/>
      <c r="GG1827" s="8"/>
      <c r="GH1827" s="8"/>
      <c r="GI1827" s="8"/>
      <c r="GJ1827" s="8"/>
      <c r="GK1827" s="8"/>
      <c r="GL1827" s="8"/>
      <c r="GM1827" s="8"/>
      <c r="GN1827" s="8"/>
      <c r="GO1827" s="8"/>
      <c r="GP1827" s="8"/>
      <c r="GQ1827" s="8"/>
      <c r="GR1827" s="8"/>
      <c r="GS1827" s="8"/>
      <c r="GT1827" s="8"/>
      <c r="GU1827" s="8"/>
      <c r="GV1827" s="8"/>
      <c r="GW1827" s="8"/>
      <c r="GX1827" s="8"/>
    </row>
    <row r="1828">
      <c r="A1828" s="8" t="str">
        <f>IFERROR(__xludf.DUMMYFUNCTION("""COMPUTED_VALUE"""),"131451120180600750")</f>
        <v>131451120180600750</v>
      </c>
      <c r="B1828" s="9" t="str">
        <f>IFERROR(__xludf.DUMMYFUNCTION("""COMPUTED_VALUE"""),"Italy")</f>
        <v>Italy</v>
      </c>
      <c r="C1828" s="9" t="str">
        <f>IFERROR(__xludf.DUMMYFUNCTION("""COMPUTED_VALUE"""),"piedmont")</f>
        <v>piedmont</v>
      </c>
      <c r="D1828" s="9" t="str">
        <f>IFERROR(__xludf.DUMMYFUNCTION("""COMPUTED_VALUE"""),"Ceretto, Barbaresco, Bernadot")</f>
        <v>Ceretto, Barbaresco, Bernadot</v>
      </c>
      <c r="E1828" s="9">
        <f>IFERROR(__xludf.DUMMYFUNCTION("""COMPUTED_VALUE"""),2018.0)</f>
        <v>2018</v>
      </c>
      <c r="F1828" s="9">
        <f>IFERROR(__xludf.DUMMYFUNCTION("""COMPUTED_VALUE"""),750.0)</f>
        <v>750</v>
      </c>
      <c r="G1828" s="9">
        <f>IFERROR(__xludf.DUMMYFUNCTION("""COMPUTED_VALUE"""),6.0)</f>
        <v>6</v>
      </c>
      <c r="H1828" s="10">
        <f>IFERROR(__xludf.DUMMYFUNCTION("""COMPUTED_VALUE"""),3.0)</f>
        <v>3</v>
      </c>
      <c r="I1828" s="11">
        <f>IFERROR(__xludf.DUMMYFUNCTION("""COMPUTED_VALUE"""),409.0)</f>
        <v>409</v>
      </c>
      <c r="J1828" s="9" t="str">
        <f>IFERROR(__xludf.DUMMYFUNCTION("""COMPUTED_VALUE"""),"UK")</f>
        <v>UK</v>
      </c>
      <c r="K1828" s="8"/>
      <c r="L1828" s="12"/>
      <c r="M1828" s="13"/>
      <c r="N1828" s="13" t="str">
        <f>IFERROR(__xludf.DUMMYFUNCTION("IF(ISBLANK(M1828),"""",M1828*GOOGLEFINANCE(""USDGBP""))"),"")</f>
        <v/>
      </c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H1828" s="8"/>
      <c r="FI1828" s="8"/>
      <c r="FJ1828" s="8"/>
      <c r="FK1828" s="8"/>
      <c r="FL1828" s="8"/>
      <c r="FM1828" s="8"/>
      <c r="FN1828" s="8"/>
      <c r="FO1828" s="8"/>
      <c r="FP1828" s="8"/>
      <c r="FQ1828" s="8"/>
      <c r="FR1828" s="8"/>
      <c r="FS1828" s="8"/>
      <c r="FT1828" s="8"/>
      <c r="FU1828" s="8"/>
      <c r="FV1828" s="8"/>
      <c r="FW1828" s="8"/>
      <c r="FX1828" s="8"/>
      <c r="FY1828" s="8"/>
      <c r="FZ1828" s="8"/>
      <c r="GA1828" s="8"/>
      <c r="GB1828" s="8"/>
      <c r="GC1828" s="8"/>
      <c r="GD1828" s="8"/>
      <c r="GE1828" s="8"/>
      <c r="GF1828" s="8"/>
      <c r="GG1828" s="8"/>
      <c r="GH1828" s="8"/>
      <c r="GI1828" s="8"/>
      <c r="GJ1828" s="8"/>
      <c r="GK1828" s="8"/>
      <c r="GL1828" s="8"/>
      <c r="GM1828" s="8"/>
      <c r="GN1828" s="8"/>
      <c r="GO1828" s="8"/>
      <c r="GP1828" s="8"/>
      <c r="GQ1828" s="8"/>
      <c r="GR1828" s="8"/>
      <c r="GS1828" s="8"/>
      <c r="GT1828" s="8"/>
      <c r="GU1828" s="8"/>
      <c r="GV1828" s="8"/>
      <c r="GW1828" s="8"/>
      <c r="GX1828" s="8"/>
    </row>
    <row r="1829">
      <c r="A1829" s="8" t="str">
        <f>IFERROR(__xludf.DUMMYFUNCTION("""COMPUTED_VALUE"""),"131451120190600750")</f>
        <v>131451120190600750</v>
      </c>
      <c r="B1829" s="9" t="str">
        <f>IFERROR(__xludf.DUMMYFUNCTION("""COMPUTED_VALUE"""),"Italy")</f>
        <v>Italy</v>
      </c>
      <c r="C1829" s="9" t="str">
        <f>IFERROR(__xludf.DUMMYFUNCTION("""COMPUTED_VALUE"""),"piedmont")</f>
        <v>piedmont</v>
      </c>
      <c r="D1829" s="9" t="str">
        <f>IFERROR(__xludf.DUMMYFUNCTION("""COMPUTED_VALUE"""),"Ceretto, Barbaresco, Bernadot")</f>
        <v>Ceretto, Barbaresco, Bernadot</v>
      </c>
      <c r="E1829" s="9">
        <f>IFERROR(__xludf.DUMMYFUNCTION("""COMPUTED_VALUE"""),2019.0)</f>
        <v>2019</v>
      </c>
      <c r="F1829" s="9">
        <f>IFERROR(__xludf.DUMMYFUNCTION("""COMPUTED_VALUE"""),750.0)</f>
        <v>750</v>
      </c>
      <c r="G1829" s="9">
        <f>IFERROR(__xludf.DUMMYFUNCTION("""COMPUTED_VALUE"""),6.0)</f>
        <v>6</v>
      </c>
      <c r="H1829" s="10">
        <f>IFERROR(__xludf.DUMMYFUNCTION("""COMPUTED_VALUE"""),1.0)</f>
        <v>1</v>
      </c>
      <c r="I1829" s="11">
        <f>IFERROR(__xludf.DUMMYFUNCTION("""COMPUTED_VALUE"""),497.0)</f>
        <v>497</v>
      </c>
      <c r="J1829" s="9" t="str">
        <f>IFERROR(__xludf.DUMMYFUNCTION("""COMPUTED_VALUE"""),"UK")</f>
        <v>UK</v>
      </c>
      <c r="K1829" s="8"/>
      <c r="L1829" s="12"/>
      <c r="M1829" s="13"/>
      <c r="N1829" s="13" t="str">
        <f>IFERROR(__xludf.DUMMYFUNCTION("IF(ISBLANK(M1829),"""",M1829*GOOGLEFINANCE(""USDGBP""))"),"")</f>
        <v/>
      </c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H1829" s="8"/>
      <c r="FI1829" s="8"/>
      <c r="FJ1829" s="8"/>
      <c r="FK1829" s="8"/>
      <c r="FL1829" s="8"/>
      <c r="FM1829" s="8"/>
      <c r="FN1829" s="8"/>
      <c r="FO1829" s="8"/>
      <c r="FP1829" s="8"/>
      <c r="FQ1829" s="8"/>
      <c r="FR1829" s="8"/>
      <c r="FS1829" s="8"/>
      <c r="FT1829" s="8"/>
      <c r="FU1829" s="8"/>
      <c r="FV1829" s="8"/>
      <c r="FW1829" s="8"/>
      <c r="FX1829" s="8"/>
      <c r="FY1829" s="8"/>
      <c r="FZ1829" s="8"/>
      <c r="GA1829" s="8"/>
      <c r="GB1829" s="8"/>
      <c r="GC1829" s="8"/>
      <c r="GD1829" s="8"/>
      <c r="GE1829" s="8"/>
      <c r="GF1829" s="8"/>
      <c r="GG1829" s="8"/>
      <c r="GH1829" s="8"/>
      <c r="GI1829" s="8"/>
      <c r="GJ1829" s="8"/>
      <c r="GK1829" s="8"/>
      <c r="GL1829" s="8"/>
      <c r="GM1829" s="8"/>
      <c r="GN1829" s="8"/>
      <c r="GO1829" s="8"/>
      <c r="GP1829" s="8"/>
      <c r="GQ1829" s="8"/>
      <c r="GR1829" s="8"/>
      <c r="GS1829" s="8"/>
      <c r="GT1829" s="8"/>
      <c r="GU1829" s="8"/>
      <c r="GV1829" s="8"/>
      <c r="GW1829" s="8"/>
      <c r="GX1829" s="8"/>
    </row>
    <row r="1830">
      <c r="A1830" s="8" t="str">
        <f>IFERROR(__xludf.DUMMYFUNCTION("""COMPUTED_VALUE"""),"131455320130600750")</f>
        <v>131455320130600750</v>
      </c>
      <c r="B1830" s="9" t="str">
        <f>IFERROR(__xludf.DUMMYFUNCTION("""COMPUTED_VALUE"""),"Italy")</f>
        <v>Italy</v>
      </c>
      <c r="C1830" s="9" t="str">
        <f>IFERROR(__xludf.DUMMYFUNCTION("""COMPUTED_VALUE"""),"piedmont")</f>
        <v>piedmont</v>
      </c>
      <c r="D1830" s="9" t="str">
        <f>IFERROR(__xludf.DUMMYFUNCTION("""COMPUTED_VALUE"""),"Ceretto, Barolo, Bricco Rocche")</f>
        <v>Ceretto, Barolo, Bricco Rocche</v>
      </c>
      <c r="E1830" s="9">
        <f>IFERROR(__xludf.DUMMYFUNCTION("""COMPUTED_VALUE"""),2013.0)</f>
        <v>2013</v>
      </c>
      <c r="F1830" s="9">
        <f>IFERROR(__xludf.DUMMYFUNCTION("""COMPUTED_VALUE"""),750.0)</f>
        <v>750</v>
      </c>
      <c r="G1830" s="9">
        <f>IFERROR(__xludf.DUMMYFUNCTION("""COMPUTED_VALUE"""),6.0)</f>
        <v>6</v>
      </c>
      <c r="H1830" s="10">
        <f>IFERROR(__xludf.DUMMYFUNCTION("""COMPUTED_VALUE"""),1.0)</f>
        <v>1</v>
      </c>
      <c r="I1830" s="11">
        <f>IFERROR(__xludf.DUMMYFUNCTION("""COMPUTED_VALUE"""),1041.0)</f>
        <v>1041</v>
      </c>
      <c r="J1830" s="9" t="str">
        <f>IFERROR(__xludf.DUMMYFUNCTION("""COMPUTED_VALUE"""),"UK")</f>
        <v>UK</v>
      </c>
      <c r="K1830" s="8"/>
      <c r="L1830" s="12"/>
      <c r="M1830" s="13"/>
      <c r="N1830" s="13" t="str">
        <f>IFERROR(__xludf.DUMMYFUNCTION("IF(ISBLANK(M1830),"""",M1830*GOOGLEFINANCE(""USDGBP""))"),"")</f>
        <v/>
      </c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  <c r="FG1830" s="8"/>
      <c r="FH1830" s="8"/>
      <c r="FI1830" s="8"/>
      <c r="FJ1830" s="8"/>
      <c r="FK1830" s="8"/>
      <c r="FL1830" s="8"/>
      <c r="FM1830" s="8"/>
      <c r="FN1830" s="8"/>
      <c r="FO1830" s="8"/>
      <c r="FP1830" s="8"/>
      <c r="FQ1830" s="8"/>
      <c r="FR1830" s="8"/>
      <c r="FS1830" s="8"/>
      <c r="FT1830" s="8"/>
      <c r="FU1830" s="8"/>
      <c r="FV1830" s="8"/>
      <c r="FW1830" s="8"/>
      <c r="FX1830" s="8"/>
      <c r="FY1830" s="8"/>
      <c r="FZ1830" s="8"/>
      <c r="GA1830" s="8"/>
      <c r="GB1830" s="8"/>
      <c r="GC1830" s="8"/>
      <c r="GD1830" s="8"/>
      <c r="GE1830" s="8"/>
      <c r="GF1830" s="8"/>
      <c r="GG1830" s="8"/>
      <c r="GH1830" s="8"/>
      <c r="GI1830" s="8"/>
      <c r="GJ1830" s="8"/>
      <c r="GK1830" s="8"/>
      <c r="GL1830" s="8"/>
      <c r="GM1830" s="8"/>
      <c r="GN1830" s="8"/>
      <c r="GO1830" s="8"/>
      <c r="GP1830" s="8"/>
      <c r="GQ1830" s="8"/>
      <c r="GR1830" s="8"/>
      <c r="GS1830" s="8"/>
      <c r="GT1830" s="8"/>
      <c r="GU1830" s="8"/>
      <c r="GV1830" s="8"/>
      <c r="GW1830" s="8"/>
      <c r="GX1830" s="8"/>
    </row>
    <row r="1831">
      <c r="A1831" s="8" t="str">
        <f>IFERROR(__xludf.DUMMYFUNCTION("""COMPUTED_VALUE"""),"131455320180600750")</f>
        <v>131455320180600750</v>
      </c>
      <c r="B1831" s="9" t="str">
        <f>IFERROR(__xludf.DUMMYFUNCTION("""COMPUTED_VALUE"""),"Italy")</f>
        <v>Italy</v>
      </c>
      <c r="C1831" s="9" t="str">
        <f>IFERROR(__xludf.DUMMYFUNCTION("""COMPUTED_VALUE"""),"piedmont")</f>
        <v>piedmont</v>
      </c>
      <c r="D1831" s="9" t="str">
        <f>IFERROR(__xludf.DUMMYFUNCTION("""COMPUTED_VALUE"""),"Ceretto, Barolo, Bricco Rocche")</f>
        <v>Ceretto, Barolo, Bricco Rocche</v>
      </c>
      <c r="E1831" s="9">
        <f>IFERROR(__xludf.DUMMYFUNCTION("""COMPUTED_VALUE"""),2018.0)</f>
        <v>2018</v>
      </c>
      <c r="F1831" s="9">
        <f>IFERROR(__xludf.DUMMYFUNCTION("""COMPUTED_VALUE"""),750.0)</f>
        <v>750</v>
      </c>
      <c r="G1831" s="9">
        <f>IFERROR(__xludf.DUMMYFUNCTION("""COMPUTED_VALUE"""),6.0)</f>
        <v>6</v>
      </c>
      <c r="H1831" s="10">
        <f>IFERROR(__xludf.DUMMYFUNCTION("""COMPUTED_VALUE"""),2.0)</f>
        <v>2</v>
      </c>
      <c r="I1831" s="11">
        <f>IFERROR(__xludf.DUMMYFUNCTION("""COMPUTED_VALUE"""),747.0)</f>
        <v>747</v>
      </c>
      <c r="J1831" s="9" t="str">
        <f>IFERROR(__xludf.DUMMYFUNCTION("""COMPUTED_VALUE"""),"UK")</f>
        <v>UK</v>
      </c>
      <c r="K1831" s="8"/>
      <c r="L1831" s="12"/>
      <c r="M1831" s="13"/>
      <c r="N1831" s="13" t="str">
        <f>IFERROR(__xludf.DUMMYFUNCTION("IF(ISBLANK(M1831),"""",M1831*GOOGLEFINANCE(""USDGBP""))"),"")</f>
        <v/>
      </c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  <c r="FG1831" s="8"/>
      <c r="FH1831" s="8"/>
      <c r="FI1831" s="8"/>
      <c r="FJ1831" s="8"/>
      <c r="FK1831" s="8"/>
      <c r="FL1831" s="8"/>
      <c r="FM1831" s="8"/>
      <c r="FN1831" s="8"/>
      <c r="FO1831" s="8"/>
      <c r="FP1831" s="8"/>
      <c r="FQ1831" s="8"/>
      <c r="FR1831" s="8"/>
      <c r="FS1831" s="8"/>
      <c r="FT1831" s="8"/>
      <c r="FU1831" s="8"/>
      <c r="FV1831" s="8"/>
      <c r="FW1831" s="8"/>
      <c r="FX1831" s="8"/>
      <c r="FY1831" s="8"/>
      <c r="FZ1831" s="8"/>
      <c r="GA1831" s="8"/>
      <c r="GB1831" s="8"/>
      <c r="GC1831" s="8"/>
      <c r="GD1831" s="8"/>
      <c r="GE1831" s="8"/>
      <c r="GF1831" s="8"/>
      <c r="GG1831" s="8"/>
      <c r="GH1831" s="8"/>
      <c r="GI1831" s="8"/>
      <c r="GJ1831" s="8"/>
      <c r="GK1831" s="8"/>
      <c r="GL1831" s="8"/>
      <c r="GM1831" s="8"/>
      <c r="GN1831" s="8"/>
      <c r="GO1831" s="8"/>
      <c r="GP1831" s="8"/>
      <c r="GQ1831" s="8"/>
      <c r="GR1831" s="8"/>
      <c r="GS1831" s="8"/>
      <c r="GT1831" s="8"/>
      <c r="GU1831" s="8"/>
      <c r="GV1831" s="8"/>
      <c r="GW1831" s="8"/>
      <c r="GX1831" s="8"/>
    </row>
    <row r="1832">
      <c r="A1832" s="8" t="str">
        <f>IFERROR(__xludf.DUMMYFUNCTION("""COMPUTED_VALUE"""),"131453720150600750")</f>
        <v>131453720150600750</v>
      </c>
      <c r="B1832" s="9" t="str">
        <f>IFERROR(__xludf.DUMMYFUNCTION("""COMPUTED_VALUE"""),"Italy")</f>
        <v>Italy</v>
      </c>
      <c r="C1832" s="9" t="str">
        <f>IFERROR(__xludf.DUMMYFUNCTION("""COMPUTED_VALUE"""),"piedmont")</f>
        <v>piedmont</v>
      </c>
      <c r="D1832" s="9" t="str">
        <f>IFERROR(__xludf.DUMMYFUNCTION("""COMPUTED_VALUE"""),"Ceretto, Barolo, Brunate")</f>
        <v>Ceretto, Barolo, Brunate</v>
      </c>
      <c r="E1832" s="9">
        <f>IFERROR(__xludf.DUMMYFUNCTION("""COMPUTED_VALUE"""),2015.0)</f>
        <v>2015</v>
      </c>
      <c r="F1832" s="9">
        <f>IFERROR(__xludf.DUMMYFUNCTION("""COMPUTED_VALUE"""),750.0)</f>
        <v>750</v>
      </c>
      <c r="G1832" s="9">
        <f>IFERROR(__xludf.DUMMYFUNCTION("""COMPUTED_VALUE"""),6.0)</f>
        <v>6</v>
      </c>
      <c r="H1832" s="10">
        <f>IFERROR(__xludf.DUMMYFUNCTION("""COMPUTED_VALUE"""),5.0)</f>
        <v>5</v>
      </c>
      <c r="I1832" s="11">
        <f>IFERROR(__xludf.DUMMYFUNCTION("""COMPUTED_VALUE"""),465.0)</f>
        <v>465</v>
      </c>
      <c r="J1832" s="9" t="str">
        <f>IFERROR(__xludf.DUMMYFUNCTION("""COMPUTED_VALUE"""),"UK")</f>
        <v>UK</v>
      </c>
      <c r="K1832" s="8"/>
      <c r="L1832" s="12"/>
      <c r="M1832" s="13"/>
      <c r="N1832" s="13" t="str">
        <f>IFERROR(__xludf.DUMMYFUNCTION("IF(ISBLANK(M1832),"""",M1832*GOOGLEFINANCE(""USDGBP""))"),"")</f>
        <v/>
      </c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H1832" s="8"/>
      <c r="FI1832" s="8"/>
      <c r="FJ1832" s="8"/>
      <c r="FK1832" s="8"/>
      <c r="FL1832" s="8"/>
      <c r="FM1832" s="8"/>
      <c r="FN1832" s="8"/>
      <c r="FO1832" s="8"/>
      <c r="FP1832" s="8"/>
      <c r="FQ1832" s="8"/>
      <c r="FR1832" s="8"/>
      <c r="FS1832" s="8"/>
      <c r="FT1832" s="8"/>
      <c r="FU1832" s="8"/>
      <c r="FV1832" s="8"/>
      <c r="FW1832" s="8"/>
      <c r="FX1832" s="8"/>
      <c r="FY1832" s="8"/>
      <c r="FZ1832" s="8"/>
      <c r="GA1832" s="8"/>
      <c r="GB1832" s="8"/>
      <c r="GC1832" s="8"/>
      <c r="GD1832" s="8"/>
      <c r="GE1832" s="8"/>
      <c r="GF1832" s="8"/>
      <c r="GG1832" s="8"/>
      <c r="GH1832" s="8"/>
      <c r="GI1832" s="8"/>
      <c r="GJ1832" s="8"/>
      <c r="GK1832" s="8"/>
      <c r="GL1832" s="8"/>
      <c r="GM1832" s="8"/>
      <c r="GN1832" s="8"/>
      <c r="GO1832" s="8"/>
      <c r="GP1832" s="8"/>
      <c r="GQ1832" s="8"/>
      <c r="GR1832" s="8"/>
      <c r="GS1832" s="8"/>
      <c r="GT1832" s="8"/>
      <c r="GU1832" s="8"/>
      <c r="GV1832" s="8"/>
      <c r="GW1832" s="8"/>
      <c r="GX1832" s="8"/>
    </row>
    <row r="1833">
      <c r="A1833" s="8" t="str">
        <f>IFERROR(__xludf.DUMMYFUNCTION("""COMPUTED_VALUE"""),"131453720160600750")</f>
        <v>131453720160600750</v>
      </c>
      <c r="B1833" s="9" t="str">
        <f>IFERROR(__xludf.DUMMYFUNCTION("""COMPUTED_VALUE"""),"Italy")</f>
        <v>Italy</v>
      </c>
      <c r="C1833" s="9" t="str">
        <f>IFERROR(__xludf.DUMMYFUNCTION("""COMPUTED_VALUE"""),"piedmont")</f>
        <v>piedmont</v>
      </c>
      <c r="D1833" s="9" t="str">
        <f>IFERROR(__xludf.DUMMYFUNCTION("""COMPUTED_VALUE"""),"Ceretto, Barolo, Brunate")</f>
        <v>Ceretto, Barolo, Brunate</v>
      </c>
      <c r="E1833" s="9">
        <f>IFERROR(__xludf.DUMMYFUNCTION("""COMPUTED_VALUE"""),2016.0)</f>
        <v>2016</v>
      </c>
      <c r="F1833" s="9">
        <f>IFERROR(__xludf.DUMMYFUNCTION("""COMPUTED_VALUE"""),750.0)</f>
        <v>750</v>
      </c>
      <c r="G1833" s="9">
        <f>IFERROR(__xludf.DUMMYFUNCTION("""COMPUTED_VALUE"""),6.0)</f>
        <v>6</v>
      </c>
      <c r="H1833" s="10">
        <f>IFERROR(__xludf.DUMMYFUNCTION("""COMPUTED_VALUE"""),11.0)</f>
        <v>11</v>
      </c>
      <c r="I1833" s="11">
        <f>IFERROR(__xludf.DUMMYFUNCTION("""COMPUTED_VALUE"""),526.0)</f>
        <v>526</v>
      </c>
      <c r="J1833" s="9" t="str">
        <f>IFERROR(__xludf.DUMMYFUNCTION("""COMPUTED_VALUE"""),"UK")</f>
        <v>UK</v>
      </c>
      <c r="K1833" s="8"/>
      <c r="L1833" s="12"/>
      <c r="M1833" s="13"/>
      <c r="N1833" s="13" t="str">
        <f>IFERROR(__xludf.DUMMYFUNCTION("IF(ISBLANK(M1833),"""",M1833*GOOGLEFINANCE(""USDGBP""))"),"")</f>
        <v/>
      </c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H1833" s="8"/>
      <c r="FI1833" s="8"/>
      <c r="FJ1833" s="8"/>
      <c r="FK1833" s="8"/>
      <c r="FL1833" s="8"/>
      <c r="FM1833" s="8"/>
      <c r="FN1833" s="8"/>
      <c r="FO1833" s="8"/>
      <c r="FP1833" s="8"/>
      <c r="FQ1833" s="8"/>
      <c r="FR1833" s="8"/>
      <c r="FS1833" s="8"/>
      <c r="FT1833" s="8"/>
      <c r="FU1833" s="8"/>
      <c r="FV1833" s="8"/>
      <c r="FW1833" s="8"/>
      <c r="FX1833" s="8"/>
      <c r="FY1833" s="8"/>
      <c r="FZ1833" s="8"/>
      <c r="GA1833" s="8"/>
      <c r="GB1833" s="8"/>
      <c r="GC1833" s="8"/>
      <c r="GD1833" s="8"/>
      <c r="GE1833" s="8"/>
      <c r="GF1833" s="8"/>
      <c r="GG1833" s="8"/>
      <c r="GH1833" s="8"/>
      <c r="GI1833" s="8"/>
      <c r="GJ1833" s="8"/>
      <c r="GK1833" s="8"/>
      <c r="GL1833" s="8"/>
      <c r="GM1833" s="8"/>
      <c r="GN1833" s="8"/>
      <c r="GO1833" s="8"/>
      <c r="GP1833" s="8"/>
      <c r="GQ1833" s="8"/>
      <c r="GR1833" s="8"/>
      <c r="GS1833" s="8"/>
      <c r="GT1833" s="8"/>
      <c r="GU1833" s="8"/>
      <c r="GV1833" s="8"/>
      <c r="GW1833" s="8"/>
      <c r="GX1833" s="8"/>
    </row>
    <row r="1834">
      <c r="A1834" s="8" t="str">
        <f>IFERROR(__xludf.DUMMYFUNCTION("""COMPUTED_VALUE"""),"131453720170600750")</f>
        <v>131453720170600750</v>
      </c>
      <c r="B1834" s="9" t="str">
        <f>IFERROR(__xludf.DUMMYFUNCTION("""COMPUTED_VALUE"""),"Italy")</f>
        <v>Italy</v>
      </c>
      <c r="C1834" s="9" t="str">
        <f>IFERROR(__xludf.DUMMYFUNCTION("""COMPUTED_VALUE"""),"piedmont")</f>
        <v>piedmont</v>
      </c>
      <c r="D1834" s="9" t="str">
        <f>IFERROR(__xludf.DUMMYFUNCTION("""COMPUTED_VALUE"""),"Ceretto, Barolo, Brunate")</f>
        <v>Ceretto, Barolo, Brunate</v>
      </c>
      <c r="E1834" s="9">
        <f>IFERROR(__xludf.DUMMYFUNCTION("""COMPUTED_VALUE"""),2017.0)</f>
        <v>2017</v>
      </c>
      <c r="F1834" s="9">
        <f>IFERROR(__xludf.DUMMYFUNCTION("""COMPUTED_VALUE"""),750.0)</f>
        <v>750</v>
      </c>
      <c r="G1834" s="9">
        <f>IFERROR(__xludf.DUMMYFUNCTION("""COMPUTED_VALUE"""),6.0)</f>
        <v>6</v>
      </c>
      <c r="H1834" s="10">
        <f>IFERROR(__xludf.DUMMYFUNCTION("""COMPUTED_VALUE"""),28.0)</f>
        <v>28</v>
      </c>
      <c r="I1834" s="11">
        <f>IFERROR(__xludf.DUMMYFUNCTION("""COMPUTED_VALUE"""),442.0)</f>
        <v>442</v>
      </c>
      <c r="J1834" s="9" t="str">
        <f>IFERROR(__xludf.DUMMYFUNCTION("""COMPUTED_VALUE"""),"UK")</f>
        <v>UK</v>
      </c>
      <c r="K1834" s="8"/>
      <c r="L1834" s="12"/>
      <c r="M1834" s="13"/>
      <c r="N1834" s="13" t="str">
        <f>IFERROR(__xludf.DUMMYFUNCTION("IF(ISBLANK(M1834),"""",M1834*GOOGLEFINANCE(""USDGBP""))"),"")</f>
        <v/>
      </c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H1834" s="8"/>
      <c r="FI1834" s="8"/>
      <c r="FJ1834" s="8"/>
      <c r="FK1834" s="8"/>
      <c r="FL1834" s="8"/>
      <c r="FM1834" s="8"/>
      <c r="FN1834" s="8"/>
      <c r="FO1834" s="8"/>
      <c r="FP1834" s="8"/>
      <c r="FQ1834" s="8"/>
      <c r="FR1834" s="8"/>
      <c r="FS1834" s="8"/>
      <c r="FT1834" s="8"/>
      <c r="FU1834" s="8"/>
      <c r="FV1834" s="8"/>
      <c r="FW1834" s="8"/>
      <c r="FX1834" s="8"/>
      <c r="FY1834" s="8"/>
      <c r="FZ1834" s="8"/>
      <c r="GA1834" s="8"/>
      <c r="GB1834" s="8"/>
      <c r="GC1834" s="8"/>
      <c r="GD1834" s="8"/>
      <c r="GE1834" s="8"/>
      <c r="GF1834" s="8"/>
      <c r="GG1834" s="8"/>
      <c r="GH1834" s="8"/>
      <c r="GI1834" s="8"/>
      <c r="GJ1834" s="8"/>
      <c r="GK1834" s="8"/>
      <c r="GL1834" s="8"/>
      <c r="GM1834" s="8"/>
      <c r="GN1834" s="8"/>
      <c r="GO1834" s="8"/>
      <c r="GP1834" s="8"/>
      <c r="GQ1834" s="8"/>
      <c r="GR1834" s="8"/>
      <c r="GS1834" s="8"/>
      <c r="GT1834" s="8"/>
      <c r="GU1834" s="8"/>
      <c r="GV1834" s="8"/>
      <c r="GW1834" s="8"/>
      <c r="GX1834" s="8"/>
    </row>
    <row r="1835">
      <c r="A1835" s="8" t="str">
        <f>IFERROR(__xludf.DUMMYFUNCTION("""COMPUTED_VALUE"""),"131453720180600750")</f>
        <v>131453720180600750</v>
      </c>
      <c r="B1835" s="9" t="str">
        <f>IFERROR(__xludf.DUMMYFUNCTION("""COMPUTED_VALUE"""),"Italy")</f>
        <v>Italy</v>
      </c>
      <c r="C1835" s="9" t="str">
        <f>IFERROR(__xludf.DUMMYFUNCTION("""COMPUTED_VALUE"""),"piedmont")</f>
        <v>piedmont</v>
      </c>
      <c r="D1835" s="9" t="str">
        <f>IFERROR(__xludf.DUMMYFUNCTION("""COMPUTED_VALUE"""),"Ceretto, Barolo, Brunate")</f>
        <v>Ceretto, Barolo, Brunate</v>
      </c>
      <c r="E1835" s="9">
        <f>IFERROR(__xludf.DUMMYFUNCTION("""COMPUTED_VALUE"""),2018.0)</f>
        <v>2018</v>
      </c>
      <c r="F1835" s="9">
        <f>IFERROR(__xludf.DUMMYFUNCTION("""COMPUTED_VALUE"""),750.0)</f>
        <v>750</v>
      </c>
      <c r="G1835" s="9">
        <f>IFERROR(__xludf.DUMMYFUNCTION("""COMPUTED_VALUE"""),6.0)</f>
        <v>6</v>
      </c>
      <c r="H1835" s="10">
        <f>IFERROR(__xludf.DUMMYFUNCTION("""COMPUTED_VALUE"""),2.0)</f>
        <v>2</v>
      </c>
      <c r="I1835" s="11">
        <f>IFERROR(__xludf.DUMMYFUNCTION("""COMPUTED_VALUE"""),437.0)</f>
        <v>437</v>
      </c>
      <c r="J1835" s="9" t="str">
        <f>IFERROR(__xludf.DUMMYFUNCTION("""COMPUTED_VALUE"""),"UK")</f>
        <v>UK</v>
      </c>
      <c r="K1835" s="8"/>
      <c r="L1835" s="12"/>
      <c r="M1835" s="13"/>
      <c r="N1835" s="13" t="str">
        <f>IFERROR(__xludf.DUMMYFUNCTION("IF(ISBLANK(M1835),"""",M1835*GOOGLEFINANCE(""USDGBP""))"),"")</f>
        <v/>
      </c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H1835" s="8"/>
      <c r="FI1835" s="8"/>
      <c r="FJ1835" s="8"/>
      <c r="FK1835" s="8"/>
      <c r="FL1835" s="8"/>
      <c r="FM1835" s="8"/>
      <c r="FN1835" s="8"/>
      <c r="FO1835" s="8"/>
      <c r="FP1835" s="8"/>
      <c r="FQ1835" s="8"/>
      <c r="FR1835" s="8"/>
      <c r="FS1835" s="8"/>
      <c r="FT1835" s="8"/>
      <c r="FU1835" s="8"/>
      <c r="FV1835" s="8"/>
      <c r="FW1835" s="8"/>
      <c r="FX1835" s="8"/>
      <c r="FY1835" s="8"/>
      <c r="FZ1835" s="8"/>
      <c r="GA1835" s="8"/>
      <c r="GB1835" s="8"/>
      <c r="GC1835" s="8"/>
      <c r="GD1835" s="8"/>
      <c r="GE1835" s="8"/>
      <c r="GF1835" s="8"/>
      <c r="GG1835" s="8"/>
      <c r="GH1835" s="8"/>
      <c r="GI1835" s="8"/>
      <c r="GJ1835" s="8"/>
      <c r="GK1835" s="8"/>
      <c r="GL1835" s="8"/>
      <c r="GM1835" s="8"/>
      <c r="GN1835" s="8"/>
      <c r="GO1835" s="8"/>
      <c r="GP1835" s="8"/>
      <c r="GQ1835" s="8"/>
      <c r="GR1835" s="8"/>
      <c r="GS1835" s="8"/>
      <c r="GT1835" s="8"/>
      <c r="GU1835" s="8"/>
      <c r="GV1835" s="8"/>
      <c r="GW1835" s="8"/>
      <c r="GX1835" s="8"/>
    </row>
    <row r="1836">
      <c r="A1836" s="8" t="str">
        <f>IFERROR(__xludf.DUMMYFUNCTION("""COMPUTED_VALUE"""),"179536320170600750")</f>
        <v>179536320170600750</v>
      </c>
      <c r="B1836" s="9" t="str">
        <f>IFERROR(__xludf.DUMMYFUNCTION("""COMPUTED_VALUE"""),"Italy")</f>
        <v>Italy</v>
      </c>
      <c r="C1836" s="9" t="str">
        <f>IFERROR(__xludf.DUMMYFUNCTION("""COMPUTED_VALUE"""),"piedmont")</f>
        <v>piedmont</v>
      </c>
      <c r="D1836" s="9" t="str">
        <f>IFERROR(__xludf.DUMMYFUNCTION("""COMPUTED_VALUE"""),"Ceretto, Barolo, Bussia")</f>
        <v>Ceretto, Barolo, Bussia</v>
      </c>
      <c r="E1836" s="9">
        <f>IFERROR(__xludf.DUMMYFUNCTION("""COMPUTED_VALUE"""),2017.0)</f>
        <v>2017</v>
      </c>
      <c r="F1836" s="9">
        <f>IFERROR(__xludf.DUMMYFUNCTION("""COMPUTED_VALUE"""),750.0)</f>
        <v>750</v>
      </c>
      <c r="G1836" s="9">
        <f>IFERROR(__xludf.DUMMYFUNCTION("""COMPUTED_VALUE"""),6.0)</f>
        <v>6</v>
      </c>
      <c r="H1836" s="10">
        <f>IFERROR(__xludf.DUMMYFUNCTION("""COMPUTED_VALUE"""),12.0)</f>
        <v>12</v>
      </c>
      <c r="I1836" s="11">
        <f>IFERROR(__xludf.DUMMYFUNCTION("""COMPUTED_VALUE"""),442.0)</f>
        <v>442</v>
      </c>
      <c r="J1836" s="9" t="str">
        <f>IFERROR(__xludf.DUMMYFUNCTION("""COMPUTED_VALUE"""),"UK")</f>
        <v>UK</v>
      </c>
      <c r="K1836" s="8"/>
      <c r="L1836" s="12"/>
      <c r="M1836" s="13"/>
      <c r="N1836" s="13" t="str">
        <f>IFERROR(__xludf.DUMMYFUNCTION("IF(ISBLANK(M1836),"""",M1836*GOOGLEFINANCE(""USDGBP""))"),"")</f>
        <v/>
      </c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  <c r="FN1836" s="8"/>
      <c r="FO1836" s="8"/>
      <c r="FP1836" s="8"/>
      <c r="FQ1836" s="8"/>
      <c r="FR1836" s="8"/>
      <c r="FS1836" s="8"/>
      <c r="FT1836" s="8"/>
      <c r="FU1836" s="8"/>
      <c r="FV1836" s="8"/>
      <c r="FW1836" s="8"/>
      <c r="FX1836" s="8"/>
      <c r="FY1836" s="8"/>
      <c r="FZ1836" s="8"/>
      <c r="GA1836" s="8"/>
      <c r="GB1836" s="8"/>
      <c r="GC1836" s="8"/>
      <c r="GD1836" s="8"/>
      <c r="GE1836" s="8"/>
      <c r="GF1836" s="8"/>
      <c r="GG1836" s="8"/>
      <c r="GH1836" s="8"/>
      <c r="GI1836" s="8"/>
      <c r="GJ1836" s="8"/>
      <c r="GK1836" s="8"/>
      <c r="GL1836" s="8"/>
      <c r="GM1836" s="8"/>
      <c r="GN1836" s="8"/>
      <c r="GO1836" s="8"/>
      <c r="GP1836" s="8"/>
      <c r="GQ1836" s="8"/>
      <c r="GR1836" s="8"/>
      <c r="GS1836" s="8"/>
      <c r="GT1836" s="8"/>
      <c r="GU1836" s="8"/>
      <c r="GV1836" s="8"/>
      <c r="GW1836" s="8"/>
      <c r="GX1836" s="8"/>
    </row>
    <row r="1837">
      <c r="A1837" s="8" t="str">
        <f>IFERROR(__xludf.DUMMYFUNCTION("""COMPUTED_VALUE"""),"179536320180600750")</f>
        <v>179536320180600750</v>
      </c>
      <c r="B1837" s="9" t="str">
        <f>IFERROR(__xludf.DUMMYFUNCTION("""COMPUTED_VALUE"""),"Italy")</f>
        <v>Italy</v>
      </c>
      <c r="C1837" s="9" t="str">
        <f>IFERROR(__xludf.DUMMYFUNCTION("""COMPUTED_VALUE"""),"piedmont")</f>
        <v>piedmont</v>
      </c>
      <c r="D1837" s="9" t="str">
        <f>IFERROR(__xludf.DUMMYFUNCTION("""COMPUTED_VALUE"""),"Ceretto, Barolo, Bussia")</f>
        <v>Ceretto, Barolo, Bussia</v>
      </c>
      <c r="E1837" s="9">
        <f>IFERROR(__xludf.DUMMYFUNCTION("""COMPUTED_VALUE"""),2018.0)</f>
        <v>2018</v>
      </c>
      <c r="F1837" s="9">
        <f>IFERROR(__xludf.DUMMYFUNCTION("""COMPUTED_VALUE"""),750.0)</f>
        <v>750</v>
      </c>
      <c r="G1837" s="9">
        <f>IFERROR(__xludf.DUMMYFUNCTION("""COMPUTED_VALUE"""),6.0)</f>
        <v>6</v>
      </c>
      <c r="H1837" s="10">
        <f>IFERROR(__xludf.DUMMYFUNCTION("""COMPUTED_VALUE"""),1.0)</f>
        <v>1</v>
      </c>
      <c r="I1837" s="11">
        <f>IFERROR(__xludf.DUMMYFUNCTION("""COMPUTED_VALUE"""),442.0)</f>
        <v>442</v>
      </c>
      <c r="J1837" s="9" t="str">
        <f>IFERROR(__xludf.DUMMYFUNCTION("""COMPUTED_VALUE"""),"UK")</f>
        <v>UK</v>
      </c>
      <c r="K1837" s="8"/>
      <c r="L1837" s="12"/>
      <c r="M1837" s="13"/>
      <c r="N1837" s="13" t="str">
        <f>IFERROR(__xludf.DUMMYFUNCTION("IF(ISBLANK(M1837),"""",M1837*GOOGLEFINANCE(""USDGBP""))"),"")</f>
        <v/>
      </c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  <c r="FN1837" s="8"/>
      <c r="FO1837" s="8"/>
      <c r="FP1837" s="8"/>
      <c r="FQ1837" s="8"/>
      <c r="FR1837" s="8"/>
      <c r="FS1837" s="8"/>
      <c r="FT1837" s="8"/>
      <c r="FU1837" s="8"/>
      <c r="FV1837" s="8"/>
      <c r="FW1837" s="8"/>
      <c r="FX1837" s="8"/>
      <c r="FY1837" s="8"/>
      <c r="FZ1837" s="8"/>
      <c r="GA1837" s="8"/>
      <c r="GB1837" s="8"/>
      <c r="GC1837" s="8"/>
      <c r="GD1837" s="8"/>
      <c r="GE1837" s="8"/>
      <c r="GF1837" s="8"/>
      <c r="GG1837" s="8"/>
      <c r="GH1837" s="8"/>
      <c r="GI1837" s="8"/>
      <c r="GJ1837" s="8"/>
      <c r="GK1837" s="8"/>
      <c r="GL1837" s="8"/>
      <c r="GM1837" s="8"/>
      <c r="GN1837" s="8"/>
      <c r="GO1837" s="8"/>
      <c r="GP1837" s="8"/>
      <c r="GQ1837" s="8"/>
      <c r="GR1837" s="8"/>
      <c r="GS1837" s="8"/>
      <c r="GT1837" s="8"/>
      <c r="GU1837" s="8"/>
      <c r="GV1837" s="8"/>
      <c r="GW1837" s="8"/>
      <c r="GX1837" s="8"/>
    </row>
    <row r="1838">
      <c r="A1838" s="8" t="str">
        <f>IFERROR(__xludf.DUMMYFUNCTION("""COMPUTED_VALUE"""),"131454020000600750")</f>
        <v>131454020000600750</v>
      </c>
      <c r="B1838" s="9" t="str">
        <f>IFERROR(__xludf.DUMMYFUNCTION("""COMPUTED_VALUE"""),"Italy")</f>
        <v>Italy</v>
      </c>
      <c r="C1838" s="9" t="str">
        <f>IFERROR(__xludf.DUMMYFUNCTION("""COMPUTED_VALUE"""),"piedmont")</f>
        <v>piedmont</v>
      </c>
      <c r="D1838" s="9" t="str">
        <f>IFERROR(__xludf.DUMMYFUNCTION("""COMPUTED_VALUE"""),"Ceretto, Barolo, Prapo")</f>
        <v>Ceretto, Barolo, Prapo</v>
      </c>
      <c r="E1838" s="9">
        <f>IFERROR(__xludf.DUMMYFUNCTION("""COMPUTED_VALUE"""),2000.0)</f>
        <v>2000</v>
      </c>
      <c r="F1838" s="9">
        <f>IFERROR(__xludf.DUMMYFUNCTION("""COMPUTED_VALUE"""),750.0)</f>
        <v>750</v>
      </c>
      <c r="G1838" s="9">
        <f>IFERROR(__xludf.DUMMYFUNCTION("""COMPUTED_VALUE"""),6.0)</f>
        <v>6</v>
      </c>
      <c r="H1838" s="10">
        <f>IFERROR(__xludf.DUMMYFUNCTION("""COMPUTED_VALUE"""),2.0)</f>
        <v>2</v>
      </c>
      <c r="I1838" s="11">
        <f>IFERROR(__xludf.DUMMYFUNCTION("""COMPUTED_VALUE"""),863.0)</f>
        <v>863</v>
      </c>
      <c r="J1838" s="9" t="str">
        <f>IFERROR(__xludf.DUMMYFUNCTION("""COMPUTED_VALUE"""),"UK")</f>
        <v>UK</v>
      </c>
      <c r="K1838" s="8"/>
      <c r="L1838" s="12"/>
      <c r="M1838" s="13"/>
      <c r="N1838" s="13" t="str">
        <f>IFERROR(__xludf.DUMMYFUNCTION("IF(ISBLANK(M1838),"""",M1838*GOOGLEFINANCE(""USDGBP""))"),"")</f>
        <v/>
      </c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H1838" s="8"/>
      <c r="FI1838" s="8"/>
      <c r="FJ1838" s="8"/>
      <c r="FK1838" s="8"/>
      <c r="FL1838" s="8"/>
      <c r="FM1838" s="8"/>
      <c r="FN1838" s="8"/>
      <c r="FO1838" s="8"/>
      <c r="FP1838" s="8"/>
      <c r="FQ1838" s="8"/>
      <c r="FR1838" s="8"/>
      <c r="FS1838" s="8"/>
      <c r="FT1838" s="8"/>
      <c r="FU1838" s="8"/>
      <c r="FV1838" s="8"/>
      <c r="FW1838" s="8"/>
      <c r="FX1838" s="8"/>
      <c r="FY1838" s="8"/>
      <c r="FZ1838" s="8"/>
      <c r="GA1838" s="8"/>
      <c r="GB1838" s="8"/>
      <c r="GC1838" s="8"/>
      <c r="GD1838" s="8"/>
      <c r="GE1838" s="8"/>
      <c r="GF1838" s="8"/>
      <c r="GG1838" s="8"/>
      <c r="GH1838" s="8"/>
      <c r="GI1838" s="8"/>
      <c r="GJ1838" s="8"/>
      <c r="GK1838" s="8"/>
      <c r="GL1838" s="8"/>
      <c r="GM1838" s="8"/>
      <c r="GN1838" s="8"/>
      <c r="GO1838" s="8"/>
      <c r="GP1838" s="8"/>
      <c r="GQ1838" s="8"/>
      <c r="GR1838" s="8"/>
      <c r="GS1838" s="8"/>
      <c r="GT1838" s="8"/>
      <c r="GU1838" s="8"/>
      <c r="GV1838" s="8"/>
      <c r="GW1838" s="8"/>
      <c r="GX1838" s="8"/>
    </row>
    <row r="1839">
      <c r="A1839" s="8" t="str">
        <f>IFERROR(__xludf.DUMMYFUNCTION("""COMPUTED_VALUE"""),"131454020100600750")</f>
        <v>131454020100600750</v>
      </c>
      <c r="B1839" s="9" t="str">
        <f>IFERROR(__xludf.DUMMYFUNCTION("""COMPUTED_VALUE"""),"Italy")</f>
        <v>Italy</v>
      </c>
      <c r="C1839" s="9" t="str">
        <f>IFERROR(__xludf.DUMMYFUNCTION("""COMPUTED_VALUE"""),"piedmont")</f>
        <v>piedmont</v>
      </c>
      <c r="D1839" s="9" t="str">
        <f>IFERROR(__xludf.DUMMYFUNCTION("""COMPUTED_VALUE"""),"Ceretto, Barolo, Prapo")</f>
        <v>Ceretto, Barolo, Prapo</v>
      </c>
      <c r="E1839" s="9">
        <f>IFERROR(__xludf.DUMMYFUNCTION("""COMPUTED_VALUE"""),2010.0)</f>
        <v>2010</v>
      </c>
      <c r="F1839" s="9">
        <f>IFERROR(__xludf.DUMMYFUNCTION("""COMPUTED_VALUE"""),750.0)</f>
        <v>750</v>
      </c>
      <c r="G1839" s="9">
        <f>IFERROR(__xludf.DUMMYFUNCTION("""COMPUTED_VALUE"""),6.0)</f>
        <v>6</v>
      </c>
      <c r="H1839" s="10">
        <f>IFERROR(__xludf.DUMMYFUNCTION("""COMPUTED_VALUE"""),2.0)</f>
        <v>2</v>
      </c>
      <c r="I1839" s="11">
        <f>IFERROR(__xludf.DUMMYFUNCTION("""COMPUTED_VALUE"""),498.0)</f>
        <v>498</v>
      </c>
      <c r="J1839" s="9" t="str">
        <f>IFERROR(__xludf.DUMMYFUNCTION("""COMPUTED_VALUE"""),"UK")</f>
        <v>UK</v>
      </c>
      <c r="K1839" s="8"/>
      <c r="L1839" s="12"/>
      <c r="M1839" s="13"/>
      <c r="N1839" s="13" t="str">
        <f>IFERROR(__xludf.DUMMYFUNCTION("IF(ISBLANK(M1839),"""",M1839*GOOGLEFINANCE(""USDGBP""))"),"")</f>
        <v/>
      </c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  <c r="FG1839" s="8"/>
      <c r="FH1839" s="8"/>
      <c r="FI1839" s="8"/>
      <c r="FJ1839" s="8"/>
      <c r="FK1839" s="8"/>
      <c r="FL1839" s="8"/>
      <c r="FM1839" s="8"/>
      <c r="FN1839" s="8"/>
      <c r="FO1839" s="8"/>
      <c r="FP1839" s="8"/>
      <c r="FQ1839" s="8"/>
      <c r="FR1839" s="8"/>
      <c r="FS1839" s="8"/>
      <c r="FT1839" s="8"/>
      <c r="FU1839" s="8"/>
      <c r="FV1839" s="8"/>
      <c r="FW1839" s="8"/>
      <c r="FX1839" s="8"/>
      <c r="FY1839" s="8"/>
      <c r="FZ1839" s="8"/>
      <c r="GA1839" s="8"/>
      <c r="GB1839" s="8"/>
      <c r="GC1839" s="8"/>
      <c r="GD1839" s="8"/>
      <c r="GE1839" s="8"/>
      <c r="GF1839" s="8"/>
      <c r="GG1839" s="8"/>
      <c r="GH1839" s="8"/>
      <c r="GI1839" s="8"/>
      <c r="GJ1839" s="8"/>
      <c r="GK1839" s="8"/>
      <c r="GL1839" s="8"/>
      <c r="GM1839" s="8"/>
      <c r="GN1839" s="8"/>
      <c r="GO1839" s="8"/>
      <c r="GP1839" s="8"/>
      <c r="GQ1839" s="8"/>
      <c r="GR1839" s="8"/>
      <c r="GS1839" s="8"/>
      <c r="GT1839" s="8"/>
      <c r="GU1839" s="8"/>
      <c r="GV1839" s="8"/>
      <c r="GW1839" s="8"/>
      <c r="GX1839" s="8"/>
    </row>
    <row r="1840">
      <c r="A1840" s="8" t="str">
        <f>IFERROR(__xludf.DUMMYFUNCTION("""COMPUTED_VALUE"""),"131454020110600750")</f>
        <v>131454020110600750</v>
      </c>
      <c r="B1840" s="9" t="str">
        <f>IFERROR(__xludf.DUMMYFUNCTION("""COMPUTED_VALUE"""),"Italy")</f>
        <v>Italy</v>
      </c>
      <c r="C1840" s="9" t="str">
        <f>IFERROR(__xludf.DUMMYFUNCTION("""COMPUTED_VALUE"""),"piedmont")</f>
        <v>piedmont</v>
      </c>
      <c r="D1840" s="9" t="str">
        <f>IFERROR(__xludf.DUMMYFUNCTION("""COMPUTED_VALUE"""),"Ceretto, Barolo, Prapo")</f>
        <v>Ceretto, Barolo, Prapo</v>
      </c>
      <c r="E1840" s="9">
        <f>IFERROR(__xludf.DUMMYFUNCTION("""COMPUTED_VALUE"""),2011.0)</f>
        <v>2011</v>
      </c>
      <c r="F1840" s="9">
        <f>IFERROR(__xludf.DUMMYFUNCTION("""COMPUTED_VALUE"""),750.0)</f>
        <v>750</v>
      </c>
      <c r="G1840" s="9">
        <f>IFERROR(__xludf.DUMMYFUNCTION("""COMPUTED_VALUE"""),6.0)</f>
        <v>6</v>
      </c>
      <c r="H1840" s="10">
        <f>IFERROR(__xludf.DUMMYFUNCTION("""COMPUTED_VALUE"""),2.0)</f>
        <v>2</v>
      </c>
      <c r="I1840" s="11">
        <f>IFERROR(__xludf.DUMMYFUNCTION("""COMPUTED_VALUE"""),768.0)</f>
        <v>768</v>
      </c>
      <c r="J1840" s="9" t="str">
        <f>IFERROR(__xludf.DUMMYFUNCTION("""COMPUTED_VALUE"""),"UK")</f>
        <v>UK</v>
      </c>
      <c r="K1840" s="8"/>
      <c r="L1840" s="12"/>
      <c r="M1840" s="13"/>
      <c r="N1840" s="13" t="str">
        <f>IFERROR(__xludf.DUMMYFUNCTION("IF(ISBLANK(M1840),"""",M1840*GOOGLEFINANCE(""USDGBP""))"),"")</f>
        <v/>
      </c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  <c r="FG1840" s="8"/>
      <c r="FH1840" s="8"/>
      <c r="FI1840" s="8"/>
      <c r="FJ1840" s="8"/>
      <c r="FK1840" s="8"/>
      <c r="FL1840" s="8"/>
      <c r="FM1840" s="8"/>
      <c r="FN1840" s="8"/>
      <c r="FO1840" s="8"/>
      <c r="FP1840" s="8"/>
      <c r="FQ1840" s="8"/>
      <c r="FR1840" s="8"/>
      <c r="FS1840" s="8"/>
      <c r="FT1840" s="8"/>
      <c r="FU1840" s="8"/>
      <c r="FV1840" s="8"/>
      <c r="FW1840" s="8"/>
      <c r="FX1840" s="8"/>
      <c r="FY1840" s="8"/>
      <c r="FZ1840" s="8"/>
      <c r="GA1840" s="8"/>
      <c r="GB1840" s="8"/>
      <c r="GC1840" s="8"/>
      <c r="GD1840" s="8"/>
      <c r="GE1840" s="8"/>
      <c r="GF1840" s="8"/>
      <c r="GG1840" s="8"/>
      <c r="GH1840" s="8"/>
      <c r="GI1840" s="8"/>
      <c r="GJ1840" s="8"/>
      <c r="GK1840" s="8"/>
      <c r="GL1840" s="8"/>
      <c r="GM1840" s="8"/>
      <c r="GN1840" s="8"/>
      <c r="GO1840" s="8"/>
      <c r="GP1840" s="8"/>
      <c r="GQ1840" s="8"/>
      <c r="GR1840" s="8"/>
      <c r="GS1840" s="8"/>
      <c r="GT1840" s="8"/>
      <c r="GU1840" s="8"/>
      <c r="GV1840" s="8"/>
      <c r="GW1840" s="8"/>
      <c r="GX1840" s="8"/>
    </row>
    <row r="1841">
      <c r="A1841" s="8" t="str">
        <f>IFERROR(__xludf.DUMMYFUNCTION("""COMPUTED_VALUE"""),"131454020140600750")</f>
        <v>131454020140600750</v>
      </c>
      <c r="B1841" s="9" t="str">
        <f>IFERROR(__xludf.DUMMYFUNCTION("""COMPUTED_VALUE"""),"Italy")</f>
        <v>Italy</v>
      </c>
      <c r="C1841" s="9" t="str">
        <f>IFERROR(__xludf.DUMMYFUNCTION("""COMPUTED_VALUE"""),"piedmont")</f>
        <v>piedmont</v>
      </c>
      <c r="D1841" s="9" t="str">
        <f>IFERROR(__xludf.DUMMYFUNCTION("""COMPUTED_VALUE"""),"Ceretto, Barolo, Prapo")</f>
        <v>Ceretto, Barolo, Prapo</v>
      </c>
      <c r="E1841" s="9">
        <f>IFERROR(__xludf.DUMMYFUNCTION("""COMPUTED_VALUE"""),2014.0)</f>
        <v>2014</v>
      </c>
      <c r="F1841" s="9">
        <f>IFERROR(__xludf.DUMMYFUNCTION("""COMPUTED_VALUE"""),750.0)</f>
        <v>750</v>
      </c>
      <c r="G1841" s="9">
        <f>IFERROR(__xludf.DUMMYFUNCTION("""COMPUTED_VALUE"""),6.0)</f>
        <v>6</v>
      </c>
      <c r="H1841" s="10">
        <f>IFERROR(__xludf.DUMMYFUNCTION("""COMPUTED_VALUE"""),4.0)</f>
        <v>4</v>
      </c>
      <c r="I1841" s="11">
        <f>IFERROR(__xludf.DUMMYFUNCTION("""COMPUTED_VALUE"""),635.0)</f>
        <v>635</v>
      </c>
      <c r="J1841" s="9" t="str">
        <f>IFERROR(__xludf.DUMMYFUNCTION("""COMPUTED_VALUE"""),"UK")</f>
        <v>UK</v>
      </c>
      <c r="K1841" s="8"/>
      <c r="L1841" s="12"/>
      <c r="M1841" s="13"/>
      <c r="N1841" s="13" t="str">
        <f>IFERROR(__xludf.DUMMYFUNCTION("IF(ISBLANK(M1841),"""",M1841*GOOGLEFINANCE(""USDGBP""))"),"")</f>
        <v/>
      </c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  <c r="FG1841" s="8"/>
      <c r="FH1841" s="8"/>
      <c r="FI1841" s="8"/>
      <c r="FJ1841" s="8"/>
      <c r="FK1841" s="8"/>
      <c r="FL1841" s="8"/>
      <c r="FM1841" s="8"/>
      <c r="FN1841" s="8"/>
      <c r="FO1841" s="8"/>
      <c r="FP1841" s="8"/>
      <c r="FQ1841" s="8"/>
      <c r="FR1841" s="8"/>
      <c r="FS1841" s="8"/>
      <c r="FT1841" s="8"/>
      <c r="FU1841" s="8"/>
      <c r="FV1841" s="8"/>
      <c r="FW1841" s="8"/>
      <c r="FX1841" s="8"/>
      <c r="FY1841" s="8"/>
      <c r="FZ1841" s="8"/>
      <c r="GA1841" s="8"/>
      <c r="GB1841" s="8"/>
      <c r="GC1841" s="8"/>
      <c r="GD1841" s="8"/>
      <c r="GE1841" s="8"/>
      <c r="GF1841" s="8"/>
      <c r="GG1841" s="8"/>
      <c r="GH1841" s="8"/>
      <c r="GI1841" s="8"/>
      <c r="GJ1841" s="8"/>
      <c r="GK1841" s="8"/>
      <c r="GL1841" s="8"/>
      <c r="GM1841" s="8"/>
      <c r="GN1841" s="8"/>
      <c r="GO1841" s="8"/>
      <c r="GP1841" s="8"/>
      <c r="GQ1841" s="8"/>
      <c r="GR1841" s="8"/>
      <c r="GS1841" s="8"/>
      <c r="GT1841" s="8"/>
      <c r="GU1841" s="8"/>
      <c r="GV1841" s="8"/>
      <c r="GW1841" s="8"/>
      <c r="GX1841" s="8"/>
    </row>
    <row r="1842">
      <c r="A1842" s="8" t="str">
        <f>IFERROR(__xludf.DUMMYFUNCTION("""COMPUTED_VALUE"""),"131454020150600750")</f>
        <v>131454020150600750</v>
      </c>
      <c r="B1842" s="9" t="str">
        <f>IFERROR(__xludf.DUMMYFUNCTION("""COMPUTED_VALUE"""),"Italy")</f>
        <v>Italy</v>
      </c>
      <c r="C1842" s="9" t="str">
        <f>IFERROR(__xludf.DUMMYFUNCTION("""COMPUTED_VALUE"""),"piedmont")</f>
        <v>piedmont</v>
      </c>
      <c r="D1842" s="9" t="str">
        <f>IFERROR(__xludf.DUMMYFUNCTION("""COMPUTED_VALUE"""),"Ceretto, Barolo, Prapo")</f>
        <v>Ceretto, Barolo, Prapo</v>
      </c>
      <c r="E1842" s="9">
        <f>IFERROR(__xludf.DUMMYFUNCTION("""COMPUTED_VALUE"""),2015.0)</f>
        <v>2015</v>
      </c>
      <c r="F1842" s="9">
        <f>IFERROR(__xludf.DUMMYFUNCTION("""COMPUTED_VALUE"""),750.0)</f>
        <v>750</v>
      </c>
      <c r="G1842" s="9">
        <f>IFERROR(__xludf.DUMMYFUNCTION("""COMPUTED_VALUE"""),6.0)</f>
        <v>6</v>
      </c>
      <c r="H1842" s="10">
        <f>IFERROR(__xludf.DUMMYFUNCTION("""COMPUTED_VALUE"""),6.0)</f>
        <v>6</v>
      </c>
      <c r="I1842" s="11">
        <f>IFERROR(__xludf.DUMMYFUNCTION("""COMPUTED_VALUE"""),539.0)</f>
        <v>539</v>
      </c>
      <c r="J1842" s="9" t="str">
        <f>IFERROR(__xludf.DUMMYFUNCTION("""COMPUTED_VALUE"""),"UK")</f>
        <v>UK</v>
      </c>
      <c r="K1842" s="8"/>
      <c r="L1842" s="12"/>
      <c r="M1842" s="13"/>
      <c r="N1842" s="13" t="str">
        <f>IFERROR(__xludf.DUMMYFUNCTION("IF(ISBLANK(M1842),"""",M1842*GOOGLEFINANCE(""USDGBP""))"),"")</f>
        <v/>
      </c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  <c r="FG1842" s="8"/>
      <c r="FH1842" s="8"/>
      <c r="FI1842" s="8"/>
      <c r="FJ1842" s="8"/>
      <c r="FK1842" s="8"/>
      <c r="FL1842" s="8"/>
      <c r="FM1842" s="8"/>
      <c r="FN1842" s="8"/>
      <c r="FO1842" s="8"/>
      <c r="FP1842" s="8"/>
      <c r="FQ1842" s="8"/>
      <c r="FR1842" s="8"/>
      <c r="FS1842" s="8"/>
      <c r="FT1842" s="8"/>
      <c r="FU1842" s="8"/>
      <c r="FV1842" s="8"/>
      <c r="FW1842" s="8"/>
      <c r="FX1842" s="8"/>
      <c r="FY1842" s="8"/>
      <c r="FZ1842" s="8"/>
      <c r="GA1842" s="8"/>
      <c r="GB1842" s="8"/>
      <c r="GC1842" s="8"/>
      <c r="GD1842" s="8"/>
      <c r="GE1842" s="8"/>
      <c r="GF1842" s="8"/>
      <c r="GG1842" s="8"/>
      <c r="GH1842" s="8"/>
      <c r="GI1842" s="8"/>
      <c r="GJ1842" s="8"/>
      <c r="GK1842" s="8"/>
      <c r="GL1842" s="8"/>
      <c r="GM1842" s="8"/>
      <c r="GN1842" s="8"/>
      <c r="GO1842" s="8"/>
      <c r="GP1842" s="8"/>
      <c r="GQ1842" s="8"/>
      <c r="GR1842" s="8"/>
      <c r="GS1842" s="8"/>
      <c r="GT1842" s="8"/>
      <c r="GU1842" s="8"/>
      <c r="GV1842" s="8"/>
      <c r="GW1842" s="8"/>
      <c r="GX1842" s="8"/>
    </row>
    <row r="1843">
      <c r="A1843" s="8" t="str">
        <f>IFERROR(__xludf.DUMMYFUNCTION("""COMPUTED_VALUE"""),"131454020160600750")</f>
        <v>131454020160600750</v>
      </c>
      <c r="B1843" s="9" t="str">
        <f>IFERROR(__xludf.DUMMYFUNCTION("""COMPUTED_VALUE"""),"Italy")</f>
        <v>Italy</v>
      </c>
      <c r="C1843" s="9" t="str">
        <f>IFERROR(__xludf.DUMMYFUNCTION("""COMPUTED_VALUE"""),"piedmont")</f>
        <v>piedmont</v>
      </c>
      <c r="D1843" s="9" t="str">
        <f>IFERROR(__xludf.DUMMYFUNCTION("""COMPUTED_VALUE"""),"Ceretto, Barolo, Prapo")</f>
        <v>Ceretto, Barolo, Prapo</v>
      </c>
      <c r="E1843" s="9">
        <f>IFERROR(__xludf.DUMMYFUNCTION("""COMPUTED_VALUE"""),2016.0)</f>
        <v>2016</v>
      </c>
      <c r="F1843" s="9">
        <f>IFERROR(__xludf.DUMMYFUNCTION("""COMPUTED_VALUE"""),750.0)</f>
        <v>750</v>
      </c>
      <c r="G1843" s="9">
        <f>IFERROR(__xludf.DUMMYFUNCTION("""COMPUTED_VALUE"""),6.0)</f>
        <v>6</v>
      </c>
      <c r="H1843" s="10">
        <f>IFERROR(__xludf.DUMMYFUNCTION("""COMPUTED_VALUE"""),4.0)</f>
        <v>4</v>
      </c>
      <c r="I1843" s="11">
        <f>IFERROR(__xludf.DUMMYFUNCTION("""COMPUTED_VALUE"""),529.0)</f>
        <v>529</v>
      </c>
      <c r="J1843" s="9" t="str">
        <f>IFERROR(__xludf.DUMMYFUNCTION("""COMPUTED_VALUE"""),"UK")</f>
        <v>UK</v>
      </c>
      <c r="K1843" s="8"/>
      <c r="L1843" s="12"/>
      <c r="M1843" s="13"/>
      <c r="N1843" s="13" t="str">
        <f>IFERROR(__xludf.DUMMYFUNCTION("IF(ISBLANK(M1843),"""",M1843*GOOGLEFINANCE(""USDGBP""))"),"")</f>
        <v/>
      </c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H1843" s="8"/>
      <c r="FI1843" s="8"/>
      <c r="FJ1843" s="8"/>
      <c r="FK1843" s="8"/>
      <c r="FL1843" s="8"/>
      <c r="FM1843" s="8"/>
      <c r="FN1843" s="8"/>
      <c r="FO1843" s="8"/>
      <c r="FP1843" s="8"/>
      <c r="FQ1843" s="8"/>
      <c r="FR1843" s="8"/>
      <c r="FS1843" s="8"/>
      <c r="FT1843" s="8"/>
      <c r="FU1843" s="8"/>
      <c r="FV1843" s="8"/>
      <c r="FW1843" s="8"/>
      <c r="FX1843" s="8"/>
      <c r="FY1843" s="8"/>
      <c r="FZ1843" s="8"/>
      <c r="GA1843" s="8"/>
      <c r="GB1843" s="8"/>
      <c r="GC1843" s="8"/>
      <c r="GD1843" s="8"/>
      <c r="GE1843" s="8"/>
      <c r="GF1843" s="8"/>
      <c r="GG1843" s="8"/>
      <c r="GH1843" s="8"/>
      <c r="GI1843" s="8"/>
      <c r="GJ1843" s="8"/>
      <c r="GK1843" s="8"/>
      <c r="GL1843" s="8"/>
      <c r="GM1843" s="8"/>
      <c r="GN1843" s="8"/>
      <c r="GO1843" s="8"/>
      <c r="GP1843" s="8"/>
      <c r="GQ1843" s="8"/>
      <c r="GR1843" s="8"/>
      <c r="GS1843" s="8"/>
      <c r="GT1843" s="8"/>
      <c r="GU1843" s="8"/>
      <c r="GV1843" s="8"/>
      <c r="GW1843" s="8"/>
      <c r="GX1843" s="8"/>
    </row>
    <row r="1844">
      <c r="A1844" s="8" t="str">
        <f>IFERROR(__xludf.DUMMYFUNCTION("""COMPUTED_VALUE"""),"131454020170600750")</f>
        <v>131454020170600750</v>
      </c>
      <c r="B1844" s="9" t="str">
        <f>IFERROR(__xludf.DUMMYFUNCTION("""COMPUTED_VALUE"""),"Italy")</f>
        <v>Italy</v>
      </c>
      <c r="C1844" s="9" t="str">
        <f>IFERROR(__xludf.DUMMYFUNCTION("""COMPUTED_VALUE"""),"piedmont")</f>
        <v>piedmont</v>
      </c>
      <c r="D1844" s="9" t="str">
        <f>IFERROR(__xludf.DUMMYFUNCTION("""COMPUTED_VALUE"""),"Ceretto, Barolo, Prapo")</f>
        <v>Ceretto, Barolo, Prapo</v>
      </c>
      <c r="E1844" s="9">
        <f>IFERROR(__xludf.DUMMYFUNCTION("""COMPUTED_VALUE"""),2017.0)</f>
        <v>2017</v>
      </c>
      <c r="F1844" s="9">
        <f>IFERROR(__xludf.DUMMYFUNCTION("""COMPUTED_VALUE"""),750.0)</f>
        <v>750</v>
      </c>
      <c r="G1844" s="9">
        <f>IFERROR(__xludf.DUMMYFUNCTION("""COMPUTED_VALUE"""),6.0)</f>
        <v>6</v>
      </c>
      <c r="H1844" s="10">
        <f>IFERROR(__xludf.DUMMYFUNCTION("""COMPUTED_VALUE"""),10.0)</f>
        <v>10</v>
      </c>
      <c r="I1844" s="11">
        <f>IFERROR(__xludf.DUMMYFUNCTION("""COMPUTED_VALUE"""),518.0)</f>
        <v>518</v>
      </c>
      <c r="J1844" s="9" t="str">
        <f>IFERROR(__xludf.DUMMYFUNCTION("""COMPUTED_VALUE"""),"UK")</f>
        <v>UK</v>
      </c>
      <c r="K1844" s="8"/>
      <c r="L1844" s="12"/>
      <c r="M1844" s="13"/>
      <c r="N1844" s="13" t="str">
        <f>IFERROR(__xludf.DUMMYFUNCTION("IF(ISBLANK(M1844),"""",M1844*GOOGLEFINANCE(""USDGBP""))"),"")</f>
        <v/>
      </c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H1844" s="8"/>
      <c r="FI1844" s="8"/>
      <c r="FJ1844" s="8"/>
      <c r="FK1844" s="8"/>
      <c r="FL1844" s="8"/>
      <c r="FM1844" s="8"/>
      <c r="FN1844" s="8"/>
      <c r="FO1844" s="8"/>
      <c r="FP1844" s="8"/>
      <c r="FQ1844" s="8"/>
      <c r="FR1844" s="8"/>
      <c r="FS1844" s="8"/>
      <c r="FT1844" s="8"/>
      <c r="FU1844" s="8"/>
      <c r="FV1844" s="8"/>
      <c r="FW1844" s="8"/>
      <c r="FX1844" s="8"/>
      <c r="FY1844" s="8"/>
      <c r="FZ1844" s="8"/>
      <c r="GA1844" s="8"/>
      <c r="GB1844" s="8"/>
      <c r="GC1844" s="8"/>
      <c r="GD1844" s="8"/>
      <c r="GE1844" s="8"/>
      <c r="GF1844" s="8"/>
      <c r="GG1844" s="8"/>
      <c r="GH1844" s="8"/>
      <c r="GI1844" s="8"/>
      <c r="GJ1844" s="8"/>
      <c r="GK1844" s="8"/>
      <c r="GL1844" s="8"/>
      <c r="GM1844" s="8"/>
      <c r="GN1844" s="8"/>
      <c r="GO1844" s="8"/>
      <c r="GP1844" s="8"/>
      <c r="GQ1844" s="8"/>
      <c r="GR1844" s="8"/>
      <c r="GS1844" s="8"/>
      <c r="GT1844" s="8"/>
      <c r="GU1844" s="8"/>
      <c r="GV1844" s="8"/>
      <c r="GW1844" s="8"/>
      <c r="GX1844" s="8"/>
    </row>
    <row r="1845">
      <c r="A1845" s="8" t="str">
        <f>IFERROR(__xludf.DUMMYFUNCTION("""COMPUTED_VALUE"""),"131454020180600750")</f>
        <v>131454020180600750</v>
      </c>
      <c r="B1845" s="9" t="str">
        <f>IFERROR(__xludf.DUMMYFUNCTION("""COMPUTED_VALUE"""),"Italy")</f>
        <v>Italy</v>
      </c>
      <c r="C1845" s="9" t="str">
        <f>IFERROR(__xludf.DUMMYFUNCTION("""COMPUTED_VALUE"""),"piedmont")</f>
        <v>piedmont</v>
      </c>
      <c r="D1845" s="9" t="str">
        <f>IFERROR(__xludf.DUMMYFUNCTION("""COMPUTED_VALUE"""),"Ceretto, Barolo, Prapo")</f>
        <v>Ceretto, Barolo, Prapo</v>
      </c>
      <c r="E1845" s="9">
        <f>IFERROR(__xludf.DUMMYFUNCTION("""COMPUTED_VALUE"""),2018.0)</f>
        <v>2018</v>
      </c>
      <c r="F1845" s="9">
        <f>IFERROR(__xludf.DUMMYFUNCTION("""COMPUTED_VALUE"""),750.0)</f>
        <v>750</v>
      </c>
      <c r="G1845" s="9">
        <f>IFERROR(__xludf.DUMMYFUNCTION("""COMPUTED_VALUE"""),6.0)</f>
        <v>6</v>
      </c>
      <c r="H1845" s="10">
        <f>IFERROR(__xludf.DUMMYFUNCTION("""COMPUTED_VALUE"""),1.0)</f>
        <v>1</v>
      </c>
      <c r="I1845" s="11">
        <f>IFERROR(__xludf.DUMMYFUNCTION("""COMPUTED_VALUE"""),459.0)</f>
        <v>459</v>
      </c>
      <c r="J1845" s="9" t="str">
        <f>IFERROR(__xludf.DUMMYFUNCTION("""COMPUTED_VALUE"""),"UK")</f>
        <v>UK</v>
      </c>
      <c r="K1845" s="8"/>
      <c r="L1845" s="12"/>
      <c r="M1845" s="13"/>
      <c r="N1845" s="13" t="str">
        <f>IFERROR(__xludf.DUMMYFUNCTION("IF(ISBLANK(M1845),"""",M1845*GOOGLEFINANCE(""USDGBP""))"),"")</f>
        <v/>
      </c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H1845" s="8"/>
      <c r="FI1845" s="8"/>
      <c r="FJ1845" s="8"/>
      <c r="FK1845" s="8"/>
      <c r="FL1845" s="8"/>
      <c r="FM1845" s="8"/>
      <c r="FN1845" s="8"/>
      <c r="FO1845" s="8"/>
      <c r="FP1845" s="8"/>
      <c r="FQ1845" s="8"/>
      <c r="FR1845" s="8"/>
      <c r="FS1845" s="8"/>
      <c r="FT1845" s="8"/>
      <c r="FU1845" s="8"/>
      <c r="FV1845" s="8"/>
      <c r="FW1845" s="8"/>
      <c r="FX1845" s="8"/>
      <c r="FY1845" s="8"/>
      <c r="FZ1845" s="8"/>
      <c r="GA1845" s="8"/>
      <c r="GB1845" s="8"/>
      <c r="GC1845" s="8"/>
      <c r="GD1845" s="8"/>
      <c r="GE1845" s="8"/>
      <c r="GF1845" s="8"/>
      <c r="GG1845" s="8"/>
      <c r="GH1845" s="8"/>
      <c r="GI1845" s="8"/>
      <c r="GJ1845" s="8"/>
      <c r="GK1845" s="8"/>
      <c r="GL1845" s="8"/>
      <c r="GM1845" s="8"/>
      <c r="GN1845" s="8"/>
      <c r="GO1845" s="8"/>
      <c r="GP1845" s="8"/>
      <c r="GQ1845" s="8"/>
      <c r="GR1845" s="8"/>
      <c r="GS1845" s="8"/>
      <c r="GT1845" s="8"/>
      <c r="GU1845" s="8"/>
      <c r="GV1845" s="8"/>
      <c r="GW1845" s="8"/>
      <c r="GX1845" s="8"/>
    </row>
    <row r="1846">
      <c r="A1846" s="8" t="str">
        <f>IFERROR(__xludf.DUMMYFUNCTION("""COMPUTED_VALUE"""),"130352220010600750")</f>
        <v>130352220010600750</v>
      </c>
      <c r="B1846" s="9" t="str">
        <f>IFERROR(__xludf.DUMMYFUNCTION("""COMPUTED_VALUE"""),"Italy")</f>
        <v>Italy</v>
      </c>
      <c r="C1846" s="9" t="str">
        <f>IFERROR(__xludf.DUMMYFUNCTION("""COMPUTED_VALUE"""),"piedmont")</f>
        <v>piedmont</v>
      </c>
      <c r="D1846" s="9" t="str">
        <f>IFERROR(__xludf.DUMMYFUNCTION("""COMPUTED_VALUE"""),"Chiara Boschis (Azienda Agricola E. Pira e Figli), Barolo, Cannubi")</f>
        <v>Chiara Boschis (Azienda Agricola E. Pira e Figli), Barolo, Cannubi</v>
      </c>
      <c r="E1846" s="9">
        <f>IFERROR(__xludf.DUMMYFUNCTION("""COMPUTED_VALUE"""),2001.0)</f>
        <v>2001</v>
      </c>
      <c r="F1846" s="9">
        <f>IFERROR(__xludf.DUMMYFUNCTION("""COMPUTED_VALUE"""),750.0)</f>
        <v>750</v>
      </c>
      <c r="G1846" s="9">
        <f>IFERROR(__xludf.DUMMYFUNCTION("""COMPUTED_VALUE"""),6.0)</f>
        <v>6</v>
      </c>
      <c r="H1846" s="10">
        <f>IFERROR(__xludf.DUMMYFUNCTION("""COMPUTED_VALUE"""),3.0)</f>
        <v>3</v>
      </c>
      <c r="I1846" s="11">
        <f>IFERROR(__xludf.DUMMYFUNCTION("""COMPUTED_VALUE"""),452.0)</f>
        <v>452</v>
      </c>
      <c r="J1846" s="9" t="str">
        <f>IFERROR(__xludf.DUMMYFUNCTION("""COMPUTED_VALUE"""),"UK")</f>
        <v>UK</v>
      </c>
      <c r="K1846" s="8"/>
      <c r="L1846" s="12"/>
      <c r="M1846" s="13"/>
      <c r="N1846" s="13" t="str">
        <f>IFERROR(__xludf.DUMMYFUNCTION("IF(ISBLANK(M1846),"""",M1846*GOOGLEFINANCE(""USDGBP""))"),"")</f>
        <v/>
      </c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H1846" s="8"/>
      <c r="FI1846" s="8"/>
      <c r="FJ1846" s="8"/>
      <c r="FK1846" s="8"/>
      <c r="FL1846" s="8"/>
      <c r="FM1846" s="8"/>
      <c r="FN1846" s="8"/>
      <c r="FO1846" s="8"/>
      <c r="FP1846" s="8"/>
      <c r="FQ1846" s="8"/>
      <c r="FR1846" s="8"/>
      <c r="FS1846" s="8"/>
      <c r="FT1846" s="8"/>
      <c r="FU1846" s="8"/>
      <c r="FV1846" s="8"/>
      <c r="FW1846" s="8"/>
      <c r="FX1846" s="8"/>
      <c r="FY1846" s="8"/>
      <c r="FZ1846" s="8"/>
      <c r="GA1846" s="8"/>
      <c r="GB1846" s="8"/>
      <c r="GC1846" s="8"/>
      <c r="GD1846" s="8"/>
      <c r="GE1846" s="8"/>
      <c r="GF1846" s="8"/>
      <c r="GG1846" s="8"/>
      <c r="GH1846" s="8"/>
      <c r="GI1846" s="8"/>
      <c r="GJ1846" s="8"/>
      <c r="GK1846" s="8"/>
      <c r="GL1846" s="8"/>
      <c r="GM1846" s="8"/>
      <c r="GN1846" s="8"/>
      <c r="GO1846" s="8"/>
      <c r="GP1846" s="8"/>
      <c r="GQ1846" s="8"/>
      <c r="GR1846" s="8"/>
      <c r="GS1846" s="8"/>
      <c r="GT1846" s="8"/>
      <c r="GU1846" s="8"/>
      <c r="GV1846" s="8"/>
      <c r="GW1846" s="8"/>
      <c r="GX1846" s="8"/>
    </row>
    <row r="1847">
      <c r="A1847" s="8" t="str">
        <f>IFERROR(__xludf.DUMMYFUNCTION("""COMPUTED_VALUE"""),"130352220150600750")</f>
        <v>130352220150600750</v>
      </c>
      <c r="B1847" s="9" t="str">
        <f>IFERROR(__xludf.DUMMYFUNCTION("""COMPUTED_VALUE"""),"Italy")</f>
        <v>Italy</v>
      </c>
      <c r="C1847" s="9" t="str">
        <f>IFERROR(__xludf.DUMMYFUNCTION("""COMPUTED_VALUE"""),"piedmont")</f>
        <v>piedmont</v>
      </c>
      <c r="D1847" s="9" t="str">
        <f>IFERROR(__xludf.DUMMYFUNCTION("""COMPUTED_VALUE"""),"Chiara Boschis (Azienda Agricola E. Pira e Figli), Barolo, Cannubi")</f>
        <v>Chiara Boschis (Azienda Agricola E. Pira e Figli), Barolo, Cannubi</v>
      </c>
      <c r="E1847" s="9">
        <f>IFERROR(__xludf.DUMMYFUNCTION("""COMPUTED_VALUE"""),2015.0)</f>
        <v>2015</v>
      </c>
      <c r="F1847" s="9">
        <f>IFERROR(__xludf.DUMMYFUNCTION("""COMPUTED_VALUE"""),750.0)</f>
        <v>750</v>
      </c>
      <c r="G1847" s="9">
        <f>IFERROR(__xludf.DUMMYFUNCTION("""COMPUTED_VALUE"""),6.0)</f>
        <v>6</v>
      </c>
      <c r="H1847" s="10">
        <f>IFERROR(__xludf.DUMMYFUNCTION("""COMPUTED_VALUE"""),2.0)</f>
        <v>2</v>
      </c>
      <c r="I1847" s="11">
        <f>IFERROR(__xludf.DUMMYFUNCTION("""COMPUTED_VALUE"""),414.0)</f>
        <v>414</v>
      </c>
      <c r="J1847" s="9" t="str">
        <f>IFERROR(__xludf.DUMMYFUNCTION("""COMPUTED_VALUE"""),"UK")</f>
        <v>UK</v>
      </c>
      <c r="K1847" s="8"/>
      <c r="L1847" s="12"/>
      <c r="M1847" s="13"/>
      <c r="N1847" s="13" t="str">
        <f>IFERROR(__xludf.DUMMYFUNCTION("IF(ISBLANK(M1847),"""",M1847*GOOGLEFINANCE(""USDGBP""))"),"")</f>
        <v/>
      </c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  <c r="FG1847" s="8"/>
      <c r="FH1847" s="8"/>
      <c r="FI1847" s="8"/>
      <c r="FJ1847" s="8"/>
      <c r="FK1847" s="8"/>
      <c r="FL1847" s="8"/>
      <c r="FM1847" s="8"/>
      <c r="FN1847" s="8"/>
      <c r="FO1847" s="8"/>
      <c r="FP1847" s="8"/>
      <c r="FQ1847" s="8"/>
      <c r="FR1847" s="8"/>
      <c r="FS1847" s="8"/>
      <c r="FT1847" s="8"/>
      <c r="FU1847" s="8"/>
      <c r="FV1847" s="8"/>
      <c r="FW1847" s="8"/>
      <c r="FX1847" s="8"/>
      <c r="FY1847" s="8"/>
      <c r="FZ1847" s="8"/>
      <c r="GA1847" s="8"/>
      <c r="GB1847" s="8"/>
      <c r="GC1847" s="8"/>
      <c r="GD1847" s="8"/>
      <c r="GE1847" s="8"/>
      <c r="GF1847" s="8"/>
      <c r="GG1847" s="8"/>
      <c r="GH1847" s="8"/>
      <c r="GI1847" s="8"/>
      <c r="GJ1847" s="8"/>
      <c r="GK1847" s="8"/>
      <c r="GL1847" s="8"/>
      <c r="GM1847" s="8"/>
      <c r="GN1847" s="8"/>
      <c r="GO1847" s="8"/>
      <c r="GP1847" s="8"/>
      <c r="GQ1847" s="8"/>
      <c r="GR1847" s="8"/>
      <c r="GS1847" s="8"/>
      <c r="GT1847" s="8"/>
      <c r="GU1847" s="8"/>
      <c r="GV1847" s="8"/>
      <c r="GW1847" s="8"/>
      <c r="GX1847" s="8"/>
    </row>
    <row r="1848">
      <c r="A1848" s="8" t="str">
        <f>IFERROR(__xludf.DUMMYFUNCTION("""COMPUTED_VALUE"""),"130352220160600750")</f>
        <v>130352220160600750</v>
      </c>
      <c r="B1848" s="9" t="str">
        <f>IFERROR(__xludf.DUMMYFUNCTION("""COMPUTED_VALUE"""),"Italy")</f>
        <v>Italy</v>
      </c>
      <c r="C1848" s="9" t="str">
        <f>IFERROR(__xludf.DUMMYFUNCTION("""COMPUTED_VALUE"""),"piedmont")</f>
        <v>piedmont</v>
      </c>
      <c r="D1848" s="9" t="str">
        <f>IFERROR(__xludf.DUMMYFUNCTION("""COMPUTED_VALUE"""),"Chiara Boschis (Azienda Agricola E. Pira e Figli), Barolo, Cannubi")</f>
        <v>Chiara Boschis (Azienda Agricola E. Pira e Figli), Barolo, Cannubi</v>
      </c>
      <c r="E1848" s="9">
        <f>IFERROR(__xludf.DUMMYFUNCTION("""COMPUTED_VALUE"""),2016.0)</f>
        <v>2016</v>
      </c>
      <c r="F1848" s="9">
        <f>IFERROR(__xludf.DUMMYFUNCTION("""COMPUTED_VALUE"""),750.0)</f>
        <v>750</v>
      </c>
      <c r="G1848" s="9">
        <f>IFERROR(__xludf.DUMMYFUNCTION("""COMPUTED_VALUE"""),6.0)</f>
        <v>6</v>
      </c>
      <c r="H1848" s="10">
        <f>IFERROR(__xludf.DUMMYFUNCTION("""COMPUTED_VALUE"""),3.0)</f>
        <v>3</v>
      </c>
      <c r="I1848" s="11">
        <f>IFERROR(__xludf.DUMMYFUNCTION("""COMPUTED_VALUE"""),730.0)</f>
        <v>730</v>
      </c>
      <c r="J1848" s="9" t="str">
        <f>IFERROR(__xludf.DUMMYFUNCTION("""COMPUTED_VALUE"""),"UK")</f>
        <v>UK</v>
      </c>
      <c r="K1848" s="8"/>
      <c r="L1848" s="12"/>
      <c r="M1848" s="13"/>
      <c r="N1848" s="13" t="str">
        <f>IFERROR(__xludf.DUMMYFUNCTION("IF(ISBLANK(M1848),"""",M1848*GOOGLEFINANCE(""USDGBP""))"),"")</f>
        <v/>
      </c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  <c r="FG1848" s="8"/>
      <c r="FH1848" s="8"/>
      <c r="FI1848" s="8"/>
      <c r="FJ1848" s="8"/>
      <c r="FK1848" s="8"/>
      <c r="FL1848" s="8"/>
      <c r="FM1848" s="8"/>
      <c r="FN1848" s="8"/>
      <c r="FO1848" s="8"/>
      <c r="FP1848" s="8"/>
      <c r="FQ1848" s="8"/>
      <c r="FR1848" s="8"/>
      <c r="FS1848" s="8"/>
      <c r="FT1848" s="8"/>
      <c r="FU1848" s="8"/>
      <c r="FV1848" s="8"/>
      <c r="FW1848" s="8"/>
      <c r="FX1848" s="8"/>
      <c r="FY1848" s="8"/>
      <c r="FZ1848" s="8"/>
      <c r="GA1848" s="8"/>
      <c r="GB1848" s="8"/>
      <c r="GC1848" s="8"/>
      <c r="GD1848" s="8"/>
      <c r="GE1848" s="8"/>
      <c r="GF1848" s="8"/>
      <c r="GG1848" s="8"/>
      <c r="GH1848" s="8"/>
      <c r="GI1848" s="8"/>
      <c r="GJ1848" s="8"/>
      <c r="GK1848" s="8"/>
      <c r="GL1848" s="8"/>
      <c r="GM1848" s="8"/>
      <c r="GN1848" s="8"/>
      <c r="GO1848" s="8"/>
      <c r="GP1848" s="8"/>
      <c r="GQ1848" s="8"/>
      <c r="GR1848" s="8"/>
      <c r="GS1848" s="8"/>
      <c r="GT1848" s="8"/>
      <c r="GU1848" s="8"/>
      <c r="GV1848" s="8"/>
      <c r="GW1848" s="8"/>
      <c r="GX1848" s="8"/>
    </row>
    <row r="1849">
      <c r="A1849" s="8" t="str">
        <f>IFERROR(__xludf.DUMMYFUNCTION("""COMPUTED_VALUE"""),"130352220170600750")</f>
        <v>130352220170600750</v>
      </c>
      <c r="B1849" s="9" t="str">
        <f>IFERROR(__xludf.DUMMYFUNCTION("""COMPUTED_VALUE"""),"Italy")</f>
        <v>Italy</v>
      </c>
      <c r="C1849" s="9" t="str">
        <f>IFERROR(__xludf.DUMMYFUNCTION("""COMPUTED_VALUE"""),"piedmont")</f>
        <v>piedmont</v>
      </c>
      <c r="D1849" s="9" t="str">
        <f>IFERROR(__xludf.DUMMYFUNCTION("""COMPUTED_VALUE"""),"Chiara Boschis (Azienda Agricola E. Pira e Figli), Barolo, Cannubi")</f>
        <v>Chiara Boschis (Azienda Agricola E. Pira e Figli), Barolo, Cannubi</v>
      </c>
      <c r="E1849" s="9">
        <f>IFERROR(__xludf.DUMMYFUNCTION("""COMPUTED_VALUE"""),2017.0)</f>
        <v>2017</v>
      </c>
      <c r="F1849" s="9">
        <f>IFERROR(__xludf.DUMMYFUNCTION("""COMPUTED_VALUE"""),750.0)</f>
        <v>750</v>
      </c>
      <c r="G1849" s="9">
        <f>IFERROR(__xludf.DUMMYFUNCTION("""COMPUTED_VALUE"""),6.0)</f>
        <v>6</v>
      </c>
      <c r="H1849" s="10">
        <f>IFERROR(__xludf.DUMMYFUNCTION("""COMPUTED_VALUE"""),1.0)</f>
        <v>1</v>
      </c>
      <c r="I1849" s="11">
        <f>IFERROR(__xludf.DUMMYFUNCTION("""COMPUTED_VALUE"""),347.0)</f>
        <v>347</v>
      </c>
      <c r="J1849" s="9" t="str">
        <f>IFERROR(__xludf.DUMMYFUNCTION("""COMPUTED_VALUE"""),"UK")</f>
        <v>UK</v>
      </c>
      <c r="K1849" s="8"/>
      <c r="L1849" s="12"/>
      <c r="M1849" s="13"/>
      <c r="N1849" s="13" t="str">
        <f>IFERROR(__xludf.DUMMYFUNCTION("IF(ISBLANK(M1849),"""",M1849*GOOGLEFINANCE(""USDGBP""))"),"")</f>
        <v/>
      </c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  <c r="FG1849" s="8"/>
      <c r="FH1849" s="8"/>
      <c r="FI1849" s="8"/>
      <c r="FJ1849" s="8"/>
      <c r="FK1849" s="8"/>
      <c r="FL1849" s="8"/>
      <c r="FM1849" s="8"/>
      <c r="FN1849" s="8"/>
      <c r="FO1849" s="8"/>
      <c r="FP1849" s="8"/>
      <c r="FQ1849" s="8"/>
      <c r="FR1849" s="8"/>
      <c r="FS1849" s="8"/>
      <c r="FT1849" s="8"/>
      <c r="FU1849" s="8"/>
      <c r="FV1849" s="8"/>
      <c r="FW1849" s="8"/>
      <c r="FX1849" s="8"/>
      <c r="FY1849" s="8"/>
      <c r="FZ1849" s="8"/>
      <c r="GA1849" s="8"/>
      <c r="GB1849" s="8"/>
      <c r="GC1849" s="8"/>
      <c r="GD1849" s="8"/>
      <c r="GE1849" s="8"/>
      <c r="GF1849" s="8"/>
      <c r="GG1849" s="8"/>
      <c r="GH1849" s="8"/>
      <c r="GI1849" s="8"/>
      <c r="GJ1849" s="8"/>
      <c r="GK1849" s="8"/>
      <c r="GL1849" s="8"/>
      <c r="GM1849" s="8"/>
      <c r="GN1849" s="8"/>
      <c r="GO1849" s="8"/>
      <c r="GP1849" s="8"/>
      <c r="GQ1849" s="8"/>
      <c r="GR1849" s="8"/>
      <c r="GS1849" s="8"/>
      <c r="GT1849" s="8"/>
      <c r="GU1849" s="8"/>
      <c r="GV1849" s="8"/>
      <c r="GW1849" s="8"/>
      <c r="GX1849" s="8"/>
    </row>
    <row r="1850">
      <c r="A1850" s="8" t="str">
        <f>IFERROR(__xludf.DUMMYFUNCTION("""COMPUTED_VALUE"""),"130352220170601500")</f>
        <v>130352220170601500</v>
      </c>
      <c r="B1850" s="9" t="str">
        <f>IFERROR(__xludf.DUMMYFUNCTION("""COMPUTED_VALUE"""),"Italy")</f>
        <v>Italy</v>
      </c>
      <c r="C1850" s="9" t="str">
        <f>IFERROR(__xludf.DUMMYFUNCTION("""COMPUTED_VALUE"""),"piedmont")</f>
        <v>piedmont</v>
      </c>
      <c r="D1850" s="9" t="str">
        <f>IFERROR(__xludf.DUMMYFUNCTION("""COMPUTED_VALUE"""),"Chiara Boschis (Azienda Agricola E. Pira e Figli), Barolo, Cannubi")</f>
        <v>Chiara Boschis (Azienda Agricola E. Pira e Figli), Barolo, Cannubi</v>
      </c>
      <c r="E1850" s="9">
        <f>IFERROR(__xludf.DUMMYFUNCTION("""COMPUTED_VALUE"""),2017.0)</f>
        <v>2017</v>
      </c>
      <c r="F1850" s="9">
        <f>IFERROR(__xludf.DUMMYFUNCTION("""COMPUTED_VALUE"""),1500.0)</f>
        <v>1500</v>
      </c>
      <c r="G1850" s="9">
        <f>IFERROR(__xludf.DUMMYFUNCTION("""COMPUTED_VALUE"""),6.0)</f>
        <v>6</v>
      </c>
      <c r="H1850" s="10">
        <f>IFERROR(__xludf.DUMMYFUNCTION("""COMPUTED_VALUE"""),1.0)</f>
        <v>1</v>
      </c>
      <c r="I1850" s="11">
        <f>IFERROR(__xludf.DUMMYFUNCTION("""COMPUTED_VALUE"""),711.0)</f>
        <v>711</v>
      </c>
      <c r="J1850" s="9" t="str">
        <f>IFERROR(__xludf.DUMMYFUNCTION("""COMPUTED_VALUE"""),"UK")</f>
        <v>UK</v>
      </c>
      <c r="K1850" s="8"/>
      <c r="L1850" s="12"/>
      <c r="M1850" s="13"/>
      <c r="N1850" s="13" t="str">
        <f>IFERROR(__xludf.DUMMYFUNCTION("IF(ISBLANK(M1850),"""",M1850*GOOGLEFINANCE(""USDGBP""))"),"")</f>
        <v/>
      </c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  <c r="FG1850" s="8"/>
      <c r="FH1850" s="8"/>
      <c r="FI1850" s="8"/>
      <c r="FJ1850" s="8"/>
      <c r="FK1850" s="8"/>
      <c r="FL1850" s="8"/>
      <c r="FM1850" s="8"/>
      <c r="FN1850" s="8"/>
      <c r="FO1850" s="8"/>
      <c r="FP1850" s="8"/>
      <c r="FQ1850" s="8"/>
      <c r="FR1850" s="8"/>
      <c r="FS1850" s="8"/>
      <c r="FT1850" s="8"/>
      <c r="FU1850" s="8"/>
      <c r="FV1850" s="8"/>
      <c r="FW1850" s="8"/>
      <c r="FX1850" s="8"/>
      <c r="FY1850" s="8"/>
      <c r="FZ1850" s="8"/>
      <c r="GA1850" s="8"/>
      <c r="GB1850" s="8"/>
      <c r="GC1850" s="8"/>
      <c r="GD1850" s="8"/>
      <c r="GE1850" s="8"/>
      <c r="GF1850" s="8"/>
      <c r="GG1850" s="8"/>
      <c r="GH1850" s="8"/>
      <c r="GI1850" s="8"/>
      <c r="GJ1850" s="8"/>
      <c r="GK1850" s="8"/>
      <c r="GL1850" s="8"/>
      <c r="GM1850" s="8"/>
      <c r="GN1850" s="8"/>
      <c r="GO1850" s="8"/>
      <c r="GP1850" s="8"/>
      <c r="GQ1850" s="8"/>
      <c r="GR1850" s="8"/>
      <c r="GS1850" s="8"/>
      <c r="GT1850" s="8"/>
      <c r="GU1850" s="8"/>
      <c r="GV1850" s="8"/>
      <c r="GW1850" s="8"/>
      <c r="GX1850" s="8"/>
    </row>
    <row r="1851">
      <c r="A1851" s="8" t="str">
        <f>IFERROR(__xludf.DUMMYFUNCTION("""COMPUTED_VALUE"""),"126317020160600750")</f>
        <v>126317020160600750</v>
      </c>
      <c r="B1851" s="9" t="str">
        <f>IFERROR(__xludf.DUMMYFUNCTION("""COMPUTED_VALUE"""),"Italy")</f>
        <v>Italy</v>
      </c>
      <c r="C1851" s="9" t="str">
        <f>IFERROR(__xludf.DUMMYFUNCTION("""COMPUTED_VALUE"""),"piedmont")</f>
        <v>piedmont</v>
      </c>
      <c r="D1851" s="9" t="str">
        <f>IFERROR(__xludf.DUMMYFUNCTION("""COMPUTED_VALUE"""),"Chiara Boschis (Azienda Agricola E. Pira e Figli), Barolo, Mosconi")</f>
        <v>Chiara Boschis (Azienda Agricola E. Pira e Figli), Barolo, Mosconi</v>
      </c>
      <c r="E1851" s="9">
        <f>IFERROR(__xludf.DUMMYFUNCTION("""COMPUTED_VALUE"""),2016.0)</f>
        <v>2016</v>
      </c>
      <c r="F1851" s="9">
        <f>IFERROR(__xludf.DUMMYFUNCTION("""COMPUTED_VALUE"""),750.0)</f>
        <v>750</v>
      </c>
      <c r="G1851" s="9">
        <f>IFERROR(__xludf.DUMMYFUNCTION("""COMPUTED_VALUE"""),6.0)</f>
        <v>6</v>
      </c>
      <c r="H1851" s="10">
        <f>IFERROR(__xludf.DUMMYFUNCTION("""COMPUTED_VALUE"""),2.0)</f>
        <v>2</v>
      </c>
      <c r="I1851" s="11">
        <f>IFERROR(__xludf.DUMMYFUNCTION("""COMPUTED_VALUE"""),465.0)</f>
        <v>465</v>
      </c>
      <c r="J1851" s="9" t="str">
        <f>IFERROR(__xludf.DUMMYFUNCTION("""COMPUTED_VALUE"""),"UK")</f>
        <v>UK</v>
      </c>
      <c r="K1851" s="8"/>
      <c r="L1851" s="12"/>
      <c r="M1851" s="13"/>
      <c r="N1851" s="13" t="str">
        <f>IFERROR(__xludf.DUMMYFUNCTION("IF(ISBLANK(M1851),"""",M1851*GOOGLEFINANCE(""USDGBP""))"),"")</f>
        <v/>
      </c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  <c r="GA1851" s="8"/>
      <c r="GB1851" s="8"/>
      <c r="GC1851" s="8"/>
      <c r="GD1851" s="8"/>
      <c r="GE1851" s="8"/>
      <c r="GF1851" s="8"/>
      <c r="GG1851" s="8"/>
      <c r="GH1851" s="8"/>
      <c r="GI1851" s="8"/>
      <c r="GJ1851" s="8"/>
      <c r="GK1851" s="8"/>
      <c r="GL1851" s="8"/>
      <c r="GM1851" s="8"/>
      <c r="GN1851" s="8"/>
      <c r="GO1851" s="8"/>
      <c r="GP1851" s="8"/>
      <c r="GQ1851" s="8"/>
      <c r="GR1851" s="8"/>
      <c r="GS1851" s="8"/>
      <c r="GT1851" s="8"/>
      <c r="GU1851" s="8"/>
      <c r="GV1851" s="8"/>
      <c r="GW1851" s="8"/>
      <c r="GX1851" s="8"/>
    </row>
    <row r="1852">
      <c r="A1852" s="8" t="str">
        <f>IFERROR(__xludf.DUMMYFUNCTION("""COMPUTED_VALUE"""),"131134720160600750")</f>
        <v>131134720160600750</v>
      </c>
      <c r="B1852" s="9" t="str">
        <f>IFERROR(__xludf.DUMMYFUNCTION("""COMPUTED_VALUE"""),"Italy")</f>
        <v>Italy</v>
      </c>
      <c r="C1852" s="9" t="str">
        <f>IFERROR(__xludf.DUMMYFUNCTION("""COMPUTED_VALUE"""),"piedmont")</f>
        <v>piedmont</v>
      </c>
      <c r="D1852" s="9" t="str">
        <f>IFERROR(__xludf.DUMMYFUNCTION("""COMPUTED_VALUE"""),"Chiara Boschis (Azienda Agricola E. Pira e Figli), Barolo, Via Nuova")</f>
        <v>Chiara Boschis (Azienda Agricola E. Pira e Figli), Barolo, Via Nuova</v>
      </c>
      <c r="E1852" s="9">
        <f>IFERROR(__xludf.DUMMYFUNCTION("""COMPUTED_VALUE"""),2016.0)</f>
        <v>2016</v>
      </c>
      <c r="F1852" s="9">
        <f>IFERROR(__xludf.DUMMYFUNCTION("""COMPUTED_VALUE"""),750.0)</f>
        <v>750</v>
      </c>
      <c r="G1852" s="9">
        <f>IFERROR(__xludf.DUMMYFUNCTION("""COMPUTED_VALUE"""),6.0)</f>
        <v>6</v>
      </c>
      <c r="H1852" s="10">
        <f>IFERROR(__xludf.DUMMYFUNCTION("""COMPUTED_VALUE"""),5.0)</f>
        <v>5</v>
      </c>
      <c r="I1852" s="11">
        <f>IFERROR(__xludf.DUMMYFUNCTION("""COMPUTED_VALUE"""),946.0)</f>
        <v>946</v>
      </c>
      <c r="J1852" s="9" t="str">
        <f>IFERROR(__xludf.DUMMYFUNCTION("""COMPUTED_VALUE"""),"UK")</f>
        <v>UK</v>
      </c>
      <c r="K1852" s="8"/>
      <c r="L1852" s="12"/>
      <c r="M1852" s="13"/>
      <c r="N1852" s="13" t="str">
        <f>IFERROR(__xludf.DUMMYFUNCTION("IF(ISBLANK(M1852),"""",M1852*GOOGLEFINANCE(""USDGBP""))"),"")</f>
        <v/>
      </c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  <c r="GA1852" s="8"/>
      <c r="GB1852" s="8"/>
      <c r="GC1852" s="8"/>
      <c r="GD1852" s="8"/>
      <c r="GE1852" s="8"/>
      <c r="GF1852" s="8"/>
      <c r="GG1852" s="8"/>
      <c r="GH1852" s="8"/>
      <c r="GI1852" s="8"/>
      <c r="GJ1852" s="8"/>
      <c r="GK1852" s="8"/>
      <c r="GL1852" s="8"/>
      <c r="GM1852" s="8"/>
      <c r="GN1852" s="8"/>
      <c r="GO1852" s="8"/>
      <c r="GP1852" s="8"/>
      <c r="GQ1852" s="8"/>
      <c r="GR1852" s="8"/>
      <c r="GS1852" s="8"/>
      <c r="GT1852" s="8"/>
      <c r="GU1852" s="8"/>
      <c r="GV1852" s="8"/>
      <c r="GW1852" s="8"/>
      <c r="GX1852" s="8"/>
    </row>
    <row r="1853">
      <c r="A1853" s="8" t="str">
        <f>IFERROR(__xludf.DUMMYFUNCTION("""COMPUTED_VALUE"""),"125491220160600750")</f>
        <v>125491220160600750</v>
      </c>
      <c r="B1853" s="9" t="str">
        <f>IFERROR(__xludf.DUMMYFUNCTION("""COMPUTED_VALUE"""),"Italy")</f>
        <v>Italy</v>
      </c>
      <c r="C1853" s="9" t="str">
        <f>IFERROR(__xludf.DUMMYFUNCTION("""COMPUTED_VALUE"""),"piedmont")</f>
        <v>piedmont</v>
      </c>
      <c r="D1853" s="9" t="str">
        <f>IFERROR(__xludf.DUMMYFUNCTION("""COMPUTED_VALUE"""),"Comm. G.B. Burlotto, Barolo")</f>
        <v>Comm. G.B. Burlotto, Barolo</v>
      </c>
      <c r="E1853" s="9">
        <f>IFERROR(__xludf.DUMMYFUNCTION("""COMPUTED_VALUE"""),2016.0)</f>
        <v>2016</v>
      </c>
      <c r="F1853" s="9">
        <f>IFERROR(__xludf.DUMMYFUNCTION("""COMPUTED_VALUE"""),750.0)</f>
        <v>750</v>
      </c>
      <c r="G1853" s="9">
        <f>IFERROR(__xludf.DUMMYFUNCTION("""COMPUTED_VALUE"""),6.0)</f>
        <v>6</v>
      </c>
      <c r="H1853" s="10">
        <f>IFERROR(__xludf.DUMMYFUNCTION("""COMPUTED_VALUE"""),1.0)</f>
        <v>1</v>
      </c>
      <c r="I1853" s="11">
        <f>IFERROR(__xludf.DUMMYFUNCTION("""COMPUTED_VALUE"""),700.0)</f>
        <v>700</v>
      </c>
      <c r="J1853" s="9" t="str">
        <f>IFERROR(__xludf.DUMMYFUNCTION("""COMPUTED_VALUE"""),"UK")</f>
        <v>UK</v>
      </c>
      <c r="K1853" s="8"/>
      <c r="L1853" s="12"/>
      <c r="M1853" s="13"/>
      <c r="N1853" s="13" t="str">
        <f>IFERROR(__xludf.DUMMYFUNCTION("IF(ISBLANK(M1853),"""",M1853*GOOGLEFINANCE(""USDGBP""))"),"")</f>
        <v/>
      </c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  <c r="GA1853" s="8"/>
      <c r="GB1853" s="8"/>
      <c r="GC1853" s="8"/>
      <c r="GD1853" s="8"/>
      <c r="GE1853" s="8"/>
      <c r="GF1853" s="8"/>
      <c r="GG1853" s="8"/>
      <c r="GH1853" s="8"/>
      <c r="GI1853" s="8"/>
      <c r="GJ1853" s="8"/>
      <c r="GK1853" s="8"/>
      <c r="GL1853" s="8"/>
      <c r="GM1853" s="8"/>
      <c r="GN1853" s="8"/>
      <c r="GO1853" s="8"/>
      <c r="GP1853" s="8"/>
      <c r="GQ1853" s="8"/>
      <c r="GR1853" s="8"/>
      <c r="GS1853" s="8"/>
      <c r="GT1853" s="8"/>
      <c r="GU1853" s="8"/>
      <c r="GV1853" s="8"/>
      <c r="GW1853" s="8"/>
      <c r="GX1853" s="8"/>
    </row>
    <row r="1854">
      <c r="A1854" s="8" t="str">
        <f>IFERROR(__xludf.DUMMYFUNCTION("""COMPUTED_VALUE"""),"125491220170600750")</f>
        <v>125491220170600750</v>
      </c>
      <c r="B1854" s="9" t="str">
        <f>IFERROR(__xludf.DUMMYFUNCTION("""COMPUTED_VALUE"""),"Italy")</f>
        <v>Italy</v>
      </c>
      <c r="C1854" s="9" t="str">
        <f>IFERROR(__xludf.DUMMYFUNCTION("""COMPUTED_VALUE"""),"piedmont")</f>
        <v>piedmont</v>
      </c>
      <c r="D1854" s="9" t="str">
        <f>IFERROR(__xludf.DUMMYFUNCTION("""COMPUTED_VALUE"""),"Comm. G.B. Burlotto, Barolo")</f>
        <v>Comm. G.B. Burlotto, Barolo</v>
      </c>
      <c r="E1854" s="9">
        <f>IFERROR(__xludf.DUMMYFUNCTION("""COMPUTED_VALUE"""),2017.0)</f>
        <v>2017</v>
      </c>
      <c r="F1854" s="9">
        <f>IFERROR(__xludf.DUMMYFUNCTION("""COMPUTED_VALUE"""),750.0)</f>
        <v>750</v>
      </c>
      <c r="G1854" s="9">
        <f>IFERROR(__xludf.DUMMYFUNCTION("""COMPUTED_VALUE"""),6.0)</f>
        <v>6</v>
      </c>
      <c r="H1854" s="10">
        <f>IFERROR(__xludf.DUMMYFUNCTION("""COMPUTED_VALUE"""),2.0)</f>
        <v>2</v>
      </c>
      <c r="I1854" s="11">
        <f>IFERROR(__xludf.DUMMYFUNCTION("""COMPUTED_VALUE"""),470.0)</f>
        <v>470</v>
      </c>
      <c r="J1854" s="9" t="str">
        <f>IFERROR(__xludf.DUMMYFUNCTION("""COMPUTED_VALUE"""),"UK")</f>
        <v>UK</v>
      </c>
      <c r="K1854" s="8"/>
      <c r="L1854" s="12"/>
      <c r="M1854" s="13"/>
      <c r="N1854" s="13" t="str">
        <f>IFERROR(__xludf.DUMMYFUNCTION("IF(ISBLANK(M1854),"""",M1854*GOOGLEFINANCE(""USDGBP""))"),"")</f>
        <v/>
      </c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  <c r="GG1854" s="8"/>
      <c r="GH1854" s="8"/>
      <c r="GI1854" s="8"/>
      <c r="GJ1854" s="8"/>
      <c r="GK1854" s="8"/>
      <c r="GL1854" s="8"/>
      <c r="GM1854" s="8"/>
      <c r="GN1854" s="8"/>
      <c r="GO1854" s="8"/>
      <c r="GP1854" s="8"/>
      <c r="GQ1854" s="8"/>
      <c r="GR1854" s="8"/>
      <c r="GS1854" s="8"/>
      <c r="GT1854" s="8"/>
      <c r="GU1854" s="8"/>
      <c r="GV1854" s="8"/>
      <c r="GW1854" s="8"/>
      <c r="GX1854" s="8"/>
    </row>
    <row r="1855">
      <c r="A1855" s="8" t="str">
        <f>IFERROR(__xludf.DUMMYFUNCTION("""COMPUTED_VALUE"""),"117182020170600750")</f>
        <v>117182020170600750</v>
      </c>
      <c r="B1855" s="9" t="str">
        <f>IFERROR(__xludf.DUMMYFUNCTION("""COMPUTED_VALUE"""),"Italy")</f>
        <v>Italy</v>
      </c>
      <c r="C1855" s="9" t="str">
        <f>IFERROR(__xludf.DUMMYFUNCTION("""COMPUTED_VALUE"""),"piedmont")</f>
        <v>piedmont</v>
      </c>
      <c r="D1855" s="9" t="str">
        <f>IFERROR(__xludf.DUMMYFUNCTION("""COMPUTED_VALUE"""),"Comm. G.B. Burlotto, Barolo, Acclivi")</f>
        <v>Comm. G.B. Burlotto, Barolo, Acclivi</v>
      </c>
      <c r="E1855" s="9">
        <f>IFERROR(__xludf.DUMMYFUNCTION("""COMPUTED_VALUE"""),2017.0)</f>
        <v>2017</v>
      </c>
      <c r="F1855" s="9">
        <f>IFERROR(__xludf.DUMMYFUNCTION("""COMPUTED_VALUE"""),750.0)</f>
        <v>750</v>
      </c>
      <c r="G1855" s="9">
        <f>IFERROR(__xludf.DUMMYFUNCTION("""COMPUTED_VALUE"""),6.0)</f>
        <v>6</v>
      </c>
      <c r="H1855" s="10">
        <f>IFERROR(__xludf.DUMMYFUNCTION("""COMPUTED_VALUE"""),5.0)</f>
        <v>5</v>
      </c>
      <c r="I1855" s="11">
        <f>IFERROR(__xludf.DUMMYFUNCTION("""COMPUTED_VALUE"""),794.0)</f>
        <v>794</v>
      </c>
      <c r="J1855" s="9" t="str">
        <f>IFERROR(__xludf.DUMMYFUNCTION("""COMPUTED_VALUE"""),"UK")</f>
        <v>UK</v>
      </c>
      <c r="K1855" s="8"/>
      <c r="L1855" s="12"/>
      <c r="M1855" s="13"/>
      <c r="N1855" s="13" t="str">
        <f>IFERROR(__xludf.DUMMYFUNCTION("IF(ISBLANK(M1855),"""",M1855*GOOGLEFINANCE(""USDGBP""))"),"")</f>
        <v/>
      </c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  <c r="GA1855" s="8"/>
      <c r="GB1855" s="8"/>
      <c r="GC1855" s="8"/>
      <c r="GD1855" s="8"/>
      <c r="GE1855" s="8"/>
      <c r="GF1855" s="8"/>
      <c r="GG1855" s="8"/>
      <c r="GH1855" s="8"/>
      <c r="GI1855" s="8"/>
      <c r="GJ1855" s="8"/>
      <c r="GK1855" s="8"/>
      <c r="GL1855" s="8"/>
      <c r="GM1855" s="8"/>
      <c r="GN1855" s="8"/>
      <c r="GO1855" s="8"/>
      <c r="GP1855" s="8"/>
      <c r="GQ1855" s="8"/>
      <c r="GR1855" s="8"/>
      <c r="GS1855" s="8"/>
      <c r="GT1855" s="8"/>
      <c r="GU1855" s="8"/>
      <c r="GV1855" s="8"/>
      <c r="GW1855" s="8"/>
      <c r="GX1855" s="8"/>
    </row>
    <row r="1856">
      <c r="A1856" s="8" t="str">
        <f>IFERROR(__xludf.DUMMYFUNCTION("""COMPUTED_VALUE"""),"133013520150600750")</f>
        <v>133013520150600750</v>
      </c>
      <c r="B1856" s="9" t="str">
        <f>IFERROR(__xludf.DUMMYFUNCTION("""COMPUTED_VALUE"""),"Italy")</f>
        <v>Italy</v>
      </c>
      <c r="C1856" s="9" t="str">
        <f>IFERROR(__xludf.DUMMYFUNCTION("""COMPUTED_VALUE"""),"piedmont")</f>
        <v>piedmont</v>
      </c>
      <c r="D1856" s="9" t="str">
        <f>IFERROR(__xludf.DUMMYFUNCTION("""COMPUTED_VALUE"""),"Comm. G.B. Burlotto, Barolo, Cannubi")</f>
        <v>Comm. G.B. Burlotto, Barolo, Cannubi</v>
      </c>
      <c r="E1856" s="9">
        <f>IFERROR(__xludf.DUMMYFUNCTION("""COMPUTED_VALUE"""),2015.0)</f>
        <v>2015</v>
      </c>
      <c r="F1856" s="9">
        <f>IFERROR(__xludf.DUMMYFUNCTION("""COMPUTED_VALUE"""),750.0)</f>
        <v>750</v>
      </c>
      <c r="G1856" s="9">
        <f>IFERROR(__xludf.DUMMYFUNCTION("""COMPUTED_VALUE"""),6.0)</f>
        <v>6</v>
      </c>
      <c r="H1856" s="10">
        <f>IFERROR(__xludf.DUMMYFUNCTION("""COMPUTED_VALUE"""),1.0)</f>
        <v>1</v>
      </c>
      <c r="I1856" s="11">
        <f>IFERROR(__xludf.DUMMYFUNCTION("""COMPUTED_VALUE"""),1869.0)</f>
        <v>1869</v>
      </c>
      <c r="J1856" s="9" t="str">
        <f>IFERROR(__xludf.DUMMYFUNCTION("""COMPUTED_VALUE"""),"UK")</f>
        <v>UK</v>
      </c>
      <c r="K1856" s="8"/>
      <c r="L1856" s="12"/>
      <c r="M1856" s="13"/>
      <c r="N1856" s="13" t="str">
        <f>IFERROR(__xludf.DUMMYFUNCTION("IF(ISBLANK(M1856),"""",M1856*GOOGLEFINANCE(""USDGBP""))"),"")</f>
        <v/>
      </c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  <c r="FG1856" s="8"/>
      <c r="FH1856" s="8"/>
      <c r="FI1856" s="8"/>
      <c r="FJ1856" s="8"/>
      <c r="FK1856" s="8"/>
      <c r="FL1856" s="8"/>
      <c r="FM1856" s="8"/>
      <c r="FN1856" s="8"/>
      <c r="FO1856" s="8"/>
      <c r="FP1856" s="8"/>
      <c r="FQ1856" s="8"/>
      <c r="FR1856" s="8"/>
      <c r="FS1856" s="8"/>
      <c r="FT1856" s="8"/>
      <c r="FU1856" s="8"/>
      <c r="FV1856" s="8"/>
      <c r="FW1856" s="8"/>
      <c r="FX1856" s="8"/>
      <c r="FY1856" s="8"/>
      <c r="FZ1856" s="8"/>
      <c r="GA1856" s="8"/>
      <c r="GB1856" s="8"/>
      <c r="GC1856" s="8"/>
      <c r="GD1856" s="8"/>
      <c r="GE1856" s="8"/>
      <c r="GF1856" s="8"/>
      <c r="GG1856" s="8"/>
      <c r="GH1856" s="8"/>
      <c r="GI1856" s="8"/>
      <c r="GJ1856" s="8"/>
      <c r="GK1856" s="8"/>
      <c r="GL1856" s="8"/>
      <c r="GM1856" s="8"/>
      <c r="GN1856" s="8"/>
      <c r="GO1856" s="8"/>
      <c r="GP1856" s="8"/>
      <c r="GQ1856" s="8"/>
      <c r="GR1856" s="8"/>
      <c r="GS1856" s="8"/>
      <c r="GT1856" s="8"/>
      <c r="GU1856" s="8"/>
      <c r="GV1856" s="8"/>
      <c r="GW1856" s="8"/>
      <c r="GX1856" s="8"/>
    </row>
    <row r="1857">
      <c r="A1857" s="8" t="str">
        <f>IFERROR(__xludf.DUMMYFUNCTION("""COMPUTED_VALUE"""),"127436120160600750")</f>
        <v>127436120160600750</v>
      </c>
      <c r="B1857" s="9" t="str">
        <f>IFERROR(__xludf.DUMMYFUNCTION("""COMPUTED_VALUE"""),"Italy")</f>
        <v>Italy</v>
      </c>
      <c r="C1857" s="9" t="str">
        <f>IFERROR(__xludf.DUMMYFUNCTION("""COMPUTED_VALUE"""),"piedmont")</f>
        <v>piedmont</v>
      </c>
      <c r="D1857" s="9" t="str">
        <f>IFERROR(__xludf.DUMMYFUNCTION("""COMPUTED_VALUE"""),"Comm. G.B. Burlotto, Barolo, Monvigliero")</f>
        <v>Comm. G.B. Burlotto, Barolo, Monvigliero</v>
      </c>
      <c r="E1857" s="9">
        <f>IFERROR(__xludf.DUMMYFUNCTION("""COMPUTED_VALUE"""),2016.0)</f>
        <v>2016</v>
      </c>
      <c r="F1857" s="9">
        <f>IFERROR(__xludf.DUMMYFUNCTION("""COMPUTED_VALUE"""),750.0)</f>
        <v>750</v>
      </c>
      <c r="G1857" s="9">
        <f>IFERROR(__xludf.DUMMYFUNCTION("""COMPUTED_VALUE"""),6.0)</f>
        <v>6</v>
      </c>
      <c r="H1857" s="10">
        <f>IFERROR(__xludf.DUMMYFUNCTION("""COMPUTED_VALUE"""),1.0)</f>
        <v>1</v>
      </c>
      <c r="I1857" s="11">
        <f>IFERROR(__xludf.DUMMYFUNCTION("""COMPUTED_VALUE"""),3143.0)</f>
        <v>3143</v>
      </c>
      <c r="J1857" s="9" t="str">
        <f>IFERROR(__xludf.DUMMYFUNCTION("""COMPUTED_VALUE"""),"UK")</f>
        <v>UK</v>
      </c>
      <c r="K1857" s="8"/>
      <c r="L1857" s="12"/>
      <c r="M1857" s="13"/>
      <c r="N1857" s="13" t="str">
        <f>IFERROR(__xludf.DUMMYFUNCTION("IF(ISBLANK(M1857),"""",M1857*GOOGLEFINANCE(""USDGBP""))"),"")</f>
        <v/>
      </c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  <c r="FG1857" s="8"/>
      <c r="FH1857" s="8"/>
      <c r="FI1857" s="8"/>
      <c r="FJ1857" s="8"/>
      <c r="FK1857" s="8"/>
      <c r="FL1857" s="8"/>
      <c r="FM1857" s="8"/>
      <c r="FN1857" s="8"/>
      <c r="FO1857" s="8"/>
      <c r="FP1857" s="8"/>
      <c r="FQ1857" s="8"/>
      <c r="FR1857" s="8"/>
      <c r="FS1857" s="8"/>
      <c r="FT1857" s="8"/>
      <c r="FU1857" s="8"/>
      <c r="FV1857" s="8"/>
      <c r="FW1857" s="8"/>
      <c r="FX1857" s="8"/>
      <c r="FY1857" s="8"/>
      <c r="FZ1857" s="8"/>
      <c r="GA1857" s="8"/>
      <c r="GB1857" s="8"/>
      <c r="GC1857" s="8"/>
      <c r="GD1857" s="8"/>
      <c r="GE1857" s="8"/>
      <c r="GF1857" s="8"/>
      <c r="GG1857" s="8"/>
      <c r="GH1857" s="8"/>
      <c r="GI1857" s="8"/>
      <c r="GJ1857" s="8"/>
      <c r="GK1857" s="8"/>
      <c r="GL1857" s="8"/>
      <c r="GM1857" s="8"/>
      <c r="GN1857" s="8"/>
      <c r="GO1857" s="8"/>
      <c r="GP1857" s="8"/>
      <c r="GQ1857" s="8"/>
      <c r="GR1857" s="8"/>
      <c r="GS1857" s="8"/>
      <c r="GT1857" s="8"/>
      <c r="GU1857" s="8"/>
      <c r="GV1857" s="8"/>
      <c r="GW1857" s="8"/>
      <c r="GX1857" s="8"/>
    </row>
    <row r="1858">
      <c r="A1858" s="8" t="str">
        <f>IFERROR(__xludf.DUMMYFUNCTION("""COMPUTED_VALUE"""),"166032820130600750")</f>
        <v>166032820130600750</v>
      </c>
      <c r="B1858" s="9" t="str">
        <f>IFERROR(__xludf.DUMMYFUNCTION("""COMPUTED_VALUE"""),"Italy")</f>
        <v>Italy</v>
      </c>
      <c r="C1858" s="9" t="str">
        <f>IFERROR(__xludf.DUMMYFUNCTION("""COMPUTED_VALUE"""),"piedmont")</f>
        <v>piedmont</v>
      </c>
      <c r="D1858" s="9" t="str">
        <f>IFERROR(__xludf.DUMMYFUNCTION("""COMPUTED_VALUE"""),"Domenico Clerico, Barolo, Aeroplanservaj")</f>
        <v>Domenico Clerico, Barolo, Aeroplanservaj</v>
      </c>
      <c r="E1858" s="9">
        <f>IFERROR(__xludf.DUMMYFUNCTION("""COMPUTED_VALUE"""),2013.0)</f>
        <v>2013</v>
      </c>
      <c r="F1858" s="9">
        <f>IFERROR(__xludf.DUMMYFUNCTION("""COMPUTED_VALUE"""),750.0)</f>
        <v>750</v>
      </c>
      <c r="G1858" s="9">
        <f>IFERROR(__xludf.DUMMYFUNCTION("""COMPUTED_VALUE"""),6.0)</f>
        <v>6</v>
      </c>
      <c r="H1858" s="10">
        <f>IFERROR(__xludf.DUMMYFUNCTION("""COMPUTED_VALUE"""),4.0)</f>
        <v>4</v>
      </c>
      <c r="I1858" s="11">
        <f>IFERROR(__xludf.DUMMYFUNCTION("""COMPUTED_VALUE"""),430.0)</f>
        <v>430</v>
      </c>
      <c r="J1858" s="9" t="str">
        <f>IFERROR(__xludf.DUMMYFUNCTION("""COMPUTED_VALUE"""),"UK")</f>
        <v>UK</v>
      </c>
      <c r="K1858" s="8"/>
      <c r="L1858" s="12"/>
      <c r="M1858" s="13"/>
      <c r="N1858" s="13" t="str">
        <f>IFERROR(__xludf.DUMMYFUNCTION("IF(ISBLANK(M1858),"""",M1858*GOOGLEFINANCE(""USDGBP""))"),"")</f>
        <v/>
      </c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  <c r="FG1858" s="8"/>
      <c r="FH1858" s="8"/>
      <c r="FI1858" s="8"/>
      <c r="FJ1858" s="8"/>
      <c r="FK1858" s="8"/>
      <c r="FL1858" s="8"/>
      <c r="FM1858" s="8"/>
      <c r="FN1858" s="8"/>
      <c r="FO1858" s="8"/>
      <c r="FP1858" s="8"/>
      <c r="FQ1858" s="8"/>
      <c r="FR1858" s="8"/>
      <c r="FS1858" s="8"/>
      <c r="FT1858" s="8"/>
      <c r="FU1858" s="8"/>
      <c r="FV1858" s="8"/>
      <c r="FW1858" s="8"/>
      <c r="FX1858" s="8"/>
      <c r="FY1858" s="8"/>
      <c r="FZ1858" s="8"/>
      <c r="GA1858" s="8"/>
      <c r="GB1858" s="8"/>
      <c r="GC1858" s="8"/>
      <c r="GD1858" s="8"/>
      <c r="GE1858" s="8"/>
      <c r="GF1858" s="8"/>
      <c r="GG1858" s="8"/>
      <c r="GH1858" s="8"/>
      <c r="GI1858" s="8"/>
      <c r="GJ1858" s="8"/>
      <c r="GK1858" s="8"/>
      <c r="GL1858" s="8"/>
      <c r="GM1858" s="8"/>
      <c r="GN1858" s="8"/>
      <c r="GO1858" s="8"/>
      <c r="GP1858" s="8"/>
      <c r="GQ1858" s="8"/>
      <c r="GR1858" s="8"/>
      <c r="GS1858" s="8"/>
      <c r="GT1858" s="8"/>
      <c r="GU1858" s="8"/>
      <c r="GV1858" s="8"/>
      <c r="GW1858" s="8"/>
      <c r="GX1858" s="8"/>
    </row>
    <row r="1859">
      <c r="A1859" s="8" t="str">
        <f>IFERROR(__xludf.DUMMYFUNCTION("""COMPUTED_VALUE"""),"166032820150600750")</f>
        <v>166032820150600750</v>
      </c>
      <c r="B1859" s="9" t="str">
        <f>IFERROR(__xludf.DUMMYFUNCTION("""COMPUTED_VALUE"""),"Italy")</f>
        <v>Italy</v>
      </c>
      <c r="C1859" s="9" t="str">
        <f>IFERROR(__xludf.DUMMYFUNCTION("""COMPUTED_VALUE"""),"piedmont")</f>
        <v>piedmont</v>
      </c>
      <c r="D1859" s="9" t="str">
        <f>IFERROR(__xludf.DUMMYFUNCTION("""COMPUTED_VALUE"""),"Domenico Clerico, Barolo, Aeroplanservaj")</f>
        <v>Domenico Clerico, Barolo, Aeroplanservaj</v>
      </c>
      <c r="E1859" s="9">
        <f>IFERROR(__xludf.DUMMYFUNCTION("""COMPUTED_VALUE"""),2015.0)</f>
        <v>2015</v>
      </c>
      <c r="F1859" s="9">
        <f>IFERROR(__xludf.DUMMYFUNCTION("""COMPUTED_VALUE"""),750.0)</f>
        <v>750</v>
      </c>
      <c r="G1859" s="9">
        <f>IFERROR(__xludf.DUMMYFUNCTION("""COMPUTED_VALUE"""),6.0)</f>
        <v>6</v>
      </c>
      <c r="H1859" s="10">
        <f>IFERROR(__xludf.DUMMYFUNCTION("""COMPUTED_VALUE"""),2.0)</f>
        <v>2</v>
      </c>
      <c r="I1859" s="11">
        <f>IFERROR(__xludf.DUMMYFUNCTION("""COMPUTED_VALUE"""),425.0)</f>
        <v>425</v>
      </c>
      <c r="J1859" s="9" t="str">
        <f>IFERROR(__xludf.DUMMYFUNCTION("""COMPUTED_VALUE"""),"UK")</f>
        <v>UK</v>
      </c>
      <c r="K1859" s="8"/>
      <c r="L1859" s="12"/>
      <c r="M1859" s="13"/>
      <c r="N1859" s="13" t="str">
        <f>IFERROR(__xludf.DUMMYFUNCTION("IF(ISBLANK(M1859),"""",M1859*GOOGLEFINANCE(""USDGBP""))"),"")</f>
        <v/>
      </c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  <c r="GA1859" s="8"/>
      <c r="GB1859" s="8"/>
      <c r="GC1859" s="8"/>
      <c r="GD1859" s="8"/>
      <c r="GE1859" s="8"/>
      <c r="GF1859" s="8"/>
      <c r="GG1859" s="8"/>
      <c r="GH1859" s="8"/>
      <c r="GI1859" s="8"/>
      <c r="GJ1859" s="8"/>
      <c r="GK1859" s="8"/>
      <c r="GL1859" s="8"/>
      <c r="GM1859" s="8"/>
      <c r="GN1859" s="8"/>
      <c r="GO1859" s="8"/>
      <c r="GP1859" s="8"/>
      <c r="GQ1859" s="8"/>
      <c r="GR1859" s="8"/>
      <c r="GS1859" s="8"/>
      <c r="GT1859" s="8"/>
      <c r="GU1859" s="8"/>
      <c r="GV1859" s="8"/>
      <c r="GW1859" s="8"/>
      <c r="GX1859" s="8"/>
    </row>
    <row r="1860">
      <c r="A1860" s="8" t="str">
        <f>IFERROR(__xludf.DUMMYFUNCTION("""COMPUTED_VALUE"""),"166032820160600750")</f>
        <v>166032820160600750</v>
      </c>
      <c r="B1860" s="9" t="str">
        <f>IFERROR(__xludf.DUMMYFUNCTION("""COMPUTED_VALUE"""),"Italy")</f>
        <v>Italy</v>
      </c>
      <c r="C1860" s="9" t="str">
        <f>IFERROR(__xludf.DUMMYFUNCTION("""COMPUTED_VALUE"""),"piedmont")</f>
        <v>piedmont</v>
      </c>
      <c r="D1860" s="9" t="str">
        <f>IFERROR(__xludf.DUMMYFUNCTION("""COMPUTED_VALUE"""),"Domenico Clerico, Barolo, Aeroplanservaj")</f>
        <v>Domenico Clerico, Barolo, Aeroplanservaj</v>
      </c>
      <c r="E1860" s="9">
        <f>IFERROR(__xludf.DUMMYFUNCTION("""COMPUTED_VALUE"""),2016.0)</f>
        <v>2016</v>
      </c>
      <c r="F1860" s="9">
        <f>IFERROR(__xludf.DUMMYFUNCTION("""COMPUTED_VALUE"""),750.0)</f>
        <v>750</v>
      </c>
      <c r="G1860" s="9">
        <f>IFERROR(__xludf.DUMMYFUNCTION("""COMPUTED_VALUE"""),6.0)</f>
        <v>6</v>
      </c>
      <c r="H1860" s="10">
        <f>IFERROR(__xludf.DUMMYFUNCTION("""COMPUTED_VALUE"""),1.0)</f>
        <v>1</v>
      </c>
      <c r="I1860" s="11">
        <f>IFERROR(__xludf.DUMMYFUNCTION("""COMPUTED_VALUE"""),481.0)</f>
        <v>481</v>
      </c>
      <c r="J1860" s="9" t="str">
        <f>IFERROR(__xludf.DUMMYFUNCTION("""COMPUTED_VALUE"""),"UK")</f>
        <v>UK</v>
      </c>
      <c r="K1860" s="8"/>
      <c r="L1860" s="12"/>
      <c r="M1860" s="13"/>
      <c r="N1860" s="13" t="str">
        <f>IFERROR(__xludf.DUMMYFUNCTION("IF(ISBLANK(M1860),"""",M1860*GOOGLEFINANCE(""USDGBP""))"),"")</f>
        <v/>
      </c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  <c r="GA1860" s="8"/>
      <c r="GB1860" s="8"/>
      <c r="GC1860" s="8"/>
      <c r="GD1860" s="8"/>
      <c r="GE1860" s="8"/>
      <c r="GF1860" s="8"/>
      <c r="GG1860" s="8"/>
      <c r="GH1860" s="8"/>
      <c r="GI1860" s="8"/>
      <c r="GJ1860" s="8"/>
      <c r="GK1860" s="8"/>
      <c r="GL1860" s="8"/>
      <c r="GM1860" s="8"/>
      <c r="GN1860" s="8"/>
      <c r="GO1860" s="8"/>
      <c r="GP1860" s="8"/>
      <c r="GQ1860" s="8"/>
      <c r="GR1860" s="8"/>
      <c r="GS1860" s="8"/>
      <c r="GT1860" s="8"/>
      <c r="GU1860" s="8"/>
      <c r="GV1860" s="8"/>
      <c r="GW1860" s="8"/>
      <c r="GX1860" s="8"/>
    </row>
    <row r="1861">
      <c r="A1861" s="8" t="str">
        <f>IFERROR(__xludf.DUMMYFUNCTION("""COMPUTED_VALUE"""),"166032820170600750")</f>
        <v>166032820170600750</v>
      </c>
      <c r="B1861" s="9" t="str">
        <f>IFERROR(__xludf.DUMMYFUNCTION("""COMPUTED_VALUE"""),"Italy")</f>
        <v>Italy</v>
      </c>
      <c r="C1861" s="9" t="str">
        <f>IFERROR(__xludf.DUMMYFUNCTION("""COMPUTED_VALUE"""),"piedmont")</f>
        <v>piedmont</v>
      </c>
      <c r="D1861" s="9" t="str">
        <f>IFERROR(__xludf.DUMMYFUNCTION("""COMPUTED_VALUE"""),"Domenico Clerico, Barolo, Aeroplanservaj")</f>
        <v>Domenico Clerico, Barolo, Aeroplanservaj</v>
      </c>
      <c r="E1861" s="9">
        <f>IFERROR(__xludf.DUMMYFUNCTION("""COMPUTED_VALUE"""),2017.0)</f>
        <v>2017</v>
      </c>
      <c r="F1861" s="9">
        <f>IFERROR(__xludf.DUMMYFUNCTION("""COMPUTED_VALUE"""),750.0)</f>
        <v>750</v>
      </c>
      <c r="G1861" s="9">
        <f>IFERROR(__xludf.DUMMYFUNCTION("""COMPUTED_VALUE"""),6.0)</f>
        <v>6</v>
      </c>
      <c r="H1861" s="10">
        <f>IFERROR(__xludf.DUMMYFUNCTION("""COMPUTED_VALUE"""),1.0)</f>
        <v>1</v>
      </c>
      <c r="I1861" s="11">
        <f>IFERROR(__xludf.DUMMYFUNCTION("""COMPUTED_VALUE"""),386.0)</f>
        <v>386</v>
      </c>
      <c r="J1861" s="9" t="str">
        <f>IFERROR(__xludf.DUMMYFUNCTION("""COMPUTED_VALUE"""),"UK")</f>
        <v>UK</v>
      </c>
      <c r="K1861" s="8"/>
      <c r="L1861" s="12"/>
      <c r="M1861" s="13"/>
      <c r="N1861" s="13" t="str">
        <f>IFERROR(__xludf.DUMMYFUNCTION("IF(ISBLANK(M1861),"""",M1861*GOOGLEFINANCE(""USDGBP""))"),"")</f>
        <v/>
      </c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  <c r="GA1861" s="8"/>
      <c r="GB1861" s="8"/>
      <c r="GC1861" s="8"/>
      <c r="GD1861" s="8"/>
      <c r="GE1861" s="8"/>
      <c r="GF1861" s="8"/>
      <c r="GG1861" s="8"/>
      <c r="GH1861" s="8"/>
      <c r="GI1861" s="8"/>
      <c r="GJ1861" s="8"/>
      <c r="GK1861" s="8"/>
      <c r="GL1861" s="8"/>
      <c r="GM1861" s="8"/>
      <c r="GN1861" s="8"/>
      <c r="GO1861" s="8"/>
      <c r="GP1861" s="8"/>
      <c r="GQ1861" s="8"/>
      <c r="GR1861" s="8"/>
      <c r="GS1861" s="8"/>
      <c r="GT1861" s="8"/>
      <c r="GU1861" s="8"/>
      <c r="GV1861" s="8"/>
      <c r="GW1861" s="8"/>
      <c r="GX1861" s="8"/>
    </row>
    <row r="1862">
      <c r="A1862" s="8" t="str">
        <f>IFERROR(__xludf.DUMMYFUNCTION("""COMPUTED_VALUE"""),"120104620081200750")</f>
        <v>120104620081200750</v>
      </c>
      <c r="B1862" s="9" t="str">
        <f>IFERROR(__xludf.DUMMYFUNCTION("""COMPUTED_VALUE"""),"Italy")</f>
        <v>Italy</v>
      </c>
      <c r="C1862" s="9" t="str">
        <f>IFERROR(__xludf.DUMMYFUNCTION("""COMPUTED_VALUE"""),"piedmont")</f>
        <v>piedmont</v>
      </c>
      <c r="D1862" s="9" t="str">
        <f>IFERROR(__xludf.DUMMYFUNCTION("""COMPUTED_VALUE"""),"Domenico Clerico, Barolo, Ginestra Ciabot Mentin")</f>
        <v>Domenico Clerico, Barolo, Ginestra Ciabot Mentin</v>
      </c>
      <c r="E1862" s="9">
        <f>IFERROR(__xludf.DUMMYFUNCTION("""COMPUTED_VALUE"""),2008.0)</f>
        <v>2008</v>
      </c>
      <c r="F1862" s="9">
        <f>IFERROR(__xludf.DUMMYFUNCTION("""COMPUTED_VALUE"""),750.0)</f>
        <v>750</v>
      </c>
      <c r="G1862" s="9">
        <f>IFERROR(__xludf.DUMMYFUNCTION("""COMPUTED_VALUE"""),12.0)</f>
        <v>12</v>
      </c>
      <c r="H1862" s="10">
        <f>IFERROR(__xludf.DUMMYFUNCTION("""COMPUTED_VALUE"""),1.0)</f>
        <v>1</v>
      </c>
      <c r="I1862" s="11">
        <f>IFERROR(__xludf.DUMMYFUNCTION("""COMPUTED_VALUE"""),784.0)</f>
        <v>784</v>
      </c>
      <c r="J1862" s="9" t="str">
        <f>IFERROR(__xludf.DUMMYFUNCTION("""COMPUTED_VALUE"""),"UK")</f>
        <v>UK</v>
      </c>
      <c r="K1862" s="8"/>
      <c r="L1862" s="12"/>
      <c r="M1862" s="13"/>
      <c r="N1862" s="13" t="str">
        <f>IFERROR(__xludf.DUMMYFUNCTION("IF(ISBLANK(M1862),"""",M1862*GOOGLEFINANCE(""USDGBP""))"),"")</f>
        <v/>
      </c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  <c r="GA1862" s="8"/>
      <c r="GB1862" s="8"/>
      <c r="GC1862" s="8"/>
      <c r="GD1862" s="8"/>
      <c r="GE1862" s="8"/>
      <c r="GF1862" s="8"/>
      <c r="GG1862" s="8"/>
      <c r="GH1862" s="8"/>
      <c r="GI1862" s="8"/>
      <c r="GJ1862" s="8"/>
      <c r="GK1862" s="8"/>
      <c r="GL1862" s="8"/>
      <c r="GM1862" s="8"/>
      <c r="GN1862" s="8"/>
      <c r="GO1862" s="8"/>
      <c r="GP1862" s="8"/>
      <c r="GQ1862" s="8"/>
      <c r="GR1862" s="8"/>
      <c r="GS1862" s="8"/>
      <c r="GT1862" s="8"/>
      <c r="GU1862" s="8"/>
      <c r="GV1862" s="8"/>
      <c r="GW1862" s="8"/>
      <c r="GX1862" s="8"/>
    </row>
    <row r="1863">
      <c r="A1863" s="8" t="str">
        <f>IFERROR(__xludf.DUMMYFUNCTION("""COMPUTED_VALUE"""),"120104620100600750")</f>
        <v>120104620100600750</v>
      </c>
      <c r="B1863" s="9" t="str">
        <f>IFERROR(__xludf.DUMMYFUNCTION("""COMPUTED_VALUE"""),"Italy")</f>
        <v>Italy</v>
      </c>
      <c r="C1863" s="9" t="str">
        <f>IFERROR(__xludf.DUMMYFUNCTION("""COMPUTED_VALUE"""),"piedmont")</f>
        <v>piedmont</v>
      </c>
      <c r="D1863" s="9" t="str">
        <f>IFERROR(__xludf.DUMMYFUNCTION("""COMPUTED_VALUE"""),"Domenico Clerico, Barolo, Ginestra Ciabot Mentin")</f>
        <v>Domenico Clerico, Barolo, Ginestra Ciabot Mentin</v>
      </c>
      <c r="E1863" s="9">
        <f>IFERROR(__xludf.DUMMYFUNCTION("""COMPUTED_VALUE"""),2010.0)</f>
        <v>2010</v>
      </c>
      <c r="F1863" s="9">
        <f>IFERROR(__xludf.DUMMYFUNCTION("""COMPUTED_VALUE"""),750.0)</f>
        <v>750</v>
      </c>
      <c r="G1863" s="9">
        <f>IFERROR(__xludf.DUMMYFUNCTION("""COMPUTED_VALUE"""),6.0)</f>
        <v>6</v>
      </c>
      <c r="H1863" s="10">
        <f>IFERROR(__xludf.DUMMYFUNCTION("""COMPUTED_VALUE"""),4.0)</f>
        <v>4</v>
      </c>
      <c r="I1863" s="11">
        <f>IFERROR(__xludf.DUMMYFUNCTION("""COMPUTED_VALUE"""),441.0)</f>
        <v>441</v>
      </c>
      <c r="J1863" s="9" t="str">
        <f>IFERROR(__xludf.DUMMYFUNCTION("""COMPUTED_VALUE"""),"UK")</f>
        <v>UK</v>
      </c>
      <c r="K1863" s="8"/>
      <c r="L1863" s="12"/>
      <c r="M1863" s="13"/>
      <c r="N1863" s="13" t="str">
        <f>IFERROR(__xludf.DUMMYFUNCTION("IF(ISBLANK(M1863),"""",M1863*GOOGLEFINANCE(""USDGBP""))"),"")</f>
        <v/>
      </c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  <c r="GA1863" s="8"/>
      <c r="GB1863" s="8"/>
      <c r="GC1863" s="8"/>
      <c r="GD1863" s="8"/>
      <c r="GE1863" s="8"/>
      <c r="GF1863" s="8"/>
      <c r="GG1863" s="8"/>
      <c r="GH1863" s="8"/>
      <c r="GI1863" s="8"/>
      <c r="GJ1863" s="8"/>
      <c r="GK1863" s="8"/>
      <c r="GL1863" s="8"/>
      <c r="GM1863" s="8"/>
      <c r="GN1863" s="8"/>
      <c r="GO1863" s="8"/>
      <c r="GP1863" s="8"/>
      <c r="GQ1863" s="8"/>
      <c r="GR1863" s="8"/>
      <c r="GS1863" s="8"/>
      <c r="GT1863" s="8"/>
      <c r="GU1863" s="8"/>
      <c r="GV1863" s="8"/>
      <c r="GW1863" s="8"/>
      <c r="GX1863" s="8"/>
    </row>
    <row r="1864">
      <c r="A1864" s="8" t="str">
        <f>IFERROR(__xludf.DUMMYFUNCTION("""COMPUTED_VALUE"""),"120104620120600750")</f>
        <v>120104620120600750</v>
      </c>
      <c r="B1864" s="9" t="str">
        <f>IFERROR(__xludf.DUMMYFUNCTION("""COMPUTED_VALUE"""),"Italy")</f>
        <v>Italy</v>
      </c>
      <c r="C1864" s="9" t="str">
        <f>IFERROR(__xludf.DUMMYFUNCTION("""COMPUTED_VALUE"""),"piedmont")</f>
        <v>piedmont</v>
      </c>
      <c r="D1864" s="9" t="str">
        <f>IFERROR(__xludf.DUMMYFUNCTION("""COMPUTED_VALUE"""),"Domenico Clerico, Barolo, Ginestra Ciabot Mentin")</f>
        <v>Domenico Clerico, Barolo, Ginestra Ciabot Mentin</v>
      </c>
      <c r="E1864" s="9">
        <f>IFERROR(__xludf.DUMMYFUNCTION("""COMPUTED_VALUE"""),2012.0)</f>
        <v>2012</v>
      </c>
      <c r="F1864" s="9">
        <f>IFERROR(__xludf.DUMMYFUNCTION("""COMPUTED_VALUE"""),750.0)</f>
        <v>750</v>
      </c>
      <c r="G1864" s="9">
        <f>IFERROR(__xludf.DUMMYFUNCTION("""COMPUTED_VALUE"""),6.0)</f>
        <v>6</v>
      </c>
      <c r="H1864" s="10">
        <f>IFERROR(__xludf.DUMMYFUNCTION("""COMPUTED_VALUE"""),1.0)</f>
        <v>1</v>
      </c>
      <c r="I1864" s="11">
        <f>IFERROR(__xludf.DUMMYFUNCTION("""COMPUTED_VALUE"""),392.0)</f>
        <v>392</v>
      </c>
      <c r="J1864" s="9" t="str">
        <f>IFERROR(__xludf.DUMMYFUNCTION("""COMPUTED_VALUE"""),"UK")</f>
        <v>UK</v>
      </c>
      <c r="K1864" s="8"/>
      <c r="L1864" s="12"/>
      <c r="M1864" s="13"/>
      <c r="N1864" s="13" t="str">
        <f>IFERROR(__xludf.DUMMYFUNCTION("IF(ISBLANK(M1864),"""",M1864*GOOGLEFINANCE(""USDGBP""))"),"")</f>
        <v/>
      </c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  <c r="GG1864" s="8"/>
      <c r="GH1864" s="8"/>
      <c r="GI1864" s="8"/>
      <c r="GJ1864" s="8"/>
      <c r="GK1864" s="8"/>
      <c r="GL1864" s="8"/>
      <c r="GM1864" s="8"/>
      <c r="GN1864" s="8"/>
      <c r="GO1864" s="8"/>
      <c r="GP1864" s="8"/>
      <c r="GQ1864" s="8"/>
      <c r="GR1864" s="8"/>
      <c r="GS1864" s="8"/>
      <c r="GT1864" s="8"/>
      <c r="GU1864" s="8"/>
      <c r="GV1864" s="8"/>
      <c r="GW1864" s="8"/>
      <c r="GX1864" s="8"/>
    </row>
    <row r="1865">
      <c r="A1865" s="8" t="str">
        <f>IFERROR(__xludf.DUMMYFUNCTION("""COMPUTED_VALUE"""),"120104620150600750")</f>
        <v>120104620150600750</v>
      </c>
      <c r="B1865" s="9" t="str">
        <f>IFERROR(__xludf.DUMMYFUNCTION("""COMPUTED_VALUE"""),"Italy")</f>
        <v>Italy</v>
      </c>
      <c r="C1865" s="9" t="str">
        <f>IFERROR(__xludf.DUMMYFUNCTION("""COMPUTED_VALUE"""),"piedmont")</f>
        <v>piedmont</v>
      </c>
      <c r="D1865" s="9" t="str">
        <f>IFERROR(__xludf.DUMMYFUNCTION("""COMPUTED_VALUE"""),"Domenico Clerico, Barolo, Ginestra Ciabot Mentin")</f>
        <v>Domenico Clerico, Barolo, Ginestra Ciabot Mentin</v>
      </c>
      <c r="E1865" s="9">
        <f>IFERROR(__xludf.DUMMYFUNCTION("""COMPUTED_VALUE"""),2015.0)</f>
        <v>2015</v>
      </c>
      <c r="F1865" s="9">
        <f>IFERROR(__xludf.DUMMYFUNCTION("""COMPUTED_VALUE"""),750.0)</f>
        <v>750</v>
      </c>
      <c r="G1865" s="9">
        <f>IFERROR(__xludf.DUMMYFUNCTION("""COMPUTED_VALUE"""),6.0)</f>
        <v>6</v>
      </c>
      <c r="H1865" s="10">
        <f>IFERROR(__xludf.DUMMYFUNCTION("""COMPUTED_VALUE"""),2.0)</f>
        <v>2</v>
      </c>
      <c r="I1865" s="11">
        <f>IFERROR(__xludf.DUMMYFUNCTION("""COMPUTED_VALUE"""),393.0)</f>
        <v>393</v>
      </c>
      <c r="J1865" s="9" t="str">
        <f>IFERROR(__xludf.DUMMYFUNCTION("""COMPUTED_VALUE"""),"UK")</f>
        <v>UK</v>
      </c>
      <c r="K1865" s="8"/>
      <c r="L1865" s="12"/>
      <c r="M1865" s="13"/>
      <c r="N1865" s="13" t="str">
        <f>IFERROR(__xludf.DUMMYFUNCTION("IF(ISBLANK(M1865),"""",M1865*GOOGLEFINANCE(""USDGBP""))"),"")</f>
        <v/>
      </c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  <c r="FN1865" s="8"/>
      <c r="FO1865" s="8"/>
      <c r="FP1865" s="8"/>
      <c r="FQ1865" s="8"/>
      <c r="FR1865" s="8"/>
      <c r="FS1865" s="8"/>
      <c r="FT1865" s="8"/>
      <c r="FU1865" s="8"/>
      <c r="FV1865" s="8"/>
      <c r="FW1865" s="8"/>
      <c r="FX1865" s="8"/>
      <c r="FY1865" s="8"/>
      <c r="FZ1865" s="8"/>
      <c r="GA1865" s="8"/>
      <c r="GB1865" s="8"/>
      <c r="GC1865" s="8"/>
      <c r="GD1865" s="8"/>
      <c r="GE1865" s="8"/>
      <c r="GF1865" s="8"/>
      <c r="GG1865" s="8"/>
      <c r="GH1865" s="8"/>
      <c r="GI1865" s="8"/>
      <c r="GJ1865" s="8"/>
      <c r="GK1865" s="8"/>
      <c r="GL1865" s="8"/>
      <c r="GM1865" s="8"/>
      <c r="GN1865" s="8"/>
      <c r="GO1865" s="8"/>
      <c r="GP1865" s="8"/>
      <c r="GQ1865" s="8"/>
      <c r="GR1865" s="8"/>
      <c r="GS1865" s="8"/>
      <c r="GT1865" s="8"/>
      <c r="GU1865" s="8"/>
      <c r="GV1865" s="8"/>
      <c r="GW1865" s="8"/>
      <c r="GX1865" s="8"/>
    </row>
    <row r="1866">
      <c r="A1866" s="8" t="str">
        <f>IFERROR(__xludf.DUMMYFUNCTION("""COMPUTED_VALUE"""),"120104620170600750")</f>
        <v>120104620170600750</v>
      </c>
      <c r="B1866" s="9" t="str">
        <f>IFERROR(__xludf.DUMMYFUNCTION("""COMPUTED_VALUE"""),"Italy")</f>
        <v>Italy</v>
      </c>
      <c r="C1866" s="9" t="str">
        <f>IFERROR(__xludf.DUMMYFUNCTION("""COMPUTED_VALUE"""),"piedmont")</f>
        <v>piedmont</v>
      </c>
      <c r="D1866" s="9" t="str">
        <f>IFERROR(__xludf.DUMMYFUNCTION("""COMPUTED_VALUE"""),"Domenico Clerico, Barolo, Ginestra Ciabot Mentin")</f>
        <v>Domenico Clerico, Barolo, Ginestra Ciabot Mentin</v>
      </c>
      <c r="E1866" s="9">
        <f>IFERROR(__xludf.DUMMYFUNCTION("""COMPUTED_VALUE"""),2017.0)</f>
        <v>2017</v>
      </c>
      <c r="F1866" s="9">
        <f>IFERROR(__xludf.DUMMYFUNCTION("""COMPUTED_VALUE"""),750.0)</f>
        <v>750</v>
      </c>
      <c r="G1866" s="9">
        <f>IFERROR(__xludf.DUMMYFUNCTION("""COMPUTED_VALUE"""),6.0)</f>
        <v>6</v>
      </c>
      <c r="H1866" s="10">
        <f>IFERROR(__xludf.DUMMYFUNCTION("""COMPUTED_VALUE"""),1.0)</f>
        <v>1</v>
      </c>
      <c r="I1866" s="11">
        <f>IFERROR(__xludf.DUMMYFUNCTION("""COMPUTED_VALUE"""),366.0)</f>
        <v>366</v>
      </c>
      <c r="J1866" s="9" t="str">
        <f>IFERROR(__xludf.DUMMYFUNCTION("""COMPUTED_VALUE"""),"UK")</f>
        <v>UK</v>
      </c>
      <c r="K1866" s="8"/>
      <c r="L1866" s="12"/>
      <c r="M1866" s="13"/>
      <c r="N1866" s="13" t="str">
        <f>IFERROR(__xludf.DUMMYFUNCTION("IF(ISBLANK(M1866),"""",M1866*GOOGLEFINANCE(""USDGBP""))"),"")</f>
        <v/>
      </c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  <c r="GA1866" s="8"/>
      <c r="GB1866" s="8"/>
      <c r="GC1866" s="8"/>
      <c r="GD1866" s="8"/>
      <c r="GE1866" s="8"/>
      <c r="GF1866" s="8"/>
      <c r="GG1866" s="8"/>
      <c r="GH1866" s="8"/>
      <c r="GI1866" s="8"/>
      <c r="GJ1866" s="8"/>
      <c r="GK1866" s="8"/>
      <c r="GL1866" s="8"/>
      <c r="GM1866" s="8"/>
      <c r="GN1866" s="8"/>
      <c r="GO1866" s="8"/>
      <c r="GP1866" s="8"/>
      <c r="GQ1866" s="8"/>
      <c r="GR1866" s="8"/>
      <c r="GS1866" s="8"/>
      <c r="GT1866" s="8"/>
      <c r="GU1866" s="8"/>
      <c r="GV1866" s="8"/>
      <c r="GW1866" s="8"/>
      <c r="GX1866" s="8"/>
    </row>
    <row r="1867">
      <c r="A1867" s="8" t="str">
        <f>IFERROR(__xludf.DUMMYFUNCTION("""COMPUTED_VALUE"""),"109803120130600750")</f>
        <v>109803120130600750</v>
      </c>
      <c r="B1867" s="9" t="str">
        <f>IFERROR(__xludf.DUMMYFUNCTION("""COMPUTED_VALUE"""),"Italy")</f>
        <v>Italy</v>
      </c>
      <c r="C1867" s="9" t="str">
        <f>IFERROR(__xludf.DUMMYFUNCTION("""COMPUTED_VALUE"""),"piedmont")</f>
        <v>piedmont</v>
      </c>
      <c r="D1867" s="9" t="str">
        <f>IFERROR(__xludf.DUMMYFUNCTION("""COMPUTED_VALUE"""),"Domenico Clerico, Barolo, Ginestra Pajana")</f>
        <v>Domenico Clerico, Barolo, Ginestra Pajana</v>
      </c>
      <c r="E1867" s="9">
        <f>IFERROR(__xludf.DUMMYFUNCTION("""COMPUTED_VALUE"""),2013.0)</f>
        <v>2013</v>
      </c>
      <c r="F1867" s="9">
        <f>IFERROR(__xludf.DUMMYFUNCTION("""COMPUTED_VALUE"""),750.0)</f>
        <v>750</v>
      </c>
      <c r="G1867" s="9">
        <f>IFERROR(__xludf.DUMMYFUNCTION("""COMPUTED_VALUE"""),6.0)</f>
        <v>6</v>
      </c>
      <c r="H1867" s="10">
        <f>IFERROR(__xludf.DUMMYFUNCTION("""COMPUTED_VALUE"""),1.0)</f>
        <v>1</v>
      </c>
      <c r="I1867" s="11">
        <f>IFERROR(__xludf.DUMMYFUNCTION("""COMPUTED_VALUE"""),357.0)</f>
        <v>357</v>
      </c>
      <c r="J1867" s="9" t="str">
        <f>IFERROR(__xludf.DUMMYFUNCTION("""COMPUTED_VALUE"""),"UK")</f>
        <v>UK</v>
      </c>
      <c r="K1867" s="8"/>
      <c r="L1867" s="12"/>
      <c r="M1867" s="13"/>
      <c r="N1867" s="13" t="str">
        <f>IFERROR(__xludf.DUMMYFUNCTION("IF(ISBLANK(M1867),"""",M1867*GOOGLEFINANCE(""USDGBP""))"),"")</f>
        <v/>
      </c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  <c r="FN1867" s="8"/>
      <c r="FO1867" s="8"/>
      <c r="FP1867" s="8"/>
      <c r="FQ1867" s="8"/>
      <c r="FR1867" s="8"/>
      <c r="FS1867" s="8"/>
      <c r="FT1867" s="8"/>
      <c r="FU1867" s="8"/>
      <c r="FV1867" s="8"/>
      <c r="FW1867" s="8"/>
      <c r="FX1867" s="8"/>
      <c r="FY1867" s="8"/>
      <c r="FZ1867" s="8"/>
      <c r="GA1867" s="8"/>
      <c r="GB1867" s="8"/>
      <c r="GC1867" s="8"/>
      <c r="GD1867" s="8"/>
      <c r="GE1867" s="8"/>
      <c r="GF1867" s="8"/>
      <c r="GG1867" s="8"/>
      <c r="GH1867" s="8"/>
      <c r="GI1867" s="8"/>
      <c r="GJ1867" s="8"/>
      <c r="GK1867" s="8"/>
      <c r="GL1867" s="8"/>
      <c r="GM1867" s="8"/>
      <c r="GN1867" s="8"/>
      <c r="GO1867" s="8"/>
      <c r="GP1867" s="8"/>
      <c r="GQ1867" s="8"/>
      <c r="GR1867" s="8"/>
      <c r="GS1867" s="8"/>
      <c r="GT1867" s="8"/>
      <c r="GU1867" s="8"/>
      <c r="GV1867" s="8"/>
      <c r="GW1867" s="8"/>
      <c r="GX1867" s="8"/>
    </row>
    <row r="1868">
      <c r="A1868" s="8" t="str">
        <f>IFERROR(__xludf.DUMMYFUNCTION("""COMPUTED_VALUE"""),"109803120160600750")</f>
        <v>109803120160600750</v>
      </c>
      <c r="B1868" s="9" t="str">
        <f>IFERROR(__xludf.DUMMYFUNCTION("""COMPUTED_VALUE"""),"Italy")</f>
        <v>Italy</v>
      </c>
      <c r="C1868" s="9" t="str">
        <f>IFERROR(__xludf.DUMMYFUNCTION("""COMPUTED_VALUE"""),"piedmont")</f>
        <v>piedmont</v>
      </c>
      <c r="D1868" s="9" t="str">
        <f>IFERROR(__xludf.DUMMYFUNCTION("""COMPUTED_VALUE"""),"Domenico Clerico, Barolo, Ginestra Pajana")</f>
        <v>Domenico Clerico, Barolo, Ginestra Pajana</v>
      </c>
      <c r="E1868" s="9">
        <f>IFERROR(__xludf.DUMMYFUNCTION("""COMPUTED_VALUE"""),2016.0)</f>
        <v>2016</v>
      </c>
      <c r="F1868" s="9">
        <f>IFERROR(__xludf.DUMMYFUNCTION("""COMPUTED_VALUE"""),750.0)</f>
        <v>750</v>
      </c>
      <c r="G1868" s="9">
        <f>IFERROR(__xludf.DUMMYFUNCTION("""COMPUTED_VALUE"""),6.0)</f>
        <v>6</v>
      </c>
      <c r="H1868" s="10">
        <f>IFERROR(__xludf.DUMMYFUNCTION("""COMPUTED_VALUE"""),3.0)</f>
        <v>3</v>
      </c>
      <c r="I1868" s="11">
        <f>IFERROR(__xludf.DUMMYFUNCTION("""COMPUTED_VALUE"""),361.0)</f>
        <v>361</v>
      </c>
      <c r="J1868" s="9" t="str">
        <f>IFERROR(__xludf.DUMMYFUNCTION("""COMPUTED_VALUE"""),"UK")</f>
        <v>UK</v>
      </c>
      <c r="K1868" s="8"/>
      <c r="L1868" s="12"/>
      <c r="M1868" s="13"/>
      <c r="N1868" s="13" t="str">
        <f>IFERROR(__xludf.DUMMYFUNCTION("IF(ISBLANK(M1868),"""",M1868*GOOGLEFINANCE(""USDGBP""))"),"")</f>
        <v/>
      </c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  <c r="FN1868" s="8"/>
      <c r="FO1868" s="8"/>
      <c r="FP1868" s="8"/>
      <c r="FQ1868" s="8"/>
      <c r="FR1868" s="8"/>
      <c r="FS1868" s="8"/>
      <c r="FT1868" s="8"/>
      <c r="FU1868" s="8"/>
      <c r="FV1868" s="8"/>
      <c r="FW1868" s="8"/>
      <c r="FX1868" s="8"/>
      <c r="FY1868" s="8"/>
      <c r="FZ1868" s="8"/>
      <c r="GA1868" s="8"/>
      <c r="GB1868" s="8"/>
      <c r="GC1868" s="8"/>
      <c r="GD1868" s="8"/>
      <c r="GE1868" s="8"/>
      <c r="GF1868" s="8"/>
      <c r="GG1868" s="8"/>
      <c r="GH1868" s="8"/>
      <c r="GI1868" s="8"/>
      <c r="GJ1868" s="8"/>
      <c r="GK1868" s="8"/>
      <c r="GL1868" s="8"/>
      <c r="GM1868" s="8"/>
      <c r="GN1868" s="8"/>
      <c r="GO1868" s="8"/>
      <c r="GP1868" s="8"/>
      <c r="GQ1868" s="8"/>
      <c r="GR1868" s="8"/>
      <c r="GS1868" s="8"/>
      <c r="GT1868" s="8"/>
      <c r="GU1868" s="8"/>
      <c r="GV1868" s="8"/>
      <c r="GW1868" s="8"/>
      <c r="GX1868" s="8"/>
    </row>
    <row r="1869">
      <c r="A1869" s="8" t="str">
        <f>IFERROR(__xludf.DUMMYFUNCTION("""COMPUTED_VALUE"""),"116366920080600750")</f>
        <v>116366920080600750</v>
      </c>
      <c r="B1869" s="9" t="str">
        <f>IFERROR(__xludf.DUMMYFUNCTION("""COMPUTED_VALUE"""),"Italy")</f>
        <v>Italy</v>
      </c>
      <c r="C1869" s="9" t="str">
        <f>IFERROR(__xludf.DUMMYFUNCTION("""COMPUTED_VALUE"""),"piedmont")</f>
        <v>piedmont</v>
      </c>
      <c r="D1869" s="9" t="str">
        <f>IFERROR(__xludf.DUMMYFUNCTION("""COMPUTED_VALUE"""),"Domenico Clerico, Barolo, Percristina")</f>
        <v>Domenico Clerico, Barolo, Percristina</v>
      </c>
      <c r="E1869" s="9">
        <f>IFERROR(__xludf.DUMMYFUNCTION("""COMPUTED_VALUE"""),2008.0)</f>
        <v>2008</v>
      </c>
      <c r="F1869" s="9">
        <f>IFERROR(__xludf.DUMMYFUNCTION("""COMPUTED_VALUE"""),750.0)</f>
        <v>750</v>
      </c>
      <c r="G1869" s="9">
        <f>IFERROR(__xludf.DUMMYFUNCTION("""COMPUTED_VALUE"""),6.0)</f>
        <v>6</v>
      </c>
      <c r="H1869" s="10">
        <f>IFERROR(__xludf.DUMMYFUNCTION("""COMPUTED_VALUE"""),1.0)</f>
        <v>1</v>
      </c>
      <c r="I1869" s="11">
        <f>IFERROR(__xludf.DUMMYFUNCTION("""COMPUTED_VALUE"""),672.0)</f>
        <v>672</v>
      </c>
      <c r="J1869" s="9" t="str">
        <f>IFERROR(__xludf.DUMMYFUNCTION("""COMPUTED_VALUE"""),"UK")</f>
        <v>UK</v>
      </c>
      <c r="K1869" s="8"/>
      <c r="L1869" s="12"/>
      <c r="M1869" s="13"/>
      <c r="N1869" s="13" t="str">
        <f>IFERROR(__xludf.DUMMYFUNCTION("IF(ISBLANK(M1869),"""",M1869*GOOGLEFINANCE(""USDGBP""))"),"")</f>
        <v/>
      </c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  <c r="FN1869" s="8"/>
      <c r="FO1869" s="8"/>
      <c r="FP1869" s="8"/>
      <c r="FQ1869" s="8"/>
      <c r="FR1869" s="8"/>
      <c r="FS1869" s="8"/>
      <c r="FT1869" s="8"/>
      <c r="FU1869" s="8"/>
      <c r="FV1869" s="8"/>
      <c r="FW1869" s="8"/>
      <c r="FX1869" s="8"/>
      <c r="FY1869" s="8"/>
      <c r="FZ1869" s="8"/>
      <c r="GA1869" s="8"/>
      <c r="GB1869" s="8"/>
      <c r="GC1869" s="8"/>
      <c r="GD1869" s="8"/>
      <c r="GE1869" s="8"/>
      <c r="GF1869" s="8"/>
      <c r="GG1869" s="8"/>
      <c r="GH1869" s="8"/>
      <c r="GI1869" s="8"/>
      <c r="GJ1869" s="8"/>
      <c r="GK1869" s="8"/>
      <c r="GL1869" s="8"/>
      <c r="GM1869" s="8"/>
      <c r="GN1869" s="8"/>
      <c r="GO1869" s="8"/>
      <c r="GP1869" s="8"/>
      <c r="GQ1869" s="8"/>
      <c r="GR1869" s="8"/>
      <c r="GS1869" s="8"/>
      <c r="GT1869" s="8"/>
      <c r="GU1869" s="8"/>
      <c r="GV1869" s="8"/>
      <c r="GW1869" s="8"/>
      <c r="GX1869" s="8"/>
    </row>
    <row r="1870">
      <c r="A1870" s="8" t="str">
        <f>IFERROR(__xludf.DUMMYFUNCTION("""COMPUTED_VALUE"""),"131512720160600750")</f>
        <v>131512720160600750</v>
      </c>
      <c r="B1870" s="9" t="str">
        <f>IFERROR(__xludf.DUMMYFUNCTION("""COMPUTED_VALUE"""),"Italy")</f>
        <v>Italy</v>
      </c>
      <c r="C1870" s="9" t="str">
        <f>IFERROR(__xludf.DUMMYFUNCTION("""COMPUTED_VALUE"""),"piedmont")</f>
        <v>piedmont</v>
      </c>
      <c r="D1870" s="9" t="str">
        <f>IFERROR(__xludf.DUMMYFUNCTION("""COMPUTED_VALUE"""),"Elio Grasso, Barolo, Gavarini Chiniera")</f>
        <v>Elio Grasso, Barolo, Gavarini Chiniera</v>
      </c>
      <c r="E1870" s="9">
        <f>IFERROR(__xludf.DUMMYFUNCTION("""COMPUTED_VALUE"""),2016.0)</f>
        <v>2016</v>
      </c>
      <c r="F1870" s="9">
        <f>IFERROR(__xludf.DUMMYFUNCTION("""COMPUTED_VALUE"""),750.0)</f>
        <v>750</v>
      </c>
      <c r="G1870" s="9">
        <f>IFERROR(__xludf.DUMMYFUNCTION("""COMPUTED_VALUE"""),6.0)</f>
        <v>6</v>
      </c>
      <c r="H1870" s="10">
        <f>IFERROR(__xludf.DUMMYFUNCTION("""COMPUTED_VALUE"""),4.0)</f>
        <v>4</v>
      </c>
      <c r="I1870" s="11">
        <f>IFERROR(__xludf.DUMMYFUNCTION("""COMPUTED_VALUE"""),429.0)</f>
        <v>429</v>
      </c>
      <c r="J1870" s="9" t="str">
        <f>IFERROR(__xludf.DUMMYFUNCTION("""COMPUTED_VALUE"""),"UK")</f>
        <v>UK</v>
      </c>
      <c r="K1870" s="8"/>
      <c r="L1870" s="12"/>
      <c r="M1870" s="13"/>
      <c r="N1870" s="13" t="str">
        <f>IFERROR(__xludf.DUMMYFUNCTION("IF(ISBLANK(M1870),"""",M1870*GOOGLEFINANCE(""USDGBP""))"),"")</f>
        <v/>
      </c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  <c r="FN1870" s="8"/>
      <c r="FO1870" s="8"/>
      <c r="FP1870" s="8"/>
      <c r="FQ1870" s="8"/>
      <c r="FR1870" s="8"/>
      <c r="FS1870" s="8"/>
      <c r="FT1870" s="8"/>
      <c r="FU1870" s="8"/>
      <c r="FV1870" s="8"/>
      <c r="FW1870" s="8"/>
      <c r="FX1870" s="8"/>
      <c r="FY1870" s="8"/>
      <c r="FZ1870" s="8"/>
      <c r="GA1870" s="8"/>
      <c r="GB1870" s="8"/>
      <c r="GC1870" s="8"/>
      <c r="GD1870" s="8"/>
      <c r="GE1870" s="8"/>
      <c r="GF1870" s="8"/>
      <c r="GG1870" s="8"/>
      <c r="GH1870" s="8"/>
      <c r="GI1870" s="8"/>
      <c r="GJ1870" s="8"/>
      <c r="GK1870" s="8"/>
      <c r="GL1870" s="8"/>
      <c r="GM1870" s="8"/>
      <c r="GN1870" s="8"/>
      <c r="GO1870" s="8"/>
      <c r="GP1870" s="8"/>
      <c r="GQ1870" s="8"/>
      <c r="GR1870" s="8"/>
      <c r="GS1870" s="8"/>
      <c r="GT1870" s="8"/>
      <c r="GU1870" s="8"/>
      <c r="GV1870" s="8"/>
      <c r="GW1870" s="8"/>
      <c r="GX1870" s="8"/>
    </row>
    <row r="1871">
      <c r="A1871" s="8" t="str">
        <f>IFERROR(__xludf.DUMMYFUNCTION("""COMPUTED_VALUE"""),"110018920080600750")</f>
        <v>110018920080600750</v>
      </c>
      <c r="B1871" s="9" t="str">
        <f>IFERROR(__xludf.DUMMYFUNCTION("""COMPUTED_VALUE"""),"Italy")</f>
        <v>Italy</v>
      </c>
      <c r="C1871" s="9" t="str">
        <f>IFERROR(__xludf.DUMMYFUNCTION("""COMPUTED_VALUE"""),"piedmont")</f>
        <v>piedmont</v>
      </c>
      <c r="D1871" s="9" t="str">
        <f>IFERROR(__xludf.DUMMYFUNCTION("""COMPUTED_VALUE"""),"Elio Grasso, Barolo, Ginestra Casa Mate")</f>
        <v>Elio Grasso, Barolo, Ginestra Casa Mate</v>
      </c>
      <c r="E1871" s="9">
        <f>IFERROR(__xludf.DUMMYFUNCTION("""COMPUTED_VALUE"""),2008.0)</f>
        <v>2008</v>
      </c>
      <c r="F1871" s="9">
        <f>IFERROR(__xludf.DUMMYFUNCTION("""COMPUTED_VALUE"""),750.0)</f>
        <v>750</v>
      </c>
      <c r="G1871" s="9">
        <f>IFERROR(__xludf.DUMMYFUNCTION("""COMPUTED_VALUE"""),6.0)</f>
        <v>6</v>
      </c>
      <c r="H1871" s="10">
        <f>IFERROR(__xludf.DUMMYFUNCTION("""COMPUTED_VALUE"""),1.0)</f>
        <v>1</v>
      </c>
      <c r="I1871" s="11">
        <f>IFERROR(__xludf.DUMMYFUNCTION("""COMPUTED_VALUE"""),546.0)</f>
        <v>546</v>
      </c>
      <c r="J1871" s="9" t="str">
        <f>IFERROR(__xludf.DUMMYFUNCTION("""COMPUTED_VALUE"""),"UK")</f>
        <v>UK</v>
      </c>
      <c r="K1871" s="8"/>
      <c r="L1871" s="12"/>
      <c r="M1871" s="13"/>
      <c r="N1871" s="13" t="str">
        <f>IFERROR(__xludf.DUMMYFUNCTION("IF(ISBLANK(M1871),"""",M1871*GOOGLEFINANCE(""USDGBP""))"),"")</f>
        <v/>
      </c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  <c r="FN1871" s="8"/>
      <c r="FO1871" s="8"/>
      <c r="FP1871" s="8"/>
      <c r="FQ1871" s="8"/>
      <c r="FR1871" s="8"/>
      <c r="FS1871" s="8"/>
      <c r="FT1871" s="8"/>
      <c r="FU1871" s="8"/>
      <c r="FV1871" s="8"/>
      <c r="FW1871" s="8"/>
      <c r="FX1871" s="8"/>
      <c r="FY1871" s="8"/>
      <c r="FZ1871" s="8"/>
      <c r="GA1871" s="8"/>
      <c r="GB1871" s="8"/>
      <c r="GC1871" s="8"/>
      <c r="GD1871" s="8"/>
      <c r="GE1871" s="8"/>
      <c r="GF1871" s="8"/>
      <c r="GG1871" s="8"/>
      <c r="GH1871" s="8"/>
      <c r="GI1871" s="8"/>
      <c r="GJ1871" s="8"/>
      <c r="GK1871" s="8"/>
      <c r="GL1871" s="8"/>
      <c r="GM1871" s="8"/>
      <c r="GN1871" s="8"/>
      <c r="GO1871" s="8"/>
      <c r="GP1871" s="8"/>
      <c r="GQ1871" s="8"/>
      <c r="GR1871" s="8"/>
      <c r="GS1871" s="8"/>
      <c r="GT1871" s="8"/>
      <c r="GU1871" s="8"/>
      <c r="GV1871" s="8"/>
      <c r="GW1871" s="8"/>
      <c r="GX1871" s="8"/>
    </row>
    <row r="1872">
      <c r="A1872" s="8" t="str">
        <f>IFERROR(__xludf.DUMMYFUNCTION("""COMPUTED_VALUE"""),"110018920160600750")</f>
        <v>110018920160600750</v>
      </c>
      <c r="B1872" s="9" t="str">
        <f>IFERROR(__xludf.DUMMYFUNCTION("""COMPUTED_VALUE"""),"Italy")</f>
        <v>Italy</v>
      </c>
      <c r="C1872" s="9" t="str">
        <f>IFERROR(__xludf.DUMMYFUNCTION("""COMPUTED_VALUE"""),"piedmont")</f>
        <v>piedmont</v>
      </c>
      <c r="D1872" s="9" t="str">
        <f>IFERROR(__xludf.DUMMYFUNCTION("""COMPUTED_VALUE"""),"Elio Grasso, Barolo, Ginestra Casa Mate")</f>
        <v>Elio Grasso, Barolo, Ginestra Casa Mate</v>
      </c>
      <c r="E1872" s="9">
        <f>IFERROR(__xludf.DUMMYFUNCTION("""COMPUTED_VALUE"""),2016.0)</f>
        <v>2016</v>
      </c>
      <c r="F1872" s="9">
        <f>IFERROR(__xludf.DUMMYFUNCTION("""COMPUTED_VALUE"""),750.0)</f>
        <v>750</v>
      </c>
      <c r="G1872" s="9">
        <f>IFERROR(__xludf.DUMMYFUNCTION("""COMPUTED_VALUE"""),6.0)</f>
        <v>6</v>
      </c>
      <c r="H1872" s="10">
        <f>IFERROR(__xludf.DUMMYFUNCTION("""COMPUTED_VALUE"""),3.0)</f>
        <v>3</v>
      </c>
      <c r="I1872" s="11">
        <f>IFERROR(__xludf.DUMMYFUNCTION("""COMPUTED_VALUE"""),431.0)</f>
        <v>431</v>
      </c>
      <c r="J1872" s="9" t="str">
        <f>IFERROR(__xludf.DUMMYFUNCTION("""COMPUTED_VALUE"""),"UK")</f>
        <v>UK</v>
      </c>
      <c r="K1872" s="8"/>
      <c r="L1872" s="12"/>
      <c r="M1872" s="13"/>
      <c r="N1872" s="13" t="str">
        <f>IFERROR(__xludf.DUMMYFUNCTION("IF(ISBLANK(M1872),"""",M1872*GOOGLEFINANCE(""USDGBP""))"),"")</f>
        <v/>
      </c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  <c r="FN1872" s="8"/>
      <c r="FO1872" s="8"/>
      <c r="FP1872" s="8"/>
      <c r="FQ1872" s="8"/>
      <c r="FR1872" s="8"/>
      <c r="FS1872" s="8"/>
      <c r="FT1872" s="8"/>
      <c r="FU1872" s="8"/>
      <c r="FV1872" s="8"/>
      <c r="FW1872" s="8"/>
      <c r="FX1872" s="8"/>
      <c r="FY1872" s="8"/>
      <c r="FZ1872" s="8"/>
      <c r="GA1872" s="8"/>
      <c r="GB1872" s="8"/>
      <c r="GC1872" s="8"/>
      <c r="GD1872" s="8"/>
      <c r="GE1872" s="8"/>
      <c r="GF1872" s="8"/>
      <c r="GG1872" s="8"/>
      <c r="GH1872" s="8"/>
      <c r="GI1872" s="8"/>
      <c r="GJ1872" s="8"/>
      <c r="GK1872" s="8"/>
      <c r="GL1872" s="8"/>
      <c r="GM1872" s="8"/>
      <c r="GN1872" s="8"/>
      <c r="GO1872" s="8"/>
      <c r="GP1872" s="8"/>
      <c r="GQ1872" s="8"/>
      <c r="GR1872" s="8"/>
      <c r="GS1872" s="8"/>
      <c r="GT1872" s="8"/>
      <c r="GU1872" s="8"/>
      <c r="GV1872" s="8"/>
      <c r="GW1872" s="8"/>
      <c r="GX1872" s="8"/>
    </row>
    <row r="1873">
      <c r="A1873" s="8" t="str">
        <f>IFERROR(__xludf.DUMMYFUNCTION("""COMPUTED_VALUE"""),"110019220150300750")</f>
        <v>110019220150300750</v>
      </c>
      <c r="B1873" s="9" t="str">
        <f>IFERROR(__xludf.DUMMYFUNCTION("""COMPUTED_VALUE"""),"Italy")</f>
        <v>Italy</v>
      </c>
      <c r="C1873" s="9" t="str">
        <f>IFERROR(__xludf.DUMMYFUNCTION("""COMPUTED_VALUE"""),"piedmont")</f>
        <v>piedmont</v>
      </c>
      <c r="D1873" s="9" t="str">
        <f>IFERROR(__xludf.DUMMYFUNCTION("""COMPUTED_VALUE"""),"Elio Grasso, Barolo, Runcot Riserva")</f>
        <v>Elio Grasso, Barolo, Runcot Riserva</v>
      </c>
      <c r="E1873" s="9">
        <f>IFERROR(__xludf.DUMMYFUNCTION("""COMPUTED_VALUE"""),2015.0)</f>
        <v>2015</v>
      </c>
      <c r="F1873" s="9">
        <f>IFERROR(__xludf.DUMMYFUNCTION("""COMPUTED_VALUE"""),750.0)</f>
        <v>750</v>
      </c>
      <c r="G1873" s="9">
        <f>IFERROR(__xludf.DUMMYFUNCTION("""COMPUTED_VALUE"""),3.0)</f>
        <v>3</v>
      </c>
      <c r="H1873" s="10">
        <f>IFERROR(__xludf.DUMMYFUNCTION("""COMPUTED_VALUE"""),7.0)</f>
        <v>7</v>
      </c>
      <c r="I1873" s="11">
        <f>IFERROR(__xludf.DUMMYFUNCTION("""COMPUTED_VALUE"""),407.0)</f>
        <v>407</v>
      </c>
      <c r="J1873" s="9" t="str">
        <f>IFERROR(__xludf.DUMMYFUNCTION("""COMPUTED_VALUE"""),"UK")</f>
        <v>UK</v>
      </c>
      <c r="K1873" s="8"/>
      <c r="L1873" s="12"/>
      <c r="M1873" s="13"/>
      <c r="N1873" s="13" t="str">
        <f>IFERROR(__xludf.DUMMYFUNCTION("IF(ISBLANK(M1873),"""",M1873*GOOGLEFINANCE(""USDGBP""))"),"")</f>
        <v/>
      </c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  <c r="FN1873" s="8"/>
      <c r="FO1873" s="8"/>
      <c r="FP1873" s="8"/>
      <c r="FQ1873" s="8"/>
      <c r="FR1873" s="8"/>
      <c r="FS1873" s="8"/>
      <c r="FT1873" s="8"/>
      <c r="FU1873" s="8"/>
      <c r="FV1873" s="8"/>
      <c r="FW1873" s="8"/>
      <c r="FX1873" s="8"/>
      <c r="FY1873" s="8"/>
      <c r="FZ1873" s="8"/>
      <c r="GA1873" s="8"/>
      <c r="GB1873" s="8"/>
      <c r="GC1873" s="8"/>
      <c r="GD1873" s="8"/>
      <c r="GE1873" s="8"/>
      <c r="GF1873" s="8"/>
      <c r="GG1873" s="8"/>
      <c r="GH1873" s="8"/>
      <c r="GI1873" s="8"/>
      <c r="GJ1873" s="8"/>
      <c r="GK1873" s="8"/>
      <c r="GL1873" s="8"/>
      <c r="GM1873" s="8"/>
      <c r="GN1873" s="8"/>
      <c r="GO1873" s="8"/>
      <c r="GP1873" s="8"/>
      <c r="GQ1873" s="8"/>
      <c r="GR1873" s="8"/>
      <c r="GS1873" s="8"/>
      <c r="GT1873" s="8"/>
      <c r="GU1873" s="8"/>
      <c r="GV1873" s="8"/>
      <c r="GW1873" s="8"/>
      <c r="GX1873" s="8"/>
    </row>
    <row r="1874">
      <c r="A1874" s="8" t="str">
        <f>IFERROR(__xludf.DUMMYFUNCTION("""COMPUTED_VALUE"""),"110589420130600750")</f>
        <v>110589420130600750</v>
      </c>
      <c r="B1874" s="9" t="str">
        <f>IFERROR(__xludf.DUMMYFUNCTION("""COMPUTED_VALUE"""),"Italy")</f>
        <v>Italy</v>
      </c>
      <c r="C1874" s="9" t="str">
        <f>IFERROR(__xludf.DUMMYFUNCTION("""COMPUTED_VALUE"""),"piedmont")</f>
        <v>piedmont</v>
      </c>
      <c r="D1874" s="9" t="str">
        <f>IFERROR(__xludf.DUMMYFUNCTION("""COMPUTED_VALUE"""),"G.D. Vajra, Barolo, Bricco delle Viole")</f>
        <v>G.D. Vajra, Barolo, Bricco delle Viole</v>
      </c>
      <c r="E1874" s="9">
        <f>IFERROR(__xludf.DUMMYFUNCTION("""COMPUTED_VALUE"""),2013.0)</f>
        <v>2013</v>
      </c>
      <c r="F1874" s="9">
        <f>IFERROR(__xludf.DUMMYFUNCTION("""COMPUTED_VALUE"""),750.0)</f>
        <v>750</v>
      </c>
      <c r="G1874" s="9">
        <f>IFERROR(__xludf.DUMMYFUNCTION("""COMPUTED_VALUE"""),6.0)</f>
        <v>6</v>
      </c>
      <c r="H1874" s="10">
        <f>IFERROR(__xludf.DUMMYFUNCTION("""COMPUTED_VALUE"""),1.0)</f>
        <v>1</v>
      </c>
      <c r="I1874" s="11">
        <f>IFERROR(__xludf.DUMMYFUNCTION("""COMPUTED_VALUE"""),501.0)</f>
        <v>501</v>
      </c>
      <c r="J1874" s="9" t="str">
        <f>IFERROR(__xludf.DUMMYFUNCTION("""COMPUTED_VALUE"""),"UK")</f>
        <v>UK</v>
      </c>
      <c r="K1874" s="8"/>
      <c r="L1874" s="12"/>
      <c r="M1874" s="13"/>
      <c r="N1874" s="13" t="str">
        <f>IFERROR(__xludf.DUMMYFUNCTION("IF(ISBLANK(M1874),"""",M1874*GOOGLEFINANCE(""USDGBP""))"),"")</f>
        <v/>
      </c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  <c r="FN1874" s="8"/>
      <c r="FO1874" s="8"/>
      <c r="FP1874" s="8"/>
      <c r="FQ1874" s="8"/>
      <c r="FR1874" s="8"/>
      <c r="FS1874" s="8"/>
      <c r="FT1874" s="8"/>
      <c r="FU1874" s="8"/>
      <c r="FV1874" s="8"/>
      <c r="FW1874" s="8"/>
      <c r="FX1874" s="8"/>
      <c r="FY1874" s="8"/>
      <c r="FZ1874" s="8"/>
      <c r="GA1874" s="8"/>
      <c r="GB1874" s="8"/>
      <c r="GC1874" s="8"/>
      <c r="GD1874" s="8"/>
      <c r="GE1874" s="8"/>
      <c r="GF1874" s="8"/>
      <c r="GG1874" s="8"/>
      <c r="GH1874" s="8"/>
      <c r="GI1874" s="8"/>
      <c r="GJ1874" s="8"/>
      <c r="GK1874" s="8"/>
      <c r="GL1874" s="8"/>
      <c r="GM1874" s="8"/>
      <c r="GN1874" s="8"/>
      <c r="GO1874" s="8"/>
      <c r="GP1874" s="8"/>
      <c r="GQ1874" s="8"/>
      <c r="GR1874" s="8"/>
      <c r="GS1874" s="8"/>
      <c r="GT1874" s="8"/>
      <c r="GU1874" s="8"/>
      <c r="GV1874" s="8"/>
      <c r="GW1874" s="8"/>
      <c r="GX1874" s="8"/>
    </row>
    <row r="1875">
      <c r="A1875" s="8" t="str">
        <f>IFERROR(__xludf.DUMMYFUNCTION("""COMPUTED_VALUE"""),"110589420160600750")</f>
        <v>110589420160600750</v>
      </c>
      <c r="B1875" s="9" t="str">
        <f>IFERROR(__xludf.DUMMYFUNCTION("""COMPUTED_VALUE"""),"Italy")</f>
        <v>Italy</v>
      </c>
      <c r="C1875" s="9" t="str">
        <f>IFERROR(__xludf.DUMMYFUNCTION("""COMPUTED_VALUE"""),"piedmont")</f>
        <v>piedmont</v>
      </c>
      <c r="D1875" s="9" t="str">
        <f>IFERROR(__xludf.DUMMYFUNCTION("""COMPUTED_VALUE"""),"G.D. Vajra, Barolo, Bricco delle Viole")</f>
        <v>G.D. Vajra, Barolo, Bricco delle Viole</v>
      </c>
      <c r="E1875" s="9">
        <f>IFERROR(__xludf.DUMMYFUNCTION("""COMPUTED_VALUE"""),2016.0)</f>
        <v>2016</v>
      </c>
      <c r="F1875" s="9">
        <f>IFERROR(__xludf.DUMMYFUNCTION("""COMPUTED_VALUE"""),750.0)</f>
        <v>750</v>
      </c>
      <c r="G1875" s="9">
        <f>IFERROR(__xludf.DUMMYFUNCTION("""COMPUTED_VALUE"""),6.0)</f>
        <v>6</v>
      </c>
      <c r="H1875" s="10">
        <f>IFERROR(__xludf.DUMMYFUNCTION("""COMPUTED_VALUE"""),6.0)</f>
        <v>6</v>
      </c>
      <c r="I1875" s="11">
        <f>IFERROR(__xludf.DUMMYFUNCTION("""COMPUTED_VALUE"""),459.0)</f>
        <v>459</v>
      </c>
      <c r="J1875" s="9" t="str">
        <f>IFERROR(__xludf.DUMMYFUNCTION("""COMPUTED_VALUE"""),"UK")</f>
        <v>UK</v>
      </c>
      <c r="K1875" s="8"/>
      <c r="L1875" s="12"/>
      <c r="M1875" s="13"/>
      <c r="N1875" s="13" t="str">
        <f>IFERROR(__xludf.DUMMYFUNCTION("IF(ISBLANK(M1875),"""",M1875*GOOGLEFINANCE(""USDGBP""))"),"")</f>
        <v/>
      </c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  <c r="FN1875" s="8"/>
      <c r="FO1875" s="8"/>
      <c r="FP1875" s="8"/>
      <c r="FQ1875" s="8"/>
      <c r="FR1875" s="8"/>
      <c r="FS1875" s="8"/>
      <c r="FT1875" s="8"/>
      <c r="FU1875" s="8"/>
      <c r="FV1875" s="8"/>
      <c r="FW1875" s="8"/>
      <c r="FX1875" s="8"/>
      <c r="FY1875" s="8"/>
      <c r="FZ1875" s="8"/>
      <c r="GA1875" s="8"/>
      <c r="GB1875" s="8"/>
      <c r="GC1875" s="8"/>
      <c r="GD1875" s="8"/>
      <c r="GE1875" s="8"/>
      <c r="GF1875" s="8"/>
      <c r="GG1875" s="8"/>
      <c r="GH1875" s="8"/>
      <c r="GI1875" s="8"/>
      <c r="GJ1875" s="8"/>
      <c r="GK1875" s="8"/>
      <c r="GL1875" s="8"/>
      <c r="GM1875" s="8"/>
      <c r="GN1875" s="8"/>
      <c r="GO1875" s="8"/>
      <c r="GP1875" s="8"/>
      <c r="GQ1875" s="8"/>
      <c r="GR1875" s="8"/>
      <c r="GS1875" s="8"/>
      <c r="GT1875" s="8"/>
      <c r="GU1875" s="8"/>
      <c r="GV1875" s="8"/>
      <c r="GW1875" s="8"/>
      <c r="GX1875" s="8"/>
    </row>
    <row r="1876">
      <c r="A1876" s="8" t="str">
        <f>IFERROR(__xludf.DUMMYFUNCTION("""COMPUTED_VALUE"""),"110589420170600750")</f>
        <v>110589420170600750</v>
      </c>
      <c r="B1876" s="9" t="str">
        <f>IFERROR(__xludf.DUMMYFUNCTION("""COMPUTED_VALUE"""),"Italy")</f>
        <v>Italy</v>
      </c>
      <c r="C1876" s="9" t="str">
        <f>IFERROR(__xludf.DUMMYFUNCTION("""COMPUTED_VALUE"""),"piedmont")</f>
        <v>piedmont</v>
      </c>
      <c r="D1876" s="9" t="str">
        <f>IFERROR(__xludf.DUMMYFUNCTION("""COMPUTED_VALUE"""),"G.D. Vajra, Barolo, Bricco delle Viole")</f>
        <v>G.D. Vajra, Barolo, Bricco delle Viole</v>
      </c>
      <c r="E1876" s="9">
        <f>IFERROR(__xludf.DUMMYFUNCTION("""COMPUTED_VALUE"""),2017.0)</f>
        <v>2017</v>
      </c>
      <c r="F1876" s="9">
        <f>IFERROR(__xludf.DUMMYFUNCTION("""COMPUTED_VALUE"""),750.0)</f>
        <v>750</v>
      </c>
      <c r="G1876" s="9">
        <f>IFERROR(__xludf.DUMMYFUNCTION("""COMPUTED_VALUE"""),6.0)</f>
        <v>6</v>
      </c>
      <c r="H1876" s="10">
        <f>IFERROR(__xludf.DUMMYFUNCTION("""COMPUTED_VALUE"""),7.0)</f>
        <v>7</v>
      </c>
      <c r="I1876" s="11">
        <f>IFERROR(__xludf.DUMMYFUNCTION("""COMPUTED_VALUE"""),373.0)</f>
        <v>373</v>
      </c>
      <c r="J1876" s="9" t="str">
        <f>IFERROR(__xludf.DUMMYFUNCTION("""COMPUTED_VALUE"""),"UK")</f>
        <v>UK</v>
      </c>
      <c r="K1876" s="8"/>
      <c r="L1876" s="12"/>
      <c r="M1876" s="13"/>
      <c r="N1876" s="13" t="str">
        <f>IFERROR(__xludf.DUMMYFUNCTION("IF(ISBLANK(M1876),"""",M1876*GOOGLEFINANCE(""USDGBP""))"),"")</f>
        <v/>
      </c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  <c r="FN1876" s="8"/>
      <c r="FO1876" s="8"/>
      <c r="FP1876" s="8"/>
      <c r="FQ1876" s="8"/>
      <c r="FR1876" s="8"/>
      <c r="FS1876" s="8"/>
      <c r="FT1876" s="8"/>
      <c r="FU1876" s="8"/>
      <c r="FV1876" s="8"/>
      <c r="FW1876" s="8"/>
      <c r="FX1876" s="8"/>
      <c r="FY1876" s="8"/>
      <c r="FZ1876" s="8"/>
      <c r="GA1876" s="8"/>
      <c r="GB1876" s="8"/>
      <c r="GC1876" s="8"/>
      <c r="GD1876" s="8"/>
      <c r="GE1876" s="8"/>
      <c r="GF1876" s="8"/>
      <c r="GG1876" s="8"/>
      <c r="GH1876" s="8"/>
      <c r="GI1876" s="8"/>
      <c r="GJ1876" s="8"/>
      <c r="GK1876" s="8"/>
      <c r="GL1876" s="8"/>
      <c r="GM1876" s="8"/>
      <c r="GN1876" s="8"/>
      <c r="GO1876" s="8"/>
      <c r="GP1876" s="8"/>
      <c r="GQ1876" s="8"/>
      <c r="GR1876" s="8"/>
      <c r="GS1876" s="8"/>
      <c r="GT1876" s="8"/>
      <c r="GU1876" s="8"/>
      <c r="GV1876" s="8"/>
      <c r="GW1876" s="8"/>
      <c r="GX1876" s="8"/>
    </row>
    <row r="1877">
      <c r="A1877" s="8" t="str">
        <f>IFERROR(__xludf.DUMMYFUNCTION("""COMPUTED_VALUE"""),"133130520100600750")</f>
        <v>133130520100600750</v>
      </c>
      <c r="B1877" s="9" t="str">
        <f>IFERROR(__xludf.DUMMYFUNCTION("""COMPUTED_VALUE"""),"Italy")</f>
        <v>Italy</v>
      </c>
      <c r="C1877" s="9" t="str">
        <f>IFERROR(__xludf.DUMMYFUNCTION("""COMPUTED_VALUE"""),"piedmont")</f>
        <v>piedmont</v>
      </c>
      <c r="D1877" s="9" t="str">
        <f>IFERROR(__xludf.DUMMYFUNCTION("""COMPUTED_VALUE"""),"G.D. Vajra, Barolo, Ravera")</f>
        <v>G.D. Vajra, Barolo, Ravera</v>
      </c>
      <c r="E1877" s="9">
        <f>IFERROR(__xludf.DUMMYFUNCTION("""COMPUTED_VALUE"""),2010.0)</f>
        <v>2010</v>
      </c>
      <c r="F1877" s="9">
        <f>IFERROR(__xludf.DUMMYFUNCTION("""COMPUTED_VALUE"""),750.0)</f>
        <v>750</v>
      </c>
      <c r="G1877" s="9">
        <f>IFERROR(__xludf.DUMMYFUNCTION("""COMPUTED_VALUE"""),6.0)</f>
        <v>6</v>
      </c>
      <c r="H1877" s="10">
        <f>IFERROR(__xludf.DUMMYFUNCTION("""COMPUTED_VALUE"""),1.0)</f>
        <v>1</v>
      </c>
      <c r="I1877" s="11">
        <f>IFERROR(__xludf.DUMMYFUNCTION("""COMPUTED_VALUE"""),458.0)</f>
        <v>458</v>
      </c>
      <c r="J1877" s="9" t="str">
        <f>IFERROR(__xludf.DUMMYFUNCTION("""COMPUTED_VALUE"""),"UK")</f>
        <v>UK</v>
      </c>
      <c r="K1877" s="8"/>
      <c r="L1877" s="12"/>
      <c r="M1877" s="13"/>
      <c r="N1877" s="13" t="str">
        <f>IFERROR(__xludf.DUMMYFUNCTION("IF(ISBLANK(M1877),"""",M1877*GOOGLEFINANCE(""USDGBP""))"),"")</f>
        <v/>
      </c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  <c r="FN1877" s="8"/>
      <c r="FO1877" s="8"/>
      <c r="FP1877" s="8"/>
      <c r="FQ1877" s="8"/>
      <c r="FR1877" s="8"/>
      <c r="FS1877" s="8"/>
      <c r="FT1877" s="8"/>
      <c r="FU1877" s="8"/>
      <c r="FV1877" s="8"/>
      <c r="FW1877" s="8"/>
      <c r="FX1877" s="8"/>
      <c r="FY1877" s="8"/>
      <c r="FZ1877" s="8"/>
      <c r="GA1877" s="8"/>
      <c r="GB1877" s="8"/>
      <c r="GC1877" s="8"/>
      <c r="GD1877" s="8"/>
      <c r="GE1877" s="8"/>
      <c r="GF1877" s="8"/>
      <c r="GG1877" s="8"/>
      <c r="GH1877" s="8"/>
      <c r="GI1877" s="8"/>
      <c r="GJ1877" s="8"/>
      <c r="GK1877" s="8"/>
      <c r="GL1877" s="8"/>
      <c r="GM1877" s="8"/>
      <c r="GN1877" s="8"/>
      <c r="GO1877" s="8"/>
      <c r="GP1877" s="8"/>
      <c r="GQ1877" s="8"/>
      <c r="GR1877" s="8"/>
      <c r="GS1877" s="8"/>
      <c r="GT1877" s="8"/>
      <c r="GU1877" s="8"/>
      <c r="GV1877" s="8"/>
      <c r="GW1877" s="8"/>
      <c r="GX1877" s="8"/>
    </row>
    <row r="1878">
      <c r="A1878" s="8" t="str">
        <f>IFERROR(__xludf.DUMMYFUNCTION("""COMPUTED_VALUE"""),"133130520160600750")</f>
        <v>133130520160600750</v>
      </c>
      <c r="B1878" s="9" t="str">
        <f>IFERROR(__xludf.DUMMYFUNCTION("""COMPUTED_VALUE"""),"Italy")</f>
        <v>Italy</v>
      </c>
      <c r="C1878" s="9" t="str">
        <f>IFERROR(__xludf.DUMMYFUNCTION("""COMPUTED_VALUE"""),"piedmont")</f>
        <v>piedmont</v>
      </c>
      <c r="D1878" s="9" t="str">
        <f>IFERROR(__xludf.DUMMYFUNCTION("""COMPUTED_VALUE"""),"G.D. Vajra, Barolo, Ravera")</f>
        <v>G.D. Vajra, Barolo, Ravera</v>
      </c>
      <c r="E1878" s="9">
        <f>IFERROR(__xludf.DUMMYFUNCTION("""COMPUTED_VALUE"""),2016.0)</f>
        <v>2016</v>
      </c>
      <c r="F1878" s="9">
        <f>IFERROR(__xludf.DUMMYFUNCTION("""COMPUTED_VALUE"""),750.0)</f>
        <v>750</v>
      </c>
      <c r="G1878" s="9">
        <f>IFERROR(__xludf.DUMMYFUNCTION("""COMPUTED_VALUE"""),6.0)</f>
        <v>6</v>
      </c>
      <c r="H1878" s="10">
        <f>IFERROR(__xludf.DUMMYFUNCTION("""COMPUTED_VALUE"""),4.0)</f>
        <v>4</v>
      </c>
      <c r="I1878" s="11">
        <f>IFERROR(__xludf.DUMMYFUNCTION("""COMPUTED_VALUE"""),328.0)</f>
        <v>328</v>
      </c>
      <c r="J1878" s="9" t="str">
        <f>IFERROR(__xludf.DUMMYFUNCTION("""COMPUTED_VALUE"""),"UK")</f>
        <v>UK</v>
      </c>
      <c r="K1878" s="8"/>
      <c r="L1878" s="12"/>
      <c r="M1878" s="13"/>
      <c r="N1878" s="13" t="str">
        <f>IFERROR(__xludf.DUMMYFUNCTION("IF(ISBLANK(M1878),"""",M1878*GOOGLEFINANCE(""USDGBP""))"),"")</f>
        <v/>
      </c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  <c r="FN1878" s="8"/>
      <c r="FO1878" s="8"/>
      <c r="FP1878" s="8"/>
      <c r="FQ1878" s="8"/>
      <c r="FR1878" s="8"/>
      <c r="FS1878" s="8"/>
      <c r="FT1878" s="8"/>
      <c r="FU1878" s="8"/>
      <c r="FV1878" s="8"/>
      <c r="FW1878" s="8"/>
      <c r="FX1878" s="8"/>
      <c r="FY1878" s="8"/>
      <c r="FZ1878" s="8"/>
      <c r="GA1878" s="8"/>
      <c r="GB1878" s="8"/>
      <c r="GC1878" s="8"/>
      <c r="GD1878" s="8"/>
      <c r="GE1878" s="8"/>
      <c r="GF1878" s="8"/>
      <c r="GG1878" s="8"/>
      <c r="GH1878" s="8"/>
      <c r="GI1878" s="8"/>
      <c r="GJ1878" s="8"/>
      <c r="GK1878" s="8"/>
      <c r="GL1878" s="8"/>
      <c r="GM1878" s="8"/>
      <c r="GN1878" s="8"/>
      <c r="GO1878" s="8"/>
      <c r="GP1878" s="8"/>
      <c r="GQ1878" s="8"/>
      <c r="GR1878" s="8"/>
      <c r="GS1878" s="8"/>
      <c r="GT1878" s="8"/>
      <c r="GU1878" s="8"/>
      <c r="GV1878" s="8"/>
      <c r="GW1878" s="8"/>
      <c r="GX1878" s="8"/>
    </row>
    <row r="1879">
      <c r="A1879" s="8" t="str">
        <f>IFERROR(__xludf.DUMMYFUNCTION("""COMPUTED_VALUE"""),"133130520170600750")</f>
        <v>133130520170600750</v>
      </c>
      <c r="B1879" s="9" t="str">
        <f>IFERROR(__xludf.DUMMYFUNCTION("""COMPUTED_VALUE"""),"Italy")</f>
        <v>Italy</v>
      </c>
      <c r="C1879" s="9" t="str">
        <f>IFERROR(__xludf.DUMMYFUNCTION("""COMPUTED_VALUE"""),"piedmont")</f>
        <v>piedmont</v>
      </c>
      <c r="D1879" s="9" t="str">
        <f>IFERROR(__xludf.DUMMYFUNCTION("""COMPUTED_VALUE"""),"G.D. Vajra, Barolo, Ravera")</f>
        <v>G.D. Vajra, Barolo, Ravera</v>
      </c>
      <c r="E1879" s="9">
        <f>IFERROR(__xludf.DUMMYFUNCTION("""COMPUTED_VALUE"""),2017.0)</f>
        <v>2017</v>
      </c>
      <c r="F1879" s="9">
        <f>IFERROR(__xludf.DUMMYFUNCTION("""COMPUTED_VALUE"""),750.0)</f>
        <v>750</v>
      </c>
      <c r="G1879" s="9">
        <f>IFERROR(__xludf.DUMMYFUNCTION("""COMPUTED_VALUE"""),6.0)</f>
        <v>6</v>
      </c>
      <c r="H1879" s="10">
        <f>IFERROR(__xludf.DUMMYFUNCTION("""COMPUTED_VALUE"""),2.0)</f>
        <v>2</v>
      </c>
      <c r="I1879" s="11">
        <f>IFERROR(__xludf.DUMMYFUNCTION("""COMPUTED_VALUE"""),358.0)</f>
        <v>358</v>
      </c>
      <c r="J1879" s="9" t="str">
        <f>IFERROR(__xludf.DUMMYFUNCTION("""COMPUTED_VALUE"""),"UK")</f>
        <v>UK</v>
      </c>
      <c r="K1879" s="8"/>
      <c r="L1879" s="12"/>
      <c r="M1879" s="13"/>
      <c r="N1879" s="13" t="str">
        <f>IFERROR(__xludf.DUMMYFUNCTION("IF(ISBLANK(M1879),"""",M1879*GOOGLEFINANCE(""USDGBP""))"),"")</f>
        <v/>
      </c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  <c r="FN1879" s="8"/>
      <c r="FO1879" s="8"/>
      <c r="FP1879" s="8"/>
      <c r="FQ1879" s="8"/>
      <c r="FR1879" s="8"/>
      <c r="FS1879" s="8"/>
      <c r="FT1879" s="8"/>
      <c r="FU1879" s="8"/>
      <c r="FV1879" s="8"/>
      <c r="FW1879" s="8"/>
      <c r="FX1879" s="8"/>
      <c r="FY1879" s="8"/>
      <c r="FZ1879" s="8"/>
      <c r="GA1879" s="8"/>
      <c r="GB1879" s="8"/>
      <c r="GC1879" s="8"/>
      <c r="GD1879" s="8"/>
      <c r="GE1879" s="8"/>
      <c r="GF1879" s="8"/>
      <c r="GG1879" s="8"/>
      <c r="GH1879" s="8"/>
      <c r="GI1879" s="8"/>
      <c r="GJ1879" s="8"/>
      <c r="GK1879" s="8"/>
      <c r="GL1879" s="8"/>
      <c r="GM1879" s="8"/>
      <c r="GN1879" s="8"/>
      <c r="GO1879" s="8"/>
      <c r="GP1879" s="8"/>
      <c r="GQ1879" s="8"/>
      <c r="GR1879" s="8"/>
      <c r="GS1879" s="8"/>
      <c r="GT1879" s="8"/>
      <c r="GU1879" s="8"/>
      <c r="GV1879" s="8"/>
      <c r="GW1879" s="8"/>
      <c r="GX1879" s="8"/>
    </row>
    <row r="1880">
      <c r="A1880" s="8" t="str">
        <f>IFERROR(__xludf.DUMMYFUNCTION("""COMPUTED_VALUE"""),"133130520190600750")</f>
        <v>133130520190600750</v>
      </c>
      <c r="B1880" s="9" t="str">
        <f>IFERROR(__xludf.DUMMYFUNCTION("""COMPUTED_VALUE"""),"Italy")</f>
        <v>Italy</v>
      </c>
      <c r="C1880" s="9" t="str">
        <f>IFERROR(__xludf.DUMMYFUNCTION("""COMPUTED_VALUE"""),"piedmont")</f>
        <v>piedmont</v>
      </c>
      <c r="D1880" s="9" t="str">
        <f>IFERROR(__xludf.DUMMYFUNCTION("""COMPUTED_VALUE"""),"G.D. Vajra, Barolo, Ravera")</f>
        <v>G.D. Vajra, Barolo, Ravera</v>
      </c>
      <c r="E1880" s="9">
        <f>IFERROR(__xludf.DUMMYFUNCTION("""COMPUTED_VALUE"""),2019.0)</f>
        <v>2019</v>
      </c>
      <c r="F1880" s="9">
        <f>IFERROR(__xludf.DUMMYFUNCTION("""COMPUTED_VALUE"""),750.0)</f>
        <v>750</v>
      </c>
      <c r="G1880" s="9">
        <f>IFERROR(__xludf.DUMMYFUNCTION("""COMPUTED_VALUE"""),6.0)</f>
        <v>6</v>
      </c>
      <c r="H1880" s="10">
        <f>IFERROR(__xludf.DUMMYFUNCTION("""COMPUTED_VALUE"""),1.0)</f>
        <v>1</v>
      </c>
      <c r="I1880" s="11">
        <f>IFERROR(__xludf.DUMMYFUNCTION("""COMPUTED_VALUE"""),373.0)</f>
        <v>373</v>
      </c>
      <c r="J1880" s="9" t="str">
        <f>IFERROR(__xludf.DUMMYFUNCTION("""COMPUTED_VALUE"""),"UK")</f>
        <v>UK</v>
      </c>
      <c r="K1880" s="8"/>
      <c r="L1880" s="12"/>
      <c r="M1880" s="13"/>
      <c r="N1880" s="13" t="str">
        <f>IFERROR(__xludf.DUMMYFUNCTION("IF(ISBLANK(M1880),"""",M1880*GOOGLEFINANCE(""USDGBP""))"),"")</f>
        <v/>
      </c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  <c r="FG1880" s="8"/>
      <c r="FH1880" s="8"/>
      <c r="FI1880" s="8"/>
      <c r="FJ1880" s="8"/>
      <c r="FK1880" s="8"/>
      <c r="FL1880" s="8"/>
      <c r="FM1880" s="8"/>
      <c r="FN1880" s="8"/>
      <c r="FO1880" s="8"/>
      <c r="FP1880" s="8"/>
      <c r="FQ1880" s="8"/>
      <c r="FR1880" s="8"/>
      <c r="FS1880" s="8"/>
      <c r="FT1880" s="8"/>
      <c r="FU1880" s="8"/>
      <c r="FV1880" s="8"/>
      <c r="FW1880" s="8"/>
      <c r="FX1880" s="8"/>
      <c r="FY1880" s="8"/>
      <c r="FZ1880" s="8"/>
      <c r="GA1880" s="8"/>
      <c r="GB1880" s="8"/>
      <c r="GC1880" s="8"/>
      <c r="GD1880" s="8"/>
      <c r="GE1880" s="8"/>
      <c r="GF1880" s="8"/>
      <c r="GG1880" s="8"/>
      <c r="GH1880" s="8"/>
      <c r="GI1880" s="8"/>
      <c r="GJ1880" s="8"/>
      <c r="GK1880" s="8"/>
      <c r="GL1880" s="8"/>
      <c r="GM1880" s="8"/>
      <c r="GN1880" s="8"/>
      <c r="GO1880" s="8"/>
      <c r="GP1880" s="8"/>
      <c r="GQ1880" s="8"/>
      <c r="GR1880" s="8"/>
      <c r="GS1880" s="8"/>
      <c r="GT1880" s="8"/>
      <c r="GU1880" s="8"/>
      <c r="GV1880" s="8"/>
      <c r="GW1880" s="8"/>
      <c r="GX1880" s="8"/>
    </row>
    <row r="1881">
      <c r="A1881" s="8" t="str">
        <f>IFERROR(__xludf.DUMMYFUNCTION("""COMPUTED_VALUE"""),"109960520060600750")</f>
        <v>109960520060600750</v>
      </c>
      <c r="B1881" s="9" t="str">
        <f>IFERROR(__xludf.DUMMYFUNCTION("""COMPUTED_VALUE"""),"Italy")</f>
        <v>Italy</v>
      </c>
      <c r="C1881" s="9" t="str">
        <f>IFERROR(__xludf.DUMMYFUNCTION("""COMPUTED_VALUE"""),"piedmont")</f>
        <v>piedmont</v>
      </c>
      <c r="D1881" s="9" t="str">
        <f>IFERROR(__xludf.DUMMYFUNCTION("""COMPUTED_VALUE"""),"Gaja, Barbaresco")</f>
        <v>Gaja, Barbaresco</v>
      </c>
      <c r="E1881" s="9">
        <f>IFERROR(__xludf.DUMMYFUNCTION("""COMPUTED_VALUE"""),2006.0)</f>
        <v>2006</v>
      </c>
      <c r="F1881" s="9">
        <f>IFERROR(__xludf.DUMMYFUNCTION("""COMPUTED_VALUE"""),750.0)</f>
        <v>750</v>
      </c>
      <c r="G1881" s="9">
        <f>IFERROR(__xludf.DUMMYFUNCTION("""COMPUTED_VALUE"""),6.0)</f>
        <v>6</v>
      </c>
      <c r="H1881" s="10">
        <f>IFERROR(__xludf.DUMMYFUNCTION("""COMPUTED_VALUE"""),1.0)</f>
        <v>1</v>
      </c>
      <c r="I1881" s="11">
        <f>IFERROR(__xludf.DUMMYFUNCTION("""COMPUTED_VALUE"""),1709.0)</f>
        <v>1709</v>
      </c>
      <c r="J1881" s="9" t="str">
        <f>IFERROR(__xludf.DUMMYFUNCTION("""COMPUTED_VALUE"""),"UK")</f>
        <v>UK</v>
      </c>
      <c r="K1881" s="8"/>
      <c r="L1881" s="12"/>
      <c r="M1881" s="13"/>
      <c r="N1881" s="13" t="str">
        <f>IFERROR(__xludf.DUMMYFUNCTION("IF(ISBLANK(M1881),"""",M1881*GOOGLEFINANCE(""USDGBP""))"),"")</f>
        <v/>
      </c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  <c r="FG1881" s="8"/>
      <c r="FH1881" s="8"/>
      <c r="FI1881" s="8"/>
      <c r="FJ1881" s="8"/>
      <c r="FK1881" s="8"/>
      <c r="FL1881" s="8"/>
      <c r="FM1881" s="8"/>
      <c r="FN1881" s="8"/>
      <c r="FO1881" s="8"/>
      <c r="FP1881" s="8"/>
      <c r="FQ1881" s="8"/>
      <c r="FR1881" s="8"/>
      <c r="FS1881" s="8"/>
      <c r="FT1881" s="8"/>
      <c r="FU1881" s="8"/>
      <c r="FV1881" s="8"/>
      <c r="FW1881" s="8"/>
      <c r="FX1881" s="8"/>
      <c r="FY1881" s="8"/>
      <c r="FZ1881" s="8"/>
      <c r="GA1881" s="8"/>
      <c r="GB1881" s="8"/>
      <c r="GC1881" s="8"/>
      <c r="GD1881" s="8"/>
      <c r="GE1881" s="8"/>
      <c r="GF1881" s="8"/>
      <c r="GG1881" s="8"/>
      <c r="GH1881" s="8"/>
      <c r="GI1881" s="8"/>
      <c r="GJ1881" s="8"/>
      <c r="GK1881" s="8"/>
      <c r="GL1881" s="8"/>
      <c r="GM1881" s="8"/>
      <c r="GN1881" s="8"/>
      <c r="GO1881" s="8"/>
      <c r="GP1881" s="8"/>
      <c r="GQ1881" s="8"/>
      <c r="GR1881" s="8"/>
      <c r="GS1881" s="8"/>
      <c r="GT1881" s="8"/>
      <c r="GU1881" s="8"/>
      <c r="GV1881" s="8"/>
      <c r="GW1881" s="8"/>
      <c r="GX1881" s="8"/>
    </row>
    <row r="1882">
      <c r="A1882" s="8" t="str">
        <f>IFERROR(__xludf.DUMMYFUNCTION("""COMPUTED_VALUE"""),"109960520140600750")</f>
        <v>109960520140600750</v>
      </c>
      <c r="B1882" s="9" t="str">
        <f>IFERROR(__xludf.DUMMYFUNCTION("""COMPUTED_VALUE"""),"Italy")</f>
        <v>Italy</v>
      </c>
      <c r="C1882" s="9" t="str">
        <f>IFERROR(__xludf.DUMMYFUNCTION("""COMPUTED_VALUE"""),"piedmont")</f>
        <v>piedmont</v>
      </c>
      <c r="D1882" s="9" t="str">
        <f>IFERROR(__xludf.DUMMYFUNCTION("""COMPUTED_VALUE"""),"Gaja, Barbaresco")</f>
        <v>Gaja, Barbaresco</v>
      </c>
      <c r="E1882" s="9">
        <f>IFERROR(__xludf.DUMMYFUNCTION("""COMPUTED_VALUE"""),2014.0)</f>
        <v>2014</v>
      </c>
      <c r="F1882" s="9">
        <f>IFERROR(__xludf.DUMMYFUNCTION("""COMPUTED_VALUE"""),750.0)</f>
        <v>750</v>
      </c>
      <c r="G1882" s="9">
        <f>IFERROR(__xludf.DUMMYFUNCTION("""COMPUTED_VALUE"""),6.0)</f>
        <v>6</v>
      </c>
      <c r="H1882" s="10">
        <f>IFERROR(__xludf.DUMMYFUNCTION("""COMPUTED_VALUE"""),1.0)</f>
        <v>1</v>
      </c>
      <c r="I1882" s="11">
        <f>IFERROR(__xludf.DUMMYFUNCTION("""COMPUTED_VALUE"""),907.0)</f>
        <v>907</v>
      </c>
      <c r="J1882" s="9" t="str">
        <f>IFERROR(__xludf.DUMMYFUNCTION("""COMPUTED_VALUE"""),"UK")</f>
        <v>UK</v>
      </c>
      <c r="K1882" s="8"/>
      <c r="L1882" s="12"/>
      <c r="M1882" s="13"/>
      <c r="N1882" s="13" t="str">
        <f>IFERROR(__xludf.DUMMYFUNCTION("IF(ISBLANK(M1882),"""",M1882*GOOGLEFINANCE(""USDGBP""))"),"")</f>
        <v/>
      </c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  <c r="FG1882" s="8"/>
      <c r="FH1882" s="8"/>
      <c r="FI1882" s="8"/>
      <c r="FJ1882" s="8"/>
      <c r="FK1882" s="8"/>
      <c r="FL1882" s="8"/>
      <c r="FM1882" s="8"/>
      <c r="FN1882" s="8"/>
      <c r="FO1882" s="8"/>
      <c r="FP1882" s="8"/>
      <c r="FQ1882" s="8"/>
      <c r="FR1882" s="8"/>
      <c r="FS1882" s="8"/>
      <c r="FT1882" s="8"/>
      <c r="FU1882" s="8"/>
      <c r="FV1882" s="8"/>
      <c r="FW1882" s="8"/>
      <c r="FX1882" s="8"/>
      <c r="FY1882" s="8"/>
      <c r="FZ1882" s="8"/>
      <c r="GA1882" s="8"/>
      <c r="GB1882" s="8"/>
      <c r="GC1882" s="8"/>
      <c r="GD1882" s="8"/>
      <c r="GE1882" s="8"/>
      <c r="GF1882" s="8"/>
      <c r="GG1882" s="8"/>
      <c r="GH1882" s="8"/>
      <c r="GI1882" s="8"/>
      <c r="GJ1882" s="8"/>
      <c r="GK1882" s="8"/>
      <c r="GL1882" s="8"/>
      <c r="GM1882" s="8"/>
      <c r="GN1882" s="8"/>
      <c r="GO1882" s="8"/>
      <c r="GP1882" s="8"/>
      <c r="GQ1882" s="8"/>
      <c r="GR1882" s="8"/>
      <c r="GS1882" s="8"/>
      <c r="GT1882" s="8"/>
      <c r="GU1882" s="8"/>
      <c r="GV1882" s="8"/>
      <c r="GW1882" s="8"/>
      <c r="GX1882" s="8"/>
    </row>
    <row r="1883">
      <c r="A1883" s="8" t="str">
        <f>IFERROR(__xludf.DUMMYFUNCTION("""COMPUTED_VALUE"""),"109960520160600750")</f>
        <v>109960520160600750</v>
      </c>
      <c r="B1883" s="9" t="str">
        <f>IFERROR(__xludf.DUMMYFUNCTION("""COMPUTED_VALUE"""),"Italy")</f>
        <v>Italy</v>
      </c>
      <c r="C1883" s="9" t="str">
        <f>IFERROR(__xludf.DUMMYFUNCTION("""COMPUTED_VALUE"""),"piedmont")</f>
        <v>piedmont</v>
      </c>
      <c r="D1883" s="9" t="str">
        <f>IFERROR(__xludf.DUMMYFUNCTION("""COMPUTED_VALUE"""),"Gaja, Barbaresco")</f>
        <v>Gaja, Barbaresco</v>
      </c>
      <c r="E1883" s="9">
        <f>IFERROR(__xludf.DUMMYFUNCTION("""COMPUTED_VALUE"""),2016.0)</f>
        <v>2016</v>
      </c>
      <c r="F1883" s="9">
        <f>IFERROR(__xludf.DUMMYFUNCTION("""COMPUTED_VALUE"""),750.0)</f>
        <v>750</v>
      </c>
      <c r="G1883" s="9">
        <f>IFERROR(__xludf.DUMMYFUNCTION("""COMPUTED_VALUE"""),6.0)</f>
        <v>6</v>
      </c>
      <c r="H1883" s="10">
        <f>IFERROR(__xludf.DUMMYFUNCTION("""COMPUTED_VALUE"""),3.0)</f>
        <v>3</v>
      </c>
      <c r="I1883" s="11">
        <f>IFERROR(__xludf.DUMMYFUNCTION("""COMPUTED_VALUE"""),1028.0)</f>
        <v>1028</v>
      </c>
      <c r="J1883" s="9" t="str">
        <f>IFERROR(__xludf.DUMMYFUNCTION("""COMPUTED_VALUE"""),"UK")</f>
        <v>UK</v>
      </c>
      <c r="K1883" s="8"/>
      <c r="L1883" s="12"/>
      <c r="M1883" s="13"/>
      <c r="N1883" s="13" t="str">
        <f>IFERROR(__xludf.DUMMYFUNCTION("IF(ISBLANK(M1883),"""",M1883*GOOGLEFINANCE(""USDGBP""))"),"")</f>
        <v/>
      </c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  <c r="FG1883" s="8"/>
      <c r="FH1883" s="8"/>
      <c r="FI1883" s="8"/>
      <c r="FJ1883" s="8"/>
      <c r="FK1883" s="8"/>
      <c r="FL1883" s="8"/>
      <c r="FM1883" s="8"/>
      <c r="FN1883" s="8"/>
      <c r="FO1883" s="8"/>
      <c r="FP1883" s="8"/>
      <c r="FQ1883" s="8"/>
      <c r="FR1883" s="8"/>
      <c r="FS1883" s="8"/>
      <c r="FT1883" s="8"/>
      <c r="FU1883" s="8"/>
      <c r="FV1883" s="8"/>
      <c r="FW1883" s="8"/>
      <c r="FX1883" s="8"/>
      <c r="FY1883" s="8"/>
      <c r="FZ1883" s="8"/>
      <c r="GA1883" s="8"/>
      <c r="GB1883" s="8"/>
      <c r="GC1883" s="8"/>
      <c r="GD1883" s="8"/>
      <c r="GE1883" s="8"/>
      <c r="GF1883" s="8"/>
      <c r="GG1883" s="8"/>
      <c r="GH1883" s="8"/>
      <c r="GI1883" s="8"/>
      <c r="GJ1883" s="8"/>
      <c r="GK1883" s="8"/>
      <c r="GL1883" s="8"/>
      <c r="GM1883" s="8"/>
      <c r="GN1883" s="8"/>
      <c r="GO1883" s="8"/>
      <c r="GP1883" s="8"/>
      <c r="GQ1883" s="8"/>
      <c r="GR1883" s="8"/>
      <c r="GS1883" s="8"/>
      <c r="GT1883" s="8"/>
      <c r="GU1883" s="8"/>
      <c r="GV1883" s="8"/>
      <c r="GW1883" s="8"/>
      <c r="GX1883" s="8"/>
    </row>
    <row r="1884">
      <c r="A1884" s="8" t="str">
        <f>IFERROR(__xludf.DUMMYFUNCTION("""COMPUTED_VALUE"""),"109960520170600750")</f>
        <v>109960520170600750</v>
      </c>
      <c r="B1884" s="9" t="str">
        <f>IFERROR(__xludf.DUMMYFUNCTION("""COMPUTED_VALUE"""),"Italy")</f>
        <v>Italy</v>
      </c>
      <c r="C1884" s="9" t="str">
        <f>IFERROR(__xludf.DUMMYFUNCTION("""COMPUTED_VALUE"""),"piedmont")</f>
        <v>piedmont</v>
      </c>
      <c r="D1884" s="9" t="str">
        <f>IFERROR(__xludf.DUMMYFUNCTION("""COMPUTED_VALUE"""),"Gaja, Barbaresco")</f>
        <v>Gaja, Barbaresco</v>
      </c>
      <c r="E1884" s="9">
        <f>IFERROR(__xludf.DUMMYFUNCTION("""COMPUTED_VALUE"""),2017.0)</f>
        <v>2017</v>
      </c>
      <c r="F1884" s="9">
        <f>IFERROR(__xludf.DUMMYFUNCTION("""COMPUTED_VALUE"""),750.0)</f>
        <v>750</v>
      </c>
      <c r="G1884" s="9">
        <f>IFERROR(__xludf.DUMMYFUNCTION("""COMPUTED_VALUE"""),6.0)</f>
        <v>6</v>
      </c>
      <c r="H1884" s="10">
        <f>IFERROR(__xludf.DUMMYFUNCTION("""COMPUTED_VALUE"""),14.0)</f>
        <v>14</v>
      </c>
      <c r="I1884" s="11">
        <f>IFERROR(__xludf.DUMMYFUNCTION("""COMPUTED_VALUE"""),953.0)</f>
        <v>953</v>
      </c>
      <c r="J1884" s="9" t="str">
        <f>IFERROR(__xludf.DUMMYFUNCTION("""COMPUTED_VALUE"""),"UK")</f>
        <v>UK</v>
      </c>
      <c r="K1884" s="8"/>
      <c r="L1884" s="12"/>
      <c r="M1884" s="13"/>
      <c r="N1884" s="13" t="str">
        <f>IFERROR(__xludf.DUMMYFUNCTION("IF(ISBLANK(M1884),"""",M1884*GOOGLEFINANCE(""USDGBP""))"),"")</f>
        <v/>
      </c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  <c r="FG1884" s="8"/>
      <c r="FH1884" s="8"/>
      <c r="FI1884" s="8"/>
      <c r="FJ1884" s="8"/>
      <c r="FK1884" s="8"/>
      <c r="FL1884" s="8"/>
      <c r="FM1884" s="8"/>
      <c r="FN1884" s="8"/>
      <c r="FO1884" s="8"/>
      <c r="FP1884" s="8"/>
      <c r="FQ1884" s="8"/>
      <c r="FR1884" s="8"/>
      <c r="FS1884" s="8"/>
      <c r="FT1884" s="8"/>
      <c r="FU1884" s="8"/>
      <c r="FV1884" s="8"/>
      <c r="FW1884" s="8"/>
      <c r="FX1884" s="8"/>
      <c r="FY1884" s="8"/>
      <c r="FZ1884" s="8"/>
      <c r="GA1884" s="8"/>
      <c r="GB1884" s="8"/>
      <c r="GC1884" s="8"/>
      <c r="GD1884" s="8"/>
      <c r="GE1884" s="8"/>
      <c r="GF1884" s="8"/>
      <c r="GG1884" s="8"/>
      <c r="GH1884" s="8"/>
      <c r="GI1884" s="8"/>
      <c r="GJ1884" s="8"/>
      <c r="GK1884" s="8"/>
      <c r="GL1884" s="8"/>
      <c r="GM1884" s="8"/>
      <c r="GN1884" s="8"/>
      <c r="GO1884" s="8"/>
      <c r="GP1884" s="8"/>
      <c r="GQ1884" s="8"/>
      <c r="GR1884" s="8"/>
      <c r="GS1884" s="8"/>
      <c r="GT1884" s="8"/>
      <c r="GU1884" s="8"/>
      <c r="GV1884" s="8"/>
      <c r="GW1884" s="8"/>
      <c r="GX1884" s="8"/>
    </row>
    <row r="1885">
      <c r="A1885" s="8" t="str">
        <f>IFERROR(__xludf.DUMMYFUNCTION("""COMPUTED_VALUE"""),"109960520180600750")</f>
        <v>109960520180600750</v>
      </c>
      <c r="B1885" s="9" t="str">
        <f>IFERROR(__xludf.DUMMYFUNCTION("""COMPUTED_VALUE"""),"Italy")</f>
        <v>Italy</v>
      </c>
      <c r="C1885" s="9" t="str">
        <f>IFERROR(__xludf.DUMMYFUNCTION("""COMPUTED_VALUE"""),"piedmont")</f>
        <v>piedmont</v>
      </c>
      <c r="D1885" s="9" t="str">
        <f>IFERROR(__xludf.DUMMYFUNCTION("""COMPUTED_VALUE"""),"Gaja, Barbaresco")</f>
        <v>Gaja, Barbaresco</v>
      </c>
      <c r="E1885" s="9">
        <f>IFERROR(__xludf.DUMMYFUNCTION("""COMPUTED_VALUE"""),2018.0)</f>
        <v>2018</v>
      </c>
      <c r="F1885" s="9">
        <f>IFERROR(__xludf.DUMMYFUNCTION("""COMPUTED_VALUE"""),750.0)</f>
        <v>750</v>
      </c>
      <c r="G1885" s="9">
        <f>IFERROR(__xludf.DUMMYFUNCTION("""COMPUTED_VALUE"""),6.0)</f>
        <v>6</v>
      </c>
      <c r="H1885" s="10">
        <f>IFERROR(__xludf.DUMMYFUNCTION("""COMPUTED_VALUE"""),13.0)</f>
        <v>13</v>
      </c>
      <c r="I1885" s="11">
        <f>IFERROR(__xludf.DUMMYFUNCTION("""COMPUTED_VALUE"""),923.0)</f>
        <v>923</v>
      </c>
      <c r="J1885" s="9" t="str">
        <f>IFERROR(__xludf.DUMMYFUNCTION("""COMPUTED_VALUE"""),"UK")</f>
        <v>UK</v>
      </c>
      <c r="K1885" s="8"/>
      <c r="L1885" s="12"/>
      <c r="M1885" s="13"/>
      <c r="N1885" s="13" t="str">
        <f>IFERROR(__xludf.DUMMYFUNCTION("IF(ISBLANK(M1885),"""",M1885*GOOGLEFINANCE(""USDGBP""))"),"")</f>
        <v/>
      </c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  <c r="FG1885" s="8"/>
      <c r="FH1885" s="8"/>
      <c r="FI1885" s="8"/>
      <c r="FJ1885" s="8"/>
      <c r="FK1885" s="8"/>
      <c r="FL1885" s="8"/>
      <c r="FM1885" s="8"/>
      <c r="FN1885" s="8"/>
      <c r="FO1885" s="8"/>
      <c r="FP1885" s="8"/>
      <c r="FQ1885" s="8"/>
      <c r="FR1885" s="8"/>
      <c r="FS1885" s="8"/>
      <c r="FT1885" s="8"/>
      <c r="FU1885" s="8"/>
      <c r="FV1885" s="8"/>
      <c r="FW1885" s="8"/>
      <c r="FX1885" s="8"/>
      <c r="FY1885" s="8"/>
      <c r="FZ1885" s="8"/>
      <c r="GA1885" s="8"/>
      <c r="GB1885" s="8"/>
      <c r="GC1885" s="8"/>
      <c r="GD1885" s="8"/>
      <c r="GE1885" s="8"/>
      <c r="GF1885" s="8"/>
      <c r="GG1885" s="8"/>
      <c r="GH1885" s="8"/>
      <c r="GI1885" s="8"/>
      <c r="GJ1885" s="8"/>
      <c r="GK1885" s="8"/>
      <c r="GL1885" s="8"/>
      <c r="GM1885" s="8"/>
      <c r="GN1885" s="8"/>
      <c r="GO1885" s="8"/>
      <c r="GP1885" s="8"/>
      <c r="GQ1885" s="8"/>
      <c r="GR1885" s="8"/>
      <c r="GS1885" s="8"/>
      <c r="GT1885" s="8"/>
      <c r="GU1885" s="8"/>
      <c r="GV1885" s="8"/>
      <c r="GW1885" s="8"/>
      <c r="GX1885" s="8"/>
    </row>
    <row r="1886">
      <c r="A1886" s="8" t="str">
        <f>IFERROR(__xludf.DUMMYFUNCTION("""COMPUTED_VALUE"""),"109972220160600750")</f>
        <v>109972220160600750</v>
      </c>
      <c r="B1886" s="9" t="str">
        <f>IFERROR(__xludf.DUMMYFUNCTION("""COMPUTED_VALUE"""),"Italy")</f>
        <v>Italy</v>
      </c>
      <c r="C1886" s="9" t="str">
        <f>IFERROR(__xludf.DUMMYFUNCTION("""COMPUTED_VALUE"""),"piedmont")</f>
        <v>piedmont</v>
      </c>
      <c r="D1886" s="9" t="str">
        <f>IFERROR(__xludf.DUMMYFUNCTION("""COMPUTED_VALUE"""),"Gaja, Barbaresco, Costa Russi")</f>
        <v>Gaja, Barbaresco, Costa Russi</v>
      </c>
      <c r="E1886" s="9">
        <f>IFERROR(__xludf.DUMMYFUNCTION("""COMPUTED_VALUE"""),2016.0)</f>
        <v>2016</v>
      </c>
      <c r="F1886" s="9">
        <f>IFERROR(__xludf.DUMMYFUNCTION("""COMPUTED_VALUE"""),750.0)</f>
        <v>750</v>
      </c>
      <c r="G1886" s="9">
        <f>IFERROR(__xludf.DUMMYFUNCTION("""COMPUTED_VALUE"""),6.0)</f>
        <v>6</v>
      </c>
      <c r="H1886" s="10">
        <f>IFERROR(__xludf.DUMMYFUNCTION("""COMPUTED_VALUE"""),1.0)</f>
        <v>1</v>
      </c>
      <c r="I1886" s="11">
        <f>IFERROR(__xludf.DUMMYFUNCTION("""COMPUTED_VALUE"""),2045.0)</f>
        <v>2045</v>
      </c>
      <c r="J1886" s="9" t="str">
        <f>IFERROR(__xludf.DUMMYFUNCTION("""COMPUTED_VALUE"""),"UK")</f>
        <v>UK</v>
      </c>
      <c r="K1886" s="8"/>
      <c r="L1886" s="12"/>
      <c r="M1886" s="13"/>
      <c r="N1886" s="13" t="str">
        <f>IFERROR(__xludf.DUMMYFUNCTION("IF(ISBLANK(M1886),"""",M1886*GOOGLEFINANCE(""USDGBP""))"),"")</f>
        <v/>
      </c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  <c r="FG1886" s="8"/>
      <c r="FH1886" s="8"/>
      <c r="FI1886" s="8"/>
      <c r="FJ1886" s="8"/>
      <c r="FK1886" s="8"/>
      <c r="FL1886" s="8"/>
      <c r="FM1886" s="8"/>
      <c r="FN1886" s="8"/>
      <c r="FO1886" s="8"/>
      <c r="FP1886" s="8"/>
      <c r="FQ1886" s="8"/>
      <c r="FR1886" s="8"/>
      <c r="FS1886" s="8"/>
      <c r="FT1886" s="8"/>
      <c r="FU1886" s="8"/>
      <c r="FV1886" s="8"/>
      <c r="FW1886" s="8"/>
      <c r="FX1886" s="8"/>
      <c r="FY1886" s="8"/>
      <c r="FZ1886" s="8"/>
      <c r="GA1886" s="8"/>
      <c r="GB1886" s="8"/>
      <c r="GC1886" s="8"/>
      <c r="GD1886" s="8"/>
      <c r="GE1886" s="8"/>
      <c r="GF1886" s="8"/>
      <c r="GG1886" s="8"/>
      <c r="GH1886" s="8"/>
      <c r="GI1886" s="8"/>
      <c r="GJ1886" s="8"/>
      <c r="GK1886" s="8"/>
      <c r="GL1886" s="8"/>
      <c r="GM1886" s="8"/>
      <c r="GN1886" s="8"/>
      <c r="GO1886" s="8"/>
      <c r="GP1886" s="8"/>
      <c r="GQ1886" s="8"/>
      <c r="GR1886" s="8"/>
      <c r="GS1886" s="8"/>
      <c r="GT1886" s="8"/>
      <c r="GU1886" s="8"/>
      <c r="GV1886" s="8"/>
      <c r="GW1886" s="8"/>
      <c r="GX1886" s="8"/>
    </row>
    <row r="1887">
      <c r="A1887" s="8" t="str">
        <f>IFERROR(__xludf.DUMMYFUNCTION("""COMPUTED_VALUE"""),"109972220170600750")</f>
        <v>109972220170600750</v>
      </c>
      <c r="B1887" s="9" t="str">
        <f>IFERROR(__xludf.DUMMYFUNCTION("""COMPUTED_VALUE"""),"Italy")</f>
        <v>Italy</v>
      </c>
      <c r="C1887" s="9" t="str">
        <f>IFERROR(__xludf.DUMMYFUNCTION("""COMPUTED_VALUE"""),"piedmont")</f>
        <v>piedmont</v>
      </c>
      <c r="D1887" s="9" t="str">
        <f>IFERROR(__xludf.DUMMYFUNCTION("""COMPUTED_VALUE"""),"Gaja, Barbaresco, Costa Russi")</f>
        <v>Gaja, Barbaresco, Costa Russi</v>
      </c>
      <c r="E1887" s="9">
        <f>IFERROR(__xludf.DUMMYFUNCTION("""COMPUTED_VALUE"""),2017.0)</f>
        <v>2017</v>
      </c>
      <c r="F1887" s="9">
        <f>IFERROR(__xludf.DUMMYFUNCTION("""COMPUTED_VALUE"""),750.0)</f>
        <v>750</v>
      </c>
      <c r="G1887" s="9">
        <f>IFERROR(__xludf.DUMMYFUNCTION("""COMPUTED_VALUE"""),6.0)</f>
        <v>6</v>
      </c>
      <c r="H1887" s="10">
        <f>IFERROR(__xludf.DUMMYFUNCTION("""COMPUTED_VALUE"""),4.0)</f>
        <v>4</v>
      </c>
      <c r="I1887" s="11">
        <f>IFERROR(__xludf.DUMMYFUNCTION("""COMPUTED_VALUE"""),2183.0)</f>
        <v>2183</v>
      </c>
      <c r="J1887" s="9" t="str">
        <f>IFERROR(__xludf.DUMMYFUNCTION("""COMPUTED_VALUE"""),"UK")</f>
        <v>UK</v>
      </c>
      <c r="K1887" s="8"/>
      <c r="L1887" s="12"/>
      <c r="M1887" s="13"/>
      <c r="N1887" s="13" t="str">
        <f>IFERROR(__xludf.DUMMYFUNCTION("IF(ISBLANK(M1887),"""",M1887*GOOGLEFINANCE(""USDGBP""))"),"")</f>
        <v/>
      </c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  <c r="FG1887" s="8"/>
      <c r="FH1887" s="8"/>
      <c r="FI1887" s="8"/>
      <c r="FJ1887" s="8"/>
      <c r="FK1887" s="8"/>
      <c r="FL1887" s="8"/>
      <c r="FM1887" s="8"/>
      <c r="FN1887" s="8"/>
      <c r="FO1887" s="8"/>
      <c r="FP1887" s="8"/>
      <c r="FQ1887" s="8"/>
      <c r="FR1887" s="8"/>
      <c r="FS1887" s="8"/>
      <c r="FT1887" s="8"/>
      <c r="FU1887" s="8"/>
      <c r="FV1887" s="8"/>
      <c r="FW1887" s="8"/>
      <c r="FX1887" s="8"/>
      <c r="FY1887" s="8"/>
      <c r="FZ1887" s="8"/>
      <c r="GA1887" s="8"/>
      <c r="GB1887" s="8"/>
      <c r="GC1887" s="8"/>
      <c r="GD1887" s="8"/>
      <c r="GE1887" s="8"/>
      <c r="GF1887" s="8"/>
      <c r="GG1887" s="8"/>
      <c r="GH1887" s="8"/>
      <c r="GI1887" s="8"/>
      <c r="GJ1887" s="8"/>
      <c r="GK1887" s="8"/>
      <c r="GL1887" s="8"/>
      <c r="GM1887" s="8"/>
      <c r="GN1887" s="8"/>
      <c r="GO1887" s="8"/>
      <c r="GP1887" s="8"/>
      <c r="GQ1887" s="8"/>
      <c r="GR1887" s="8"/>
      <c r="GS1887" s="8"/>
      <c r="GT1887" s="8"/>
      <c r="GU1887" s="8"/>
      <c r="GV1887" s="8"/>
      <c r="GW1887" s="8"/>
      <c r="GX1887" s="8"/>
    </row>
    <row r="1888">
      <c r="A1888" s="8" t="str">
        <f>IFERROR(__xludf.DUMMYFUNCTION("""COMPUTED_VALUE"""),"117488920040600750")</f>
        <v>117488920040600750</v>
      </c>
      <c r="B1888" s="9" t="str">
        <f>IFERROR(__xludf.DUMMYFUNCTION("""COMPUTED_VALUE"""),"Italy")</f>
        <v>Italy</v>
      </c>
      <c r="C1888" s="9" t="str">
        <f>IFERROR(__xludf.DUMMYFUNCTION("""COMPUTED_VALUE"""),"piedmont")</f>
        <v>piedmont</v>
      </c>
      <c r="D1888" s="9" t="str">
        <f>IFERROR(__xludf.DUMMYFUNCTION("""COMPUTED_VALUE"""),"Gaja, Barbaresco, Sori San Lorenzo")</f>
        <v>Gaja, Barbaresco, Sori San Lorenzo</v>
      </c>
      <c r="E1888" s="9">
        <f>IFERROR(__xludf.DUMMYFUNCTION("""COMPUTED_VALUE"""),2004.0)</f>
        <v>2004</v>
      </c>
      <c r="F1888" s="9">
        <f>IFERROR(__xludf.DUMMYFUNCTION("""COMPUTED_VALUE"""),750.0)</f>
        <v>750</v>
      </c>
      <c r="G1888" s="9">
        <f>IFERROR(__xludf.DUMMYFUNCTION("""COMPUTED_VALUE"""),6.0)</f>
        <v>6</v>
      </c>
      <c r="H1888" s="10">
        <f>IFERROR(__xludf.DUMMYFUNCTION("""COMPUTED_VALUE"""),1.0)</f>
        <v>1</v>
      </c>
      <c r="I1888" s="11">
        <f>IFERROR(__xludf.DUMMYFUNCTION("""COMPUTED_VALUE"""),2495.0)</f>
        <v>2495</v>
      </c>
      <c r="J1888" s="9" t="str">
        <f>IFERROR(__xludf.DUMMYFUNCTION("""COMPUTED_VALUE"""),"UK")</f>
        <v>UK</v>
      </c>
      <c r="K1888" s="8"/>
      <c r="L1888" s="12"/>
      <c r="M1888" s="13"/>
      <c r="N1888" s="13" t="str">
        <f>IFERROR(__xludf.DUMMYFUNCTION("IF(ISBLANK(M1888),"""",M1888*GOOGLEFINANCE(""USDGBP""))"),"")</f>
        <v/>
      </c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  <c r="FG1888" s="8"/>
      <c r="FH1888" s="8"/>
      <c r="FI1888" s="8"/>
      <c r="FJ1888" s="8"/>
      <c r="FK1888" s="8"/>
      <c r="FL1888" s="8"/>
      <c r="FM1888" s="8"/>
      <c r="FN1888" s="8"/>
      <c r="FO1888" s="8"/>
      <c r="FP1888" s="8"/>
      <c r="FQ1888" s="8"/>
      <c r="FR1888" s="8"/>
      <c r="FS1888" s="8"/>
      <c r="FT1888" s="8"/>
      <c r="FU1888" s="8"/>
      <c r="FV1888" s="8"/>
      <c r="FW1888" s="8"/>
      <c r="FX1888" s="8"/>
      <c r="FY1888" s="8"/>
      <c r="FZ1888" s="8"/>
      <c r="GA1888" s="8"/>
      <c r="GB1888" s="8"/>
      <c r="GC1888" s="8"/>
      <c r="GD1888" s="8"/>
      <c r="GE1888" s="8"/>
      <c r="GF1888" s="8"/>
      <c r="GG1888" s="8"/>
      <c r="GH1888" s="8"/>
      <c r="GI1888" s="8"/>
      <c r="GJ1888" s="8"/>
      <c r="GK1888" s="8"/>
      <c r="GL1888" s="8"/>
      <c r="GM1888" s="8"/>
      <c r="GN1888" s="8"/>
      <c r="GO1888" s="8"/>
      <c r="GP1888" s="8"/>
      <c r="GQ1888" s="8"/>
      <c r="GR1888" s="8"/>
      <c r="GS1888" s="8"/>
      <c r="GT1888" s="8"/>
      <c r="GU1888" s="8"/>
      <c r="GV1888" s="8"/>
      <c r="GW1888" s="8"/>
      <c r="GX1888" s="8"/>
    </row>
    <row r="1889">
      <c r="A1889" s="8" t="str">
        <f>IFERROR(__xludf.DUMMYFUNCTION("""COMPUTED_VALUE"""),"117488920070600750")</f>
        <v>117488920070600750</v>
      </c>
      <c r="B1889" s="9" t="str">
        <f>IFERROR(__xludf.DUMMYFUNCTION("""COMPUTED_VALUE"""),"Italy")</f>
        <v>Italy</v>
      </c>
      <c r="C1889" s="9" t="str">
        <f>IFERROR(__xludf.DUMMYFUNCTION("""COMPUTED_VALUE"""),"piedmont")</f>
        <v>piedmont</v>
      </c>
      <c r="D1889" s="9" t="str">
        <f>IFERROR(__xludf.DUMMYFUNCTION("""COMPUTED_VALUE"""),"Gaja, Barbaresco, Sori San Lorenzo")</f>
        <v>Gaja, Barbaresco, Sori San Lorenzo</v>
      </c>
      <c r="E1889" s="9">
        <f>IFERROR(__xludf.DUMMYFUNCTION("""COMPUTED_VALUE"""),2007.0)</f>
        <v>2007</v>
      </c>
      <c r="F1889" s="9">
        <f>IFERROR(__xludf.DUMMYFUNCTION("""COMPUTED_VALUE"""),750.0)</f>
        <v>750</v>
      </c>
      <c r="G1889" s="9">
        <f>IFERROR(__xludf.DUMMYFUNCTION("""COMPUTED_VALUE"""),6.0)</f>
        <v>6</v>
      </c>
      <c r="H1889" s="10">
        <f>IFERROR(__xludf.DUMMYFUNCTION("""COMPUTED_VALUE"""),1.0)</f>
        <v>1</v>
      </c>
      <c r="I1889" s="11">
        <f>IFERROR(__xludf.DUMMYFUNCTION("""COMPUTED_VALUE"""),2091.0)</f>
        <v>2091</v>
      </c>
      <c r="J1889" s="9" t="str">
        <f>IFERROR(__xludf.DUMMYFUNCTION("""COMPUTED_VALUE"""),"UK")</f>
        <v>UK</v>
      </c>
      <c r="K1889" s="8"/>
      <c r="L1889" s="12"/>
      <c r="M1889" s="13"/>
      <c r="N1889" s="13" t="str">
        <f>IFERROR(__xludf.DUMMYFUNCTION("IF(ISBLANK(M1889),"""",M1889*GOOGLEFINANCE(""USDGBP""))"),"")</f>
        <v/>
      </c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  <c r="FG1889" s="8"/>
      <c r="FH1889" s="8"/>
      <c r="FI1889" s="8"/>
      <c r="FJ1889" s="8"/>
      <c r="FK1889" s="8"/>
      <c r="FL1889" s="8"/>
      <c r="FM1889" s="8"/>
      <c r="FN1889" s="8"/>
      <c r="FO1889" s="8"/>
      <c r="FP1889" s="8"/>
      <c r="FQ1889" s="8"/>
      <c r="FR1889" s="8"/>
      <c r="FS1889" s="8"/>
      <c r="FT1889" s="8"/>
      <c r="FU1889" s="8"/>
      <c r="FV1889" s="8"/>
      <c r="FW1889" s="8"/>
      <c r="FX1889" s="8"/>
      <c r="FY1889" s="8"/>
      <c r="FZ1889" s="8"/>
      <c r="GA1889" s="8"/>
      <c r="GB1889" s="8"/>
      <c r="GC1889" s="8"/>
      <c r="GD1889" s="8"/>
      <c r="GE1889" s="8"/>
      <c r="GF1889" s="8"/>
      <c r="GG1889" s="8"/>
      <c r="GH1889" s="8"/>
      <c r="GI1889" s="8"/>
      <c r="GJ1889" s="8"/>
      <c r="GK1889" s="8"/>
      <c r="GL1889" s="8"/>
      <c r="GM1889" s="8"/>
      <c r="GN1889" s="8"/>
      <c r="GO1889" s="8"/>
      <c r="GP1889" s="8"/>
      <c r="GQ1889" s="8"/>
      <c r="GR1889" s="8"/>
      <c r="GS1889" s="8"/>
      <c r="GT1889" s="8"/>
      <c r="GU1889" s="8"/>
      <c r="GV1889" s="8"/>
      <c r="GW1889" s="8"/>
      <c r="GX1889" s="8"/>
    </row>
    <row r="1890">
      <c r="A1890" s="8" t="str">
        <f>IFERROR(__xludf.DUMMYFUNCTION("""COMPUTED_VALUE"""),"117488920090600750")</f>
        <v>117488920090600750</v>
      </c>
      <c r="B1890" s="9" t="str">
        <f>IFERROR(__xludf.DUMMYFUNCTION("""COMPUTED_VALUE"""),"Italy")</f>
        <v>Italy</v>
      </c>
      <c r="C1890" s="9" t="str">
        <f>IFERROR(__xludf.DUMMYFUNCTION("""COMPUTED_VALUE"""),"piedmont")</f>
        <v>piedmont</v>
      </c>
      <c r="D1890" s="9" t="str">
        <f>IFERROR(__xludf.DUMMYFUNCTION("""COMPUTED_VALUE"""),"Gaja, Barbaresco, Sori San Lorenzo")</f>
        <v>Gaja, Barbaresco, Sori San Lorenzo</v>
      </c>
      <c r="E1890" s="9">
        <f>IFERROR(__xludf.DUMMYFUNCTION("""COMPUTED_VALUE"""),2009.0)</f>
        <v>2009</v>
      </c>
      <c r="F1890" s="9">
        <f>IFERROR(__xludf.DUMMYFUNCTION("""COMPUTED_VALUE"""),750.0)</f>
        <v>750</v>
      </c>
      <c r="G1890" s="9">
        <f>IFERROR(__xludf.DUMMYFUNCTION("""COMPUTED_VALUE"""),6.0)</f>
        <v>6</v>
      </c>
      <c r="H1890" s="10">
        <f>IFERROR(__xludf.DUMMYFUNCTION("""COMPUTED_VALUE"""),1.0)</f>
        <v>1</v>
      </c>
      <c r="I1890" s="11">
        <f>IFERROR(__xludf.DUMMYFUNCTION("""COMPUTED_VALUE"""),1835.0)</f>
        <v>1835</v>
      </c>
      <c r="J1890" s="9" t="str">
        <f>IFERROR(__xludf.DUMMYFUNCTION("""COMPUTED_VALUE"""),"UK")</f>
        <v>UK</v>
      </c>
      <c r="K1890" s="8"/>
      <c r="L1890" s="12"/>
      <c r="M1890" s="13"/>
      <c r="N1890" s="13" t="str">
        <f>IFERROR(__xludf.DUMMYFUNCTION("IF(ISBLANK(M1890),"""",M1890*GOOGLEFINANCE(""USDGBP""))"),"")</f>
        <v/>
      </c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  <c r="FG1890" s="8"/>
      <c r="FH1890" s="8"/>
      <c r="FI1890" s="8"/>
      <c r="FJ1890" s="8"/>
      <c r="FK1890" s="8"/>
      <c r="FL1890" s="8"/>
      <c r="FM1890" s="8"/>
      <c r="FN1890" s="8"/>
      <c r="FO1890" s="8"/>
      <c r="FP1890" s="8"/>
      <c r="FQ1890" s="8"/>
      <c r="FR1890" s="8"/>
      <c r="FS1890" s="8"/>
      <c r="FT1890" s="8"/>
      <c r="FU1890" s="8"/>
      <c r="FV1890" s="8"/>
      <c r="FW1890" s="8"/>
      <c r="FX1890" s="8"/>
      <c r="FY1890" s="8"/>
      <c r="FZ1890" s="8"/>
      <c r="GA1890" s="8"/>
      <c r="GB1890" s="8"/>
      <c r="GC1890" s="8"/>
      <c r="GD1890" s="8"/>
      <c r="GE1890" s="8"/>
      <c r="GF1890" s="8"/>
      <c r="GG1890" s="8"/>
      <c r="GH1890" s="8"/>
      <c r="GI1890" s="8"/>
      <c r="GJ1890" s="8"/>
      <c r="GK1890" s="8"/>
      <c r="GL1890" s="8"/>
      <c r="GM1890" s="8"/>
      <c r="GN1890" s="8"/>
      <c r="GO1890" s="8"/>
      <c r="GP1890" s="8"/>
      <c r="GQ1890" s="8"/>
      <c r="GR1890" s="8"/>
      <c r="GS1890" s="8"/>
      <c r="GT1890" s="8"/>
      <c r="GU1890" s="8"/>
      <c r="GV1890" s="8"/>
      <c r="GW1890" s="8"/>
      <c r="GX1890" s="8"/>
    </row>
    <row r="1891">
      <c r="A1891" s="8" t="str">
        <f>IFERROR(__xludf.DUMMYFUNCTION("""COMPUTED_VALUE"""),"117488920110600750")</f>
        <v>117488920110600750</v>
      </c>
      <c r="B1891" s="9" t="str">
        <f>IFERROR(__xludf.DUMMYFUNCTION("""COMPUTED_VALUE"""),"Italy")</f>
        <v>Italy</v>
      </c>
      <c r="C1891" s="9" t="str">
        <f>IFERROR(__xludf.DUMMYFUNCTION("""COMPUTED_VALUE"""),"piedmont")</f>
        <v>piedmont</v>
      </c>
      <c r="D1891" s="9" t="str">
        <f>IFERROR(__xludf.DUMMYFUNCTION("""COMPUTED_VALUE"""),"Gaja, Barbaresco, Sori San Lorenzo")</f>
        <v>Gaja, Barbaresco, Sori San Lorenzo</v>
      </c>
      <c r="E1891" s="9">
        <f>IFERROR(__xludf.DUMMYFUNCTION("""COMPUTED_VALUE"""),2011.0)</f>
        <v>2011</v>
      </c>
      <c r="F1891" s="9">
        <f>IFERROR(__xludf.DUMMYFUNCTION("""COMPUTED_VALUE"""),750.0)</f>
        <v>750</v>
      </c>
      <c r="G1891" s="9">
        <f>IFERROR(__xludf.DUMMYFUNCTION("""COMPUTED_VALUE"""),6.0)</f>
        <v>6</v>
      </c>
      <c r="H1891" s="10">
        <f>IFERROR(__xludf.DUMMYFUNCTION("""COMPUTED_VALUE"""),1.0)</f>
        <v>1</v>
      </c>
      <c r="I1891" s="11">
        <f>IFERROR(__xludf.DUMMYFUNCTION("""COMPUTED_VALUE"""),1670.0)</f>
        <v>1670</v>
      </c>
      <c r="J1891" s="9" t="str">
        <f>IFERROR(__xludf.DUMMYFUNCTION("""COMPUTED_VALUE"""),"UK")</f>
        <v>UK</v>
      </c>
      <c r="K1891" s="8"/>
      <c r="L1891" s="12"/>
      <c r="M1891" s="13"/>
      <c r="N1891" s="13" t="str">
        <f>IFERROR(__xludf.DUMMYFUNCTION("IF(ISBLANK(M1891),"""",M1891*GOOGLEFINANCE(""USDGBP""))"),"")</f>
        <v/>
      </c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  <c r="FG1891" s="8"/>
      <c r="FH1891" s="8"/>
      <c r="FI1891" s="8"/>
      <c r="FJ1891" s="8"/>
      <c r="FK1891" s="8"/>
      <c r="FL1891" s="8"/>
      <c r="FM1891" s="8"/>
      <c r="FN1891" s="8"/>
      <c r="FO1891" s="8"/>
      <c r="FP1891" s="8"/>
      <c r="FQ1891" s="8"/>
      <c r="FR1891" s="8"/>
      <c r="FS1891" s="8"/>
      <c r="FT1891" s="8"/>
      <c r="FU1891" s="8"/>
      <c r="FV1891" s="8"/>
      <c r="FW1891" s="8"/>
      <c r="FX1891" s="8"/>
      <c r="FY1891" s="8"/>
      <c r="FZ1891" s="8"/>
      <c r="GA1891" s="8"/>
      <c r="GB1891" s="8"/>
      <c r="GC1891" s="8"/>
      <c r="GD1891" s="8"/>
      <c r="GE1891" s="8"/>
      <c r="GF1891" s="8"/>
      <c r="GG1891" s="8"/>
      <c r="GH1891" s="8"/>
      <c r="GI1891" s="8"/>
      <c r="GJ1891" s="8"/>
      <c r="GK1891" s="8"/>
      <c r="GL1891" s="8"/>
      <c r="GM1891" s="8"/>
      <c r="GN1891" s="8"/>
      <c r="GO1891" s="8"/>
      <c r="GP1891" s="8"/>
      <c r="GQ1891" s="8"/>
      <c r="GR1891" s="8"/>
      <c r="GS1891" s="8"/>
      <c r="GT1891" s="8"/>
      <c r="GU1891" s="8"/>
      <c r="GV1891" s="8"/>
      <c r="GW1891" s="8"/>
      <c r="GX1891" s="8"/>
    </row>
    <row r="1892">
      <c r="A1892" s="8" t="str">
        <f>IFERROR(__xludf.DUMMYFUNCTION("""COMPUTED_VALUE"""),"117488920130600750")</f>
        <v>117488920130600750</v>
      </c>
      <c r="B1892" s="9" t="str">
        <f>IFERROR(__xludf.DUMMYFUNCTION("""COMPUTED_VALUE"""),"Italy")</f>
        <v>Italy</v>
      </c>
      <c r="C1892" s="9" t="str">
        <f>IFERROR(__xludf.DUMMYFUNCTION("""COMPUTED_VALUE"""),"piedmont")</f>
        <v>piedmont</v>
      </c>
      <c r="D1892" s="9" t="str">
        <f>IFERROR(__xludf.DUMMYFUNCTION("""COMPUTED_VALUE"""),"Gaja, Barbaresco, Sori San Lorenzo")</f>
        <v>Gaja, Barbaresco, Sori San Lorenzo</v>
      </c>
      <c r="E1892" s="9">
        <f>IFERROR(__xludf.DUMMYFUNCTION("""COMPUTED_VALUE"""),2013.0)</f>
        <v>2013</v>
      </c>
      <c r="F1892" s="9">
        <f>IFERROR(__xludf.DUMMYFUNCTION("""COMPUTED_VALUE"""),750.0)</f>
        <v>750</v>
      </c>
      <c r="G1892" s="9">
        <f>IFERROR(__xludf.DUMMYFUNCTION("""COMPUTED_VALUE"""),6.0)</f>
        <v>6</v>
      </c>
      <c r="H1892" s="10">
        <f>IFERROR(__xludf.DUMMYFUNCTION("""COMPUTED_VALUE"""),2.0)</f>
        <v>2</v>
      </c>
      <c r="I1892" s="11">
        <f>IFERROR(__xludf.DUMMYFUNCTION("""COMPUTED_VALUE"""),1823.0)</f>
        <v>1823</v>
      </c>
      <c r="J1892" s="9" t="str">
        <f>IFERROR(__xludf.DUMMYFUNCTION("""COMPUTED_VALUE"""),"UK")</f>
        <v>UK</v>
      </c>
      <c r="K1892" s="8"/>
      <c r="L1892" s="12"/>
      <c r="M1892" s="13"/>
      <c r="N1892" s="13" t="str">
        <f>IFERROR(__xludf.DUMMYFUNCTION("IF(ISBLANK(M1892),"""",M1892*GOOGLEFINANCE(""USDGBP""))"),"")</f>
        <v/>
      </c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  <c r="FG1892" s="8"/>
      <c r="FH1892" s="8"/>
      <c r="FI1892" s="8"/>
      <c r="FJ1892" s="8"/>
      <c r="FK1892" s="8"/>
      <c r="FL1892" s="8"/>
      <c r="FM1892" s="8"/>
      <c r="FN1892" s="8"/>
      <c r="FO1892" s="8"/>
      <c r="FP1892" s="8"/>
      <c r="FQ1892" s="8"/>
      <c r="FR1892" s="8"/>
      <c r="FS1892" s="8"/>
      <c r="FT1892" s="8"/>
      <c r="FU1892" s="8"/>
      <c r="FV1892" s="8"/>
      <c r="FW1892" s="8"/>
      <c r="FX1892" s="8"/>
      <c r="FY1892" s="8"/>
      <c r="FZ1892" s="8"/>
      <c r="GA1892" s="8"/>
      <c r="GB1892" s="8"/>
      <c r="GC1892" s="8"/>
      <c r="GD1892" s="8"/>
      <c r="GE1892" s="8"/>
      <c r="GF1892" s="8"/>
      <c r="GG1892" s="8"/>
      <c r="GH1892" s="8"/>
      <c r="GI1892" s="8"/>
      <c r="GJ1892" s="8"/>
      <c r="GK1892" s="8"/>
      <c r="GL1892" s="8"/>
      <c r="GM1892" s="8"/>
      <c r="GN1892" s="8"/>
      <c r="GO1892" s="8"/>
      <c r="GP1892" s="8"/>
      <c r="GQ1892" s="8"/>
      <c r="GR1892" s="8"/>
      <c r="GS1892" s="8"/>
      <c r="GT1892" s="8"/>
      <c r="GU1892" s="8"/>
      <c r="GV1892" s="8"/>
      <c r="GW1892" s="8"/>
      <c r="GX1892" s="8"/>
    </row>
    <row r="1893">
      <c r="A1893" s="8" t="str">
        <f>IFERROR(__xludf.DUMMYFUNCTION("""COMPUTED_VALUE"""),"117488920170600750")</f>
        <v>117488920170600750</v>
      </c>
      <c r="B1893" s="9" t="str">
        <f>IFERROR(__xludf.DUMMYFUNCTION("""COMPUTED_VALUE"""),"Italy")</f>
        <v>Italy</v>
      </c>
      <c r="C1893" s="9" t="str">
        <f>IFERROR(__xludf.DUMMYFUNCTION("""COMPUTED_VALUE"""),"piedmont")</f>
        <v>piedmont</v>
      </c>
      <c r="D1893" s="9" t="str">
        <f>IFERROR(__xludf.DUMMYFUNCTION("""COMPUTED_VALUE"""),"Gaja, Barbaresco, Sori San Lorenzo")</f>
        <v>Gaja, Barbaresco, Sori San Lorenzo</v>
      </c>
      <c r="E1893" s="9">
        <f>IFERROR(__xludf.DUMMYFUNCTION("""COMPUTED_VALUE"""),2017.0)</f>
        <v>2017</v>
      </c>
      <c r="F1893" s="9">
        <f>IFERROR(__xludf.DUMMYFUNCTION("""COMPUTED_VALUE"""),750.0)</f>
        <v>750</v>
      </c>
      <c r="G1893" s="9">
        <f>IFERROR(__xludf.DUMMYFUNCTION("""COMPUTED_VALUE"""),6.0)</f>
        <v>6</v>
      </c>
      <c r="H1893" s="10">
        <f>IFERROR(__xludf.DUMMYFUNCTION("""COMPUTED_VALUE"""),1.0)</f>
        <v>1</v>
      </c>
      <c r="I1893" s="11">
        <f>IFERROR(__xludf.DUMMYFUNCTION("""COMPUTED_VALUE"""),2104.0)</f>
        <v>2104</v>
      </c>
      <c r="J1893" s="9" t="str">
        <f>IFERROR(__xludf.DUMMYFUNCTION("""COMPUTED_VALUE"""),"UK")</f>
        <v>UK</v>
      </c>
      <c r="K1893" s="8"/>
      <c r="L1893" s="12"/>
      <c r="M1893" s="13"/>
      <c r="N1893" s="13" t="str">
        <f>IFERROR(__xludf.DUMMYFUNCTION("IF(ISBLANK(M1893),"""",M1893*GOOGLEFINANCE(""USDGBP""))"),"")</f>
        <v/>
      </c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  <c r="FG1893" s="8"/>
      <c r="FH1893" s="8"/>
      <c r="FI1893" s="8"/>
      <c r="FJ1893" s="8"/>
      <c r="FK1893" s="8"/>
      <c r="FL1893" s="8"/>
      <c r="FM1893" s="8"/>
      <c r="FN1893" s="8"/>
      <c r="FO1893" s="8"/>
      <c r="FP1893" s="8"/>
      <c r="FQ1893" s="8"/>
      <c r="FR1893" s="8"/>
      <c r="FS1893" s="8"/>
      <c r="FT1893" s="8"/>
      <c r="FU1893" s="8"/>
      <c r="FV1893" s="8"/>
      <c r="FW1893" s="8"/>
      <c r="FX1893" s="8"/>
      <c r="FY1893" s="8"/>
      <c r="FZ1893" s="8"/>
      <c r="GA1893" s="8"/>
      <c r="GB1893" s="8"/>
      <c r="GC1893" s="8"/>
      <c r="GD1893" s="8"/>
      <c r="GE1893" s="8"/>
      <c r="GF1893" s="8"/>
      <c r="GG1893" s="8"/>
      <c r="GH1893" s="8"/>
      <c r="GI1893" s="8"/>
      <c r="GJ1893" s="8"/>
      <c r="GK1893" s="8"/>
      <c r="GL1893" s="8"/>
      <c r="GM1893" s="8"/>
      <c r="GN1893" s="8"/>
      <c r="GO1893" s="8"/>
      <c r="GP1893" s="8"/>
      <c r="GQ1893" s="8"/>
      <c r="GR1893" s="8"/>
      <c r="GS1893" s="8"/>
      <c r="GT1893" s="8"/>
      <c r="GU1893" s="8"/>
      <c r="GV1893" s="8"/>
      <c r="GW1893" s="8"/>
      <c r="GX1893" s="8"/>
    </row>
    <row r="1894">
      <c r="A1894" s="8" t="str">
        <f>IFERROR(__xludf.DUMMYFUNCTION("""COMPUTED_VALUE"""),"117488920170101500")</f>
        <v>117488920170101500</v>
      </c>
      <c r="B1894" s="9" t="str">
        <f>IFERROR(__xludf.DUMMYFUNCTION("""COMPUTED_VALUE"""),"Italy")</f>
        <v>Italy</v>
      </c>
      <c r="C1894" s="9" t="str">
        <f>IFERROR(__xludf.DUMMYFUNCTION("""COMPUTED_VALUE"""),"piedmont")</f>
        <v>piedmont</v>
      </c>
      <c r="D1894" s="9" t="str">
        <f>IFERROR(__xludf.DUMMYFUNCTION("""COMPUTED_VALUE"""),"Gaja, Barbaresco, Sori San Lorenzo")</f>
        <v>Gaja, Barbaresco, Sori San Lorenzo</v>
      </c>
      <c r="E1894" s="9">
        <f>IFERROR(__xludf.DUMMYFUNCTION("""COMPUTED_VALUE"""),2017.0)</f>
        <v>2017</v>
      </c>
      <c r="F1894" s="9">
        <f>IFERROR(__xludf.DUMMYFUNCTION("""COMPUTED_VALUE"""),1500.0)</f>
        <v>1500</v>
      </c>
      <c r="G1894" s="9">
        <f>IFERROR(__xludf.DUMMYFUNCTION("""COMPUTED_VALUE"""),1.0)</f>
        <v>1</v>
      </c>
      <c r="H1894" s="10">
        <f>IFERROR(__xludf.DUMMYFUNCTION("""COMPUTED_VALUE"""),1.0)</f>
        <v>1</v>
      </c>
      <c r="I1894" s="11">
        <f>IFERROR(__xludf.DUMMYFUNCTION("""COMPUTED_VALUE"""),701.0)</f>
        <v>701</v>
      </c>
      <c r="J1894" s="9" t="str">
        <f>IFERROR(__xludf.DUMMYFUNCTION("""COMPUTED_VALUE"""),"UK")</f>
        <v>UK</v>
      </c>
      <c r="K1894" s="8"/>
      <c r="L1894" s="12"/>
      <c r="M1894" s="13"/>
      <c r="N1894" s="13" t="str">
        <f>IFERROR(__xludf.DUMMYFUNCTION("IF(ISBLANK(M1894),"""",M1894*GOOGLEFINANCE(""USDGBP""))"),"")</f>
        <v/>
      </c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  <c r="FG1894" s="8"/>
      <c r="FH1894" s="8"/>
      <c r="FI1894" s="8"/>
      <c r="FJ1894" s="8"/>
      <c r="FK1894" s="8"/>
      <c r="FL1894" s="8"/>
      <c r="FM1894" s="8"/>
      <c r="FN1894" s="8"/>
      <c r="FO1894" s="8"/>
      <c r="FP1894" s="8"/>
      <c r="FQ1894" s="8"/>
      <c r="FR1894" s="8"/>
      <c r="FS1894" s="8"/>
      <c r="FT1894" s="8"/>
      <c r="FU1894" s="8"/>
      <c r="FV1894" s="8"/>
      <c r="FW1894" s="8"/>
      <c r="FX1894" s="8"/>
      <c r="FY1894" s="8"/>
      <c r="FZ1894" s="8"/>
      <c r="GA1894" s="8"/>
      <c r="GB1894" s="8"/>
      <c r="GC1894" s="8"/>
      <c r="GD1894" s="8"/>
      <c r="GE1894" s="8"/>
      <c r="GF1894" s="8"/>
      <c r="GG1894" s="8"/>
      <c r="GH1894" s="8"/>
      <c r="GI1894" s="8"/>
      <c r="GJ1894" s="8"/>
      <c r="GK1894" s="8"/>
      <c r="GL1894" s="8"/>
      <c r="GM1894" s="8"/>
      <c r="GN1894" s="8"/>
      <c r="GO1894" s="8"/>
      <c r="GP1894" s="8"/>
      <c r="GQ1894" s="8"/>
      <c r="GR1894" s="8"/>
      <c r="GS1894" s="8"/>
      <c r="GT1894" s="8"/>
      <c r="GU1894" s="8"/>
      <c r="GV1894" s="8"/>
      <c r="GW1894" s="8"/>
      <c r="GX1894" s="8"/>
    </row>
    <row r="1895">
      <c r="A1895" s="8" t="str">
        <f>IFERROR(__xludf.DUMMYFUNCTION("""COMPUTED_VALUE"""),"109977720000600750")</f>
        <v>109977720000600750</v>
      </c>
      <c r="B1895" s="9" t="str">
        <f>IFERROR(__xludf.DUMMYFUNCTION("""COMPUTED_VALUE"""),"Italy")</f>
        <v>Italy</v>
      </c>
      <c r="C1895" s="9" t="str">
        <f>IFERROR(__xludf.DUMMYFUNCTION("""COMPUTED_VALUE"""),"piedmont")</f>
        <v>piedmont</v>
      </c>
      <c r="D1895" s="9" t="str">
        <f>IFERROR(__xludf.DUMMYFUNCTION("""COMPUTED_VALUE"""),"Gaja, Barbaresco, Sori Tildin")</f>
        <v>Gaja, Barbaresco, Sori Tildin</v>
      </c>
      <c r="E1895" s="9">
        <f>IFERROR(__xludf.DUMMYFUNCTION("""COMPUTED_VALUE"""),2000.0)</f>
        <v>2000</v>
      </c>
      <c r="F1895" s="9">
        <f>IFERROR(__xludf.DUMMYFUNCTION("""COMPUTED_VALUE"""),750.0)</f>
        <v>750</v>
      </c>
      <c r="G1895" s="9">
        <f>IFERROR(__xludf.DUMMYFUNCTION("""COMPUTED_VALUE"""),6.0)</f>
        <v>6</v>
      </c>
      <c r="H1895" s="10">
        <f>IFERROR(__xludf.DUMMYFUNCTION("""COMPUTED_VALUE"""),1.0)</f>
        <v>1</v>
      </c>
      <c r="I1895" s="11">
        <f>IFERROR(__xludf.DUMMYFUNCTION("""COMPUTED_VALUE"""),2021.0)</f>
        <v>2021</v>
      </c>
      <c r="J1895" s="9" t="str">
        <f>IFERROR(__xludf.DUMMYFUNCTION("""COMPUTED_VALUE"""),"UK")</f>
        <v>UK</v>
      </c>
      <c r="K1895" s="8"/>
      <c r="L1895" s="12"/>
      <c r="M1895" s="13"/>
      <c r="N1895" s="13" t="str">
        <f>IFERROR(__xludf.DUMMYFUNCTION("IF(ISBLANK(M1895),"""",M1895*GOOGLEFINANCE(""USDGBP""))"),"")</f>
        <v/>
      </c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  <c r="FG1895" s="8"/>
      <c r="FH1895" s="8"/>
      <c r="FI1895" s="8"/>
      <c r="FJ1895" s="8"/>
      <c r="FK1895" s="8"/>
      <c r="FL1895" s="8"/>
      <c r="FM1895" s="8"/>
      <c r="FN1895" s="8"/>
      <c r="FO1895" s="8"/>
      <c r="FP1895" s="8"/>
      <c r="FQ1895" s="8"/>
      <c r="FR1895" s="8"/>
      <c r="FS1895" s="8"/>
      <c r="FT1895" s="8"/>
      <c r="FU1895" s="8"/>
      <c r="FV1895" s="8"/>
      <c r="FW1895" s="8"/>
      <c r="FX1895" s="8"/>
      <c r="FY1895" s="8"/>
      <c r="FZ1895" s="8"/>
      <c r="GA1895" s="8"/>
      <c r="GB1895" s="8"/>
      <c r="GC1895" s="8"/>
      <c r="GD1895" s="8"/>
      <c r="GE1895" s="8"/>
      <c r="GF1895" s="8"/>
      <c r="GG1895" s="8"/>
      <c r="GH1895" s="8"/>
      <c r="GI1895" s="8"/>
      <c r="GJ1895" s="8"/>
      <c r="GK1895" s="8"/>
      <c r="GL1895" s="8"/>
      <c r="GM1895" s="8"/>
      <c r="GN1895" s="8"/>
      <c r="GO1895" s="8"/>
      <c r="GP1895" s="8"/>
      <c r="GQ1895" s="8"/>
      <c r="GR1895" s="8"/>
      <c r="GS1895" s="8"/>
      <c r="GT1895" s="8"/>
      <c r="GU1895" s="8"/>
      <c r="GV1895" s="8"/>
      <c r="GW1895" s="8"/>
      <c r="GX1895" s="8"/>
    </row>
    <row r="1896">
      <c r="A1896" s="8" t="str">
        <f>IFERROR(__xludf.DUMMYFUNCTION("""COMPUTED_VALUE"""),"109977720160600750")</f>
        <v>109977720160600750</v>
      </c>
      <c r="B1896" s="9" t="str">
        <f>IFERROR(__xludf.DUMMYFUNCTION("""COMPUTED_VALUE"""),"Italy")</f>
        <v>Italy</v>
      </c>
      <c r="C1896" s="9" t="str">
        <f>IFERROR(__xludf.DUMMYFUNCTION("""COMPUTED_VALUE"""),"piedmont")</f>
        <v>piedmont</v>
      </c>
      <c r="D1896" s="9" t="str">
        <f>IFERROR(__xludf.DUMMYFUNCTION("""COMPUTED_VALUE"""),"Gaja, Barbaresco, Sori Tildin")</f>
        <v>Gaja, Barbaresco, Sori Tildin</v>
      </c>
      <c r="E1896" s="9">
        <f>IFERROR(__xludf.DUMMYFUNCTION("""COMPUTED_VALUE"""),2016.0)</f>
        <v>2016</v>
      </c>
      <c r="F1896" s="9">
        <f>IFERROR(__xludf.DUMMYFUNCTION("""COMPUTED_VALUE"""),750.0)</f>
        <v>750</v>
      </c>
      <c r="G1896" s="9">
        <f>IFERROR(__xludf.DUMMYFUNCTION("""COMPUTED_VALUE"""),6.0)</f>
        <v>6</v>
      </c>
      <c r="H1896" s="10">
        <f>IFERROR(__xludf.DUMMYFUNCTION("""COMPUTED_VALUE"""),1.0)</f>
        <v>1</v>
      </c>
      <c r="I1896" s="11">
        <f>IFERROR(__xludf.DUMMYFUNCTION("""COMPUTED_VALUE"""),2560.0)</f>
        <v>2560</v>
      </c>
      <c r="J1896" s="9" t="str">
        <f>IFERROR(__xludf.DUMMYFUNCTION("""COMPUTED_VALUE"""),"UK")</f>
        <v>UK</v>
      </c>
      <c r="K1896" s="8"/>
      <c r="L1896" s="12"/>
      <c r="M1896" s="13"/>
      <c r="N1896" s="13" t="str">
        <f>IFERROR(__xludf.DUMMYFUNCTION("IF(ISBLANK(M1896),"""",M1896*GOOGLEFINANCE(""USDGBP""))"),"")</f>
        <v/>
      </c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  <c r="FG1896" s="8"/>
      <c r="FH1896" s="8"/>
      <c r="FI1896" s="8"/>
      <c r="FJ1896" s="8"/>
      <c r="FK1896" s="8"/>
      <c r="FL1896" s="8"/>
      <c r="FM1896" s="8"/>
      <c r="FN1896" s="8"/>
      <c r="FO1896" s="8"/>
      <c r="FP1896" s="8"/>
      <c r="FQ1896" s="8"/>
      <c r="FR1896" s="8"/>
      <c r="FS1896" s="8"/>
      <c r="FT1896" s="8"/>
      <c r="FU1896" s="8"/>
      <c r="FV1896" s="8"/>
      <c r="FW1896" s="8"/>
      <c r="FX1896" s="8"/>
      <c r="FY1896" s="8"/>
      <c r="FZ1896" s="8"/>
      <c r="GA1896" s="8"/>
      <c r="GB1896" s="8"/>
      <c r="GC1896" s="8"/>
      <c r="GD1896" s="8"/>
      <c r="GE1896" s="8"/>
      <c r="GF1896" s="8"/>
      <c r="GG1896" s="8"/>
      <c r="GH1896" s="8"/>
      <c r="GI1896" s="8"/>
      <c r="GJ1896" s="8"/>
      <c r="GK1896" s="8"/>
      <c r="GL1896" s="8"/>
      <c r="GM1896" s="8"/>
      <c r="GN1896" s="8"/>
      <c r="GO1896" s="8"/>
      <c r="GP1896" s="8"/>
      <c r="GQ1896" s="8"/>
      <c r="GR1896" s="8"/>
      <c r="GS1896" s="8"/>
      <c r="GT1896" s="8"/>
      <c r="GU1896" s="8"/>
      <c r="GV1896" s="8"/>
      <c r="GW1896" s="8"/>
      <c r="GX1896" s="8"/>
    </row>
    <row r="1897">
      <c r="A1897" s="8" t="str">
        <f>IFERROR(__xludf.DUMMYFUNCTION("""COMPUTED_VALUE"""),"109977720170600750")</f>
        <v>109977720170600750</v>
      </c>
      <c r="B1897" s="9" t="str">
        <f>IFERROR(__xludf.DUMMYFUNCTION("""COMPUTED_VALUE"""),"Italy")</f>
        <v>Italy</v>
      </c>
      <c r="C1897" s="9" t="str">
        <f>IFERROR(__xludf.DUMMYFUNCTION("""COMPUTED_VALUE"""),"piedmont")</f>
        <v>piedmont</v>
      </c>
      <c r="D1897" s="9" t="str">
        <f>IFERROR(__xludf.DUMMYFUNCTION("""COMPUTED_VALUE"""),"Gaja, Barbaresco, Sori Tildin")</f>
        <v>Gaja, Barbaresco, Sori Tildin</v>
      </c>
      <c r="E1897" s="9">
        <f>IFERROR(__xludf.DUMMYFUNCTION("""COMPUTED_VALUE"""),2017.0)</f>
        <v>2017</v>
      </c>
      <c r="F1897" s="9">
        <f>IFERROR(__xludf.DUMMYFUNCTION("""COMPUTED_VALUE"""),750.0)</f>
        <v>750</v>
      </c>
      <c r="G1897" s="9">
        <f>IFERROR(__xludf.DUMMYFUNCTION("""COMPUTED_VALUE"""),6.0)</f>
        <v>6</v>
      </c>
      <c r="H1897" s="10">
        <f>IFERROR(__xludf.DUMMYFUNCTION("""COMPUTED_VALUE"""),2.0)</f>
        <v>2</v>
      </c>
      <c r="I1897" s="11">
        <f>IFERROR(__xludf.DUMMYFUNCTION("""COMPUTED_VALUE"""),2149.0)</f>
        <v>2149</v>
      </c>
      <c r="J1897" s="9" t="str">
        <f>IFERROR(__xludf.DUMMYFUNCTION("""COMPUTED_VALUE"""),"UK")</f>
        <v>UK</v>
      </c>
      <c r="K1897" s="8"/>
      <c r="L1897" s="12"/>
      <c r="M1897" s="13"/>
      <c r="N1897" s="13" t="str">
        <f>IFERROR(__xludf.DUMMYFUNCTION("IF(ISBLANK(M1897),"""",M1897*GOOGLEFINANCE(""USDGBP""))"),"")</f>
        <v/>
      </c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  <c r="FG1897" s="8"/>
      <c r="FH1897" s="8"/>
      <c r="FI1897" s="8"/>
      <c r="FJ1897" s="8"/>
      <c r="FK1897" s="8"/>
      <c r="FL1897" s="8"/>
      <c r="FM1897" s="8"/>
      <c r="FN1897" s="8"/>
      <c r="FO1897" s="8"/>
      <c r="FP1897" s="8"/>
      <c r="FQ1897" s="8"/>
      <c r="FR1897" s="8"/>
      <c r="FS1897" s="8"/>
      <c r="FT1897" s="8"/>
      <c r="FU1897" s="8"/>
      <c r="FV1897" s="8"/>
      <c r="FW1897" s="8"/>
      <c r="FX1897" s="8"/>
      <c r="FY1897" s="8"/>
      <c r="FZ1897" s="8"/>
      <c r="GA1897" s="8"/>
      <c r="GB1897" s="8"/>
      <c r="GC1897" s="8"/>
      <c r="GD1897" s="8"/>
      <c r="GE1897" s="8"/>
      <c r="GF1897" s="8"/>
      <c r="GG1897" s="8"/>
      <c r="GH1897" s="8"/>
      <c r="GI1897" s="8"/>
      <c r="GJ1897" s="8"/>
      <c r="GK1897" s="8"/>
      <c r="GL1897" s="8"/>
      <c r="GM1897" s="8"/>
      <c r="GN1897" s="8"/>
      <c r="GO1897" s="8"/>
      <c r="GP1897" s="8"/>
      <c r="GQ1897" s="8"/>
      <c r="GR1897" s="8"/>
      <c r="GS1897" s="8"/>
      <c r="GT1897" s="8"/>
      <c r="GU1897" s="8"/>
      <c r="GV1897" s="8"/>
      <c r="GW1897" s="8"/>
      <c r="GX1897" s="8"/>
    </row>
    <row r="1898">
      <c r="A1898" s="8" t="str">
        <f>IFERROR(__xludf.DUMMYFUNCTION("""COMPUTED_VALUE"""),"109977720170101500")</f>
        <v>109977720170101500</v>
      </c>
      <c r="B1898" s="9" t="str">
        <f>IFERROR(__xludf.DUMMYFUNCTION("""COMPUTED_VALUE"""),"Italy")</f>
        <v>Italy</v>
      </c>
      <c r="C1898" s="9" t="str">
        <f>IFERROR(__xludf.DUMMYFUNCTION("""COMPUTED_VALUE"""),"piedmont")</f>
        <v>piedmont</v>
      </c>
      <c r="D1898" s="9" t="str">
        <f>IFERROR(__xludf.DUMMYFUNCTION("""COMPUTED_VALUE"""),"Gaja, Barbaresco, Sori Tildin")</f>
        <v>Gaja, Barbaresco, Sori Tildin</v>
      </c>
      <c r="E1898" s="9">
        <f>IFERROR(__xludf.DUMMYFUNCTION("""COMPUTED_VALUE"""),2017.0)</f>
        <v>2017</v>
      </c>
      <c r="F1898" s="9">
        <f>IFERROR(__xludf.DUMMYFUNCTION("""COMPUTED_VALUE"""),1500.0)</f>
        <v>1500</v>
      </c>
      <c r="G1898" s="9">
        <f>IFERROR(__xludf.DUMMYFUNCTION("""COMPUTED_VALUE"""),1.0)</f>
        <v>1</v>
      </c>
      <c r="H1898" s="10">
        <f>IFERROR(__xludf.DUMMYFUNCTION("""COMPUTED_VALUE"""),1.0)</f>
        <v>1</v>
      </c>
      <c r="I1898" s="11">
        <f>IFERROR(__xludf.DUMMYFUNCTION("""COMPUTED_VALUE"""),716.0)</f>
        <v>716</v>
      </c>
      <c r="J1898" s="9" t="str">
        <f>IFERROR(__xludf.DUMMYFUNCTION("""COMPUTED_VALUE"""),"UK")</f>
        <v>UK</v>
      </c>
      <c r="K1898" s="8"/>
      <c r="L1898" s="12"/>
      <c r="M1898" s="13"/>
      <c r="N1898" s="13" t="str">
        <f>IFERROR(__xludf.DUMMYFUNCTION("IF(ISBLANK(M1898),"""",M1898*GOOGLEFINANCE(""USDGBP""))"),"")</f>
        <v/>
      </c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  <c r="FG1898" s="8"/>
      <c r="FH1898" s="8"/>
      <c r="FI1898" s="8"/>
      <c r="FJ1898" s="8"/>
      <c r="FK1898" s="8"/>
      <c r="FL1898" s="8"/>
      <c r="FM1898" s="8"/>
      <c r="FN1898" s="8"/>
      <c r="FO1898" s="8"/>
      <c r="FP1898" s="8"/>
      <c r="FQ1898" s="8"/>
      <c r="FR1898" s="8"/>
      <c r="FS1898" s="8"/>
      <c r="FT1898" s="8"/>
      <c r="FU1898" s="8"/>
      <c r="FV1898" s="8"/>
      <c r="FW1898" s="8"/>
      <c r="FX1898" s="8"/>
      <c r="FY1898" s="8"/>
      <c r="FZ1898" s="8"/>
      <c r="GA1898" s="8"/>
      <c r="GB1898" s="8"/>
      <c r="GC1898" s="8"/>
      <c r="GD1898" s="8"/>
      <c r="GE1898" s="8"/>
      <c r="GF1898" s="8"/>
      <c r="GG1898" s="8"/>
      <c r="GH1898" s="8"/>
      <c r="GI1898" s="8"/>
      <c r="GJ1898" s="8"/>
      <c r="GK1898" s="8"/>
      <c r="GL1898" s="8"/>
      <c r="GM1898" s="8"/>
      <c r="GN1898" s="8"/>
      <c r="GO1898" s="8"/>
      <c r="GP1898" s="8"/>
      <c r="GQ1898" s="8"/>
      <c r="GR1898" s="8"/>
      <c r="GS1898" s="8"/>
      <c r="GT1898" s="8"/>
      <c r="GU1898" s="8"/>
      <c r="GV1898" s="8"/>
      <c r="GW1898" s="8"/>
      <c r="GX1898" s="8"/>
    </row>
    <row r="1899">
      <c r="A1899" s="8" t="str">
        <f>IFERROR(__xludf.DUMMYFUNCTION("""COMPUTED_VALUE"""),"109971920130600750")</f>
        <v>109971920130600750</v>
      </c>
      <c r="B1899" s="9" t="str">
        <f>IFERROR(__xludf.DUMMYFUNCTION("""COMPUTED_VALUE"""),"Italy")</f>
        <v>Italy</v>
      </c>
      <c r="C1899" s="9" t="str">
        <f>IFERROR(__xludf.DUMMYFUNCTION("""COMPUTED_VALUE"""),"piedmont")</f>
        <v>piedmont</v>
      </c>
      <c r="D1899" s="9" t="str">
        <f>IFERROR(__xludf.DUMMYFUNCTION("""COMPUTED_VALUE"""),"Gaja, Barolo, Conteisa")</f>
        <v>Gaja, Barolo, Conteisa</v>
      </c>
      <c r="E1899" s="9">
        <f>IFERROR(__xludf.DUMMYFUNCTION("""COMPUTED_VALUE"""),2013.0)</f>
        <v>2013</v>
      </c>
      <c r="F1899" s="9">
        <f>IFERROR(__xludf.DUMMYFUNCTION("""COMPUTED_VALUE"""),750.0)</f>
        <v>750</v>
      </c>
      <c r="G1899" s="9">
        <f>IFERROR(__xludf.DUMMYFUNCTION("""COMPUTED_VALUE"""),6.0)</f>
        <v>6</v>
      </c>
      <c r="H1899" s="10">
        <f>IFERROR(__xludf.DUMMYFUNCTION("""COMPUTED_VALUE"""),1.0)</f>
        <v>1</v>
      </c>
      <c r="I1899" s="11">
        <f>IFERROR(__xludf.DUMMYFUNCTION("""COMPUTED_VALUE"""),951.0)</f>
        <v>951</v>
      </c>
      <c r="J1899" s="9" t="str">
        <f>IFERROR(__xludf.DUMMYFUNCTION("""COMPUTED_VALUE"""),"UK")</f>
        <v>UK</v>
      </c>
      <c r="K1899" s="8"/>
      <c r="L1899" s="12"/>
      <c r="M1899" s="13"/>
      <c r="N1899" s="13" t="str">
        <f>IFERROR(__xludf.DUMMYFUNCTION("IF(ISBLANK(M1899),"""",M1899*GOOGLEFINANCE(""USDGBP""))"),"")</f>
        <v/>
      </c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  <c r="FG1899" s="8"/>
      <c r="FH1899" s="8"/>
      <c r="FI1899" s="8"/>
      <c r="FJ1899" s="8"/>
      <c r="FK1899" s="8"/>
      <c r="FL1899" s="8"/>
      <c r="FM1899" s="8"/>
      <c r="FN1899" s="8"/>
      <c r="FO1899" s="8"/>
      <c r="FP1899" s="8"/>
      <c r="FQ1899" s="8"/>
      <c r="FR1899" s="8"/>
      <c r="FS1899" s="8"/>
      <c r="FT1899" s="8"/>
      <c r="FU1899" s="8"/>
      <c r="FV1899" s="8"/>
      <c r="FW1899" s="8"/>
      <c r="FX1899" s="8"/>
      <c r="FY1899" s="8"/>
      <c r="FZ1899" s="8"/>
      <c r="GA1899" s="8"/>
      <c r="GB1899" s="8"/>
      <c r="GC1899" s="8"/>
      <c r="GD1899" s="8"/>
      <c r="GE1899" s="8"/>
      <c r="GF1899" s="8"/>
      <c r="GG1899" s="8"/>
      <c r="GH1899" s="8"/>
      <c r="GI1899" s="8"/>
      <c r="GJ1899" s="8"/>
      <c r="GK1899" s="8"/>
      <c r="GL1899" s="8"/>
      <c r="GM1899" s="8"/>
      <c r="GN1899" s="8"/>
      <c r="GO1899" s="8"/>
      <c r="GP1899" s="8"/>
      <c r="GQ1899" s="8"/>
      <c r="GR1899" s="8"/>
      <c r="GS1899" s="8"/>
      <c r="GT1899" s="8"/>
      <c r="GU1899" s="8"/>
      <c r="GV1899" s="8"/>
      <c r="GW1899" s="8"/>
      <c r="GX1899" s="8"/>
    </row>
    <row r="1900">
      <c r="A1900" s="8" t="str">
        <f>IFERROR(__xludf.DUMMYFUNCTION("""COMPUTED_VALUE"""),"109971920140600750")</f>
        <v>109971920140600750</v>
      </c>
      <c r="B1900" s="9" t="str">
        <f>IFERROR(__xludf.DUMMYFUNCTION("""COMPUTED_VALUE"""),"Italy")</f>
        <v>Italy</v>
      </c>
      <c r="C1900" s="9" t="str">
        <f>IFERROR(__xludf.DUMMYFUNCTION("""COMPUTED_VALUE"""),"piedmont")</f>
        <v>piedmont</v>
      </c>
      <c r="D1900" s="9" t="str">
        <f>IFERROR(__xludf.DUMMYFUNCTION("""COMPUTED_VALUE"""),"Gaja, Barolo, Conteisa")</f>
        <v>Gaja, Barolo, Conteisa</v>
      </c>
      <c r="E1900" s="9">
        <f>IFERROR(__xludf.DUMMYFUNCTION("""COMPUTED_VALUE"""),2014.0)</f>
        <v>2014</v>
      </c>
      <c r="F1900" s="9">
        <f>IFERROR(__xludf.DUMMYFUNCTION("""COMPUTED_VALUE"""),750.0)</f>
        <v>750</v>
      </c>
      <c r="G1900" s="9">
        <f>IFERROR(__xludf.DUMMYFUNCTION("""COMPUTED_VALUE"""),6.0)</f>
        <v>6</v>
      </c>
      <c r="H1900" s="10">
        <f>IFERROR(__xludf.DUMMYFUNCTION("""COMPUTED_VALUE"""),2.0)</f>
        <v>2</v>
      </c>
      <c r="I1900" s="11">
        <f>IFERROR(__xludf.DUMMYFUNCTION("""COMPUTED_VALUE"""),1019.0)</f>
        <v>1019</v>
      </c>
      <c r="J1900" s="9" t="str">
        <f>IFERROR(__xludf.DUMMYFUNCTION("""COMPUTED_VALUE"""),"UK")</f>
        <v>UK</v>
      </c>
      <c r="K1900" s="8"/>
      <c r="L1900" s="12"/>
      <c r="M1900" s="13"/>
      <c r="N1900" s="13" t="str">
        <f>IFERROR(__xludf.DUMMYFUNCTION("IF(ISBLANK(M1900),"""",M1900*GOOGLEFINANCE(""USDGBP""))"),"")</f>
        <v/>
      </c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  <c r="FG1900" s="8"/>
      <c r="FH1900" s="8"/>
      <c r="FI1900" s="8"/>
      <c r="FJ1900" s="8"/>
      <c r="FK1900" s="8"/>
      <c r="FL1900" s="8"/>
      <c r="FM1900" s="8"/>
      <c r="FN1900" s="8"/>
      <c r="FO1900" s="8"/>
      <c r="FP1900" s="8"/>
      <c r="FQ1900" s="8"/>
      <c r="FR1900" s="8"/>
      <c r="FS1900" s="8"/>
      <c r="FT1900" s="8"/>
      <c r="FU1900" s="8"/>
      <c r="FV1900" s="8"/>
      <c r="FW1900" s="8"/>
      <c r="FX1900" s="8"/>
      <c r="FY1900" s="8"/>
      <c r="FZ1900" s="8"/>
      <c r="GA1900" s="8"/>
      <c r="GB1900" s="8"/>
      <c r="GC1900" s="8"/>
      <c r="GD1900" s="8"/>
      <c r="GE1900" s="8"/>
      <c r="GF1900" s="8"/>
      <c r="GG1900" s="8"/>
      <c r="GH1900" s="8"/>
      <c r="GI1900" s="8"/>
      <c r="GJ1900" s="8"/>
      <c r="GK1900" s="8"/>
      <c r="GL1900" s="8"/>
      <c r="GM1900" s="8"/>
      <c r="GN1900" s="8"/>
      <c r="GO1900" s="8"/>
      <c r="GP1900" s="8"/>
      <c r="GQ1900" s="8"/>
      <c r="GR1900" s="8"/>
      <c r="GS1900" s="8"/>
      <c r="GT1900" s="8"/>
      <c r="GU1900" s="8"/>
      <c r="GV1900" s="8"/>
      <c r="GW1900" s="8"/>
      <c r="GX1900" s="8"/>
    </row>
    <row r="1901">
      <c r="A1901" s="8" t="str">
        <f>IFERROR(__xludf.DUMMYFUNCTION("""COMPUTED_VALUE"""),"109971920150600750")</f>
        <v>109971920150600750</v>
      </c>
      <c r="B1901" s="9" t="str">
        <f>IFERROR(__xludf.DUMMYFUNCTION("""COMPUTED_VALUE"""),"Italy")</f>
        <v>Italy</v>
      </c>
      <c r="C1901" s="9" t="str">
        <f>IFERROR(__xludf.DUMMYFUNCTION("""COMPUTED_VALUE"""),"piedmont")</f>
        <v>piedmont</v>
      </c>
      <c r="D1901" s="9" t="str">
        <f>IFERROR(__xludf.DUMMYFUNCTION("""COMPUTED_VALUE"""),"Gaja, Barolo, Conteisa")</f>
        <v>Gaja, Barolo, Conteisa</v>
      </c>
      <c r="E1901" s="9">
        <f>IFERROR(__xludf.DUMMYFUNCTION("""COMPUTED_VALUE"""),2015.0)</f>
        <v>2015</v>
      </c>
      <c r="F1901" s="9">
        <f>IFERROR(__xludf.DUMMYFUNCTION("""COMPUTED_VALUE"""),750.0)</f>
        <v>750</v>
      </c>
      <c r="G1901" s="9">
        <f>IFERROR(__xludf.DUMMYFUNCTION("""COMPUTED_VALUE"""),6.0)</f>
        <v>6</v>
      </c>
      <c r="H1901" s="10">
        <f>IFERROR(__xludf.DUMMYFUNCTION("""COMPUTED_VALUE"""),2.0)</f>
        <v>2</v>
      </c>
      <c r="I1901" s="11">
        <f>IFERROR(__xludf.DUMMYFUNCTION("""COMPUTED_VALUE"""),974.0)</f>
        <v>974</v>
      </c>
      <c r="J1901" s="9" t="str">
        <f>IFERROR(__xludf.DUMMYFUNCTION("""COMPUTED_VALUE"""),"UK")</f>
        <v>UK</v>
      </c>
      <c r="K1901" s="8"/>
      <c r="L1901" s="12"/>
      <c r="M1901" s="13"/>
      <c r="N1901" s="13" t="str">
        <f>IFERROR(__xludf.DUMMYFUNCTION("IF(ISBLANK(M1901),"""",M1901*GOOGLEFINANCE(""USDGBP""))"),"")</f>
        <v/>
      </c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  <c r="FG1901" s="8"/>
      <c r="FH1901" s="8"/>
      <c r="FI1901" s="8"/>
      <c r="FJ1901" s="8"/>
      <c r="FK1901" s="8"/>
      <c r="FL1901" s="8"/>
      <c r="FM1901" s="8"/>
      <c r="FN1901" s="8"/>
      <c r="FO1901" s="8"/>
      <c r="FP1901" s="8"/>
      <c r="FQ1901" s="8"/>
      <c r="FR1901" s="8"/>
      <c r="FS1901" s="8"/>
      <c r="FT1901" s="8"/>
      <c r="FU1901" s="8"/>
      <c r="FV1901" s="8"/>
      <c r="FW1901" s="8"/>
      <c r="FX1901" s="8"/>
      <c r="FY1901" s="8"/>
      <c r="FZ1901" s="8"/>
      <c r="GA1901" s="8"/>
      <c r="GB1901" s="8"/>
      <c r="GC1901" s="8"/>
      <c r="GD1901" s="8"/>
      <c r="GE1901" s="8"/>
      <c r="GF1901" s="8"/>
      <c r="GG1901" s="8"/>
      <c r="GH1901" s="8"/>
      <c r="GI1901" s="8"/>
      <c r="GJ1901" s="8"/>
      <c r="GK1901" s="8"/>
      <c r="GL1901" s="8"/>
      <c r="GM1901" s="8"/>
      <c r="GN1901" s="8"/>
      <c r="GO1901" s="8"/>
      <c r="GP1901" s="8"/>
      <c r="GQ1901" s="8"/>
      <c r="GR1901" s="8"/>
      <c r="GS1901" s="8"/>
      <c r="GT1901" s="8"/>
      <c r="GU1901" s="8"/>
      <c r="GV1901" s="8"/>
      <c r="GW1901" s="8"/>
      <c r="GX1901" s="8"/>
    </row>
    <row r="1902">
      <c r="A1902" s="8" t="str">
        <f>IFERROR(__xludf.DUMMYFUNCTION("""COMPUTED_VALUE"""),"117187520160600750")</f>
        <v>117187520160600750</v>
      </c>
      <c r="B1902" s="9" t="str">
        <f>IFERROR(__xludf.DUMMYFUNCTION("""COMPUTED_VALUE"""),"Italy")</f>
        <v>Italy</v>
      </c>
      <c r="C1902" s="9" t="str">
        <f>IFERROR(__xludf.DUMMYFUNCTION("""COMPUTED_VALUE"""),"piedmont")</f>
        <v>piedmont</v>
      </c>
      <c r="D1902" s="9" t="str">
        <f>IFERROR(__xludf.DUMMYFUNCTION("""COMPUTED_VALUE"""),"Gaja, Barolo, Dagromis")</f>
        <v>Gaja, Barolo, Dagromis</v>
      </c>
      <c r="E1902" s="9">
        <f>IFERROR(__xludf.DUMMYFUNCTION("""COMPUTED_VALUE"""),2016.0)</f>
        <v>2016</v>
      </c>
      <c r="F1902" s="9">
        <f>IFERROR(__xludf.DUMMYFUNCTION("""COMPUTED_VALUE"""),750.0)</f>
        <v>750</v>
      </c>
      <c r="G1902" s="9">
        <f>IFERROR(__xludf.DUMMYFUNCTION("""COMPUTED_VALUE"""),6.0)</f>
        <v>6</v>
      </c>
      <c r="H1902" s="10">
        <f>IFERROR(__xludf.DUMMYFUNCTION("""COMPUTED_VALUE"""),5.0)</f>
        <v>5</v>
      </c>
      <c r="I1902" s="11">
        <f>IFERROR(__xludf.DUMMYFUNCTION("""COMPUTED_VALUE"""),433.0)</f>
        <v>433</v>
      </c>
      <c r="J1902" s="9" t="str">
        <f>IFERROR(__xludf.DUMMYFUNCTION("""COMPUTED_VALUE"""),"UK")</f>
        <v>UK</v>
      </c>
      <c r="K1902" s="8"/>
      <c r="L1902" s="12"/>
      <c r="M1902" s="13"/>
      <c r="N1902" s="13" t="str">
        <f>IFERROR(__xludf.DUMMYFUNCTION("IF(ISBLANK(M1902),"""",M1902*GOOGLEFINANCE(""USDGBP""))"),"")</f>
        <v/>
      </c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  <c r="FG1902" s="8"/>
      <c r="FH1902" s="8"/>
      <c r="FI1902" s="8"/>
      <c r="FJ1902" s="8"/>
      <c r="FK1902" s="8"/>
      <c r="FL1902" s="8"/>
      <c r="FM1902" s="8"/>
      <c r="FN1902" s="8"/>
      <c r="FO1902" s="8"/>
      <c r="FP1902" s="8"/>
      <c r="FQ1902" s="8"/>
      <c r="FR1902" s="8"/>
      <c r="FS1902" s="8"/>
      <c r="FT1902" s="8"/>
      <c r="FU1902" s="8"/>
      <c r="FV1902" s="8"/>
      <c r="FW1902" s="8"/>
      <c r="FX1902" s="8"/>
      <c r="FY1902" s="8"/>
      <c r="FZ1902" s="8"/>
      <c r="GA1902" s="8"/>
      <c r="GB1902" s="8"/>
      <c r="GC1902" s="8"/>
      <c r="GD1902" s="8"/>
      <c r="GE1902" s="8"/>
      <c r="GF1902" s="8"/>
      <c r="GG1902" s="8"/>
      <c r="GH1902" s="8"/>
      <c r="GI1902" s="8"/>
      <c r="GJ1902" s="8"/>
      <c r="GK1902" s="8"/>
      <c r="GL1902" s="8"/>
      <c r="GM1902" s="8"/>
      <c r="GN1902" s="8"/>
      <c r="GO1902" s="8"/>
      <c r="GP1902" s="8"/>
      <c r="GQ1902" s="8"/>
      <c r="GR1902" s="8"/>
      <c r="GS1902" s="8"/>
      <c r="GT1902" s="8"/>
      <c r="GU1902" s="8"/>
      <c r="GV1902" s="8"/>
      <c r="GW1902" s="8"/>
      <c r="GX1902" s="8"/>
    </row>
    <row r="1903">
      <c r="A1903" s="8" t="str">
        <f>IFERROR(__xludf.DUMMYFUNCTION("""COMPUTED_VALUE"""),"109963420090600750")</f>
        <v>109963420090600750</v>
      </c>
      <c r="B1903" s="9" t="str">
        <f>IFERROR(__xludf.DUMMYFUNCTION("""COMPUTED_VALUE"""),"Italy")</f>
        <v>Italy</v>
      </c>
      <c r="C1903" s="9" t="str">
        <f>IFERROR(__xludf.DUMMYFUNCTION("""COMPUTED_VALUE"""),"piedmont")</f>
        <v>piedmont</v>
      </c>
      <c r="D1903" s="9" t="str">
        <f>IFERROR(__xludf.DUMMYFUNCTION("""COMPUTED_VALUE"""),"Gaja, Barolo, Sperss")</f>
        <v>Gaja, Barolo, Sperss</v>
      </c>
      <c r="E1903" s="9">
        <f>IFERROR(__xludf.DUMMYFUNCTION("""COMPUTED_VALUE"""),2009.0)</f>
        <v>2009</v>
      </c>
      <c r="F1903" s="9">
        <f>IFERROR(__xludf.DUMMYFUNCTION("""COMPUTED_VALUE"""),750.0)</f>
        <v>750</v>
      </c>
      <c r="G1903" s="9">
        <f>IFERROR(__xludf.DUMMYFUNCTION("""COMPUTED_VALUE"""),6.0)</f>
        <v>6</v>
      </c>
      <c r="H1903" s="10">
        <f>IFERROR(__xludf.DUMMYFUNCTION("""COMPUTED_VALUE"""),2.0)</f>
        <v>2</v>
      </c>
      <c r="I1903" s="11">
        <f>IFERROR(__xludf.DUMMYFUNCTION("""COMPUTED_VALUE"""),1242.0)</f>
        <v>1242</v>
      </c>
      <c r="J1903" s="9" t="str">
        <f>IFERROR(__xludf.DUMMYFUNCTION("""COMPUTED_VALUE"""),"UK")</f>
        <v>UK</v>
      </c>
      <c r="K1903" s="8"/>
      <c r="L1903" s="12"/>
      <c r="M1903" s="13"/>
      <c r="N1903" s="13" t="str">
        <f>IFERROR(__xludf.DUMMYFUNCTION("IF(ISBLANK(M1903),"""",M1903*GOOGLEFINANCE(""USDGBP""))"),"")</f>
        <v/>
      </c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  <c r="FG1903" s="8"/>
      <c r="FH1903" s="8"/>
      <c r="FI1903" s="8"/>
      <c r="FJ1903" s="8"/>
      <c r="FK1903" s="8"/>
      <c r="FL1903" s="8"/>
      <c r="FM1903" s="8"/>
      <c r="FN1903" s="8"/>
      <c r="FO1903" s="8"/>
      <c r="FP1903" s="8"/>
      <c r="FQ1903" s="8"/>
      <c r="FR1903" s="8"/>
      <c r="FS1903" s="8"/>
      <c r="FT1903" s="8"/>
      <c r="FU1903" s="8"/>
      <c r="FV1903" s="8"/>
      <c r="FW1903" s="8"/>
      <c r="FX1903" s="8"/>
      <c r="FY1903" s="8"/>
      <c r="FZ1903" s="8"/>
      <c r="GA1903" s="8"/>
      <c r="GB1903" s="8"/>
      <c r="GC1903" s="8"/>
      <c r="GD1903" s="8"/>
      <c r="GE1903" s="8"/>
      <c r="GF1903" s="8"/>
      <c r="GG1903" s="8"/>
      <c r="GH1903" s="8"/>
      <c r="GI1903" s="8"/>
      <c r="GJ1903" s="8"/>
      <c r="GK1903" s="8"/>
      <c r="GL1903" s="8"/>
      <c r="GM1903" s="8"/>
      <c r="GN1903" s="8"/>
      <c r="GO1903" s="8"/>
      <c r="GP1903" s="8"/>
      <c r="GQ1903" s="8"/>
      <c r="GR1903" s="8"/>
      <c r="GS1903" s="8"/>
      <c r="GT1903" s="8"/>
      <c r="GU1903" s="8"/>
      <c r="GV1903" s="8"/>
      <c r="GW1903" s="8"/>
      <c r="GX1903" s="8"/>
    </row>
    <row r="1904">
      <c r="A1904" s="8" t="str">
        <f>IFERROR(__xludf.DUMMYFUNCTION("""COMPUTED_VALUE"""),"109963420140600750")</f>
        <v>109963420140600750</v>
      </c>
      <c r="B1904" s="9" t="str">
        <f>IFERROR(__xludf.DUMMYFUNCTION("""COMPUTED_VALUE"""),"Italy")</f>
        <v>Italy</v>
      </c>
      <c r="C1904" s="9" t="str">
        <f>IFERROR(__xludf.DUMMYFUNCTION("""COMPUTED_VALUE"""),"piedmont")</f>
        <v>piedmont</v>
      </c>
      <c r="D1904" s="9" t="str">
        <f>IFERROR(__xludf.DUMMYFUNCTION("""COMPUTED_VALUE"""),"Gaja, Barolo, Sperss")</f>
        <v>Gaja, Barolo, Sperss</v>
      </c>
      <c r="E1904" s="9">
        <f>IFERROR(__xludf.DUMMYFUNCTION("""COMPUTED_VALUE"""),2014.0)</f>
        <v>2014</v>
      </c>
      <c r="F1904" s="9">
        <f>IFERROR(__xludf.DUMMYFUNCTION("""COMPUTED_VALUE"""),750.0)</f>
        <v>750</v>
      </c>
      <c r="G1904" s="9">
        <f>IFERROR(__xludf.DUMMYFUNCTION("""COMPUTED_VALUE"""),6.0)</f>
        <v>6</v>
      </c>
      <c r="H1904" s="10">
        <f>IFERROR(__xludf.DUMMYFUNCTION("""COMPUTED_VALUE"""),2.0)</f>
        <v>2</v>
      </c>
      <c r="I1904" s="11">
        <f>IFERROR(__xludf.DUMMYFUNCTION("""COMPUTED_VALUE"""),1075.0)</f>
        <v>1075</v>
      </c>
      <c r="J1904" s="9" t="str">
        <f>IFERROR(__xludf.DUMMYFUNCTION("""COMPUTED_VALUE"""),"UK")</f>
        <v>UK</v>
      </c>
      <c r="K1904" s="8"/>
      <c r="L1904" s="12"/>
      <c r="M1904" s="13"/>
      <c r="N1904" s="13" t="str">
        <f>IFERROR(__xludf.DUMMYFUNCTION("IF(ISBLANK(M1904),"""",M1904*GOOGLEFINANCE(""USDGBP""))"),"")</f>
        <v/>
      </c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  <c r="FG1904" s="8"/>
      <c r="FH1904" s="8"/>
      <c r="FI1904" s="8"/>
      <c r="FJ1904" s="8"/>
      <c r="FK1904" s="8"/>
      <c r="FL1904" s="8"/>
      <c r="FM1904" s="8"/>
      <c r="FN1904" s="8"/>
      <c r="FO1904" s="8"/>
      <c r="FP1904" s="8"/>
      <c r="FQ1904" s="8"/>
      <c r="FR1904" s="8"/>
      <c r="FS1904" s="8"/>
      <c r="FT1904" s="8"/>
      <c r="FU1904" s="8"/>
      <c r="FV1904" s="8"/>
      <c r="FW1904" s="8"/>
      <c r="FX1904" s="8"/>
      <c r="FY1904" s="8"/>
      <c r="FZ1904" s="8"/>
      <c r="GA1904" s="8"/>
      <c r="GB1904" s="8"/>
      <c r="GC1904" s="8"/>
      <c r="GD1904" s="8"/>
      <c r="GE1904" s="8"/>
      <c r="GF1904" s="8"/>
      <c r="GG1904" s="8"/>
      <c r="GH1904" s="8"/>
      <c r="GI1904" s="8"/>
      <c r="GJ1904" s="8"/>
      <c r="GK1904" s="8"/>
      <c r="GL1904" s="8"/>
      <c r="GM1904" s="8"/>
      <c r="GN1904" s="8"/>
      <c r="GO1904" s="8"/>
      <c r="GP1904" s="8"/>
      <c r="GQ1904" s="8"/>
      <c r="GR1904" s="8"/>
      <c r="GS1904" s="8"/>
      <c r="GT1904" s="8"/>
      <c r="GU1904" s="8"/>
      <c r="GV1904" s="8"/>
      <c r="GW1904" s="8"/>
      <c r="GX1904" s="8"/>
    </row>
    <row r="1905">
      <c r="A1905" s="8" t="str">
        <f>IFERROR(__xludf.DUMMYFUNCTION("""COMPUTED_VALUE"""),"182687620150600750")</f>
        <v>182687620150600750</v>
      </c>
      <c r="B1905" s="9" t="str">
        <f>IFERROR(__xludf.DUMMYFUNCTION("""COMPUTED_VALUE"""),"Italy")</f>
        <v>Italy</v>
      </c>
      <c r="C1905" s="9" t="str">
        <f>IFERROR(__xludf.DUMMYFUNCTION("""COMPUTED_VALUE"""),"piedmont")</f>
        <v>piedmont</v>
      </c>
      <c r="D1905" s="9" t="str">
        <f>IFERROR(__xludf.DUMMYFUNCTION("""COMPUTED_VALUE"""),"Giacomo Conterno, Barolo, Arione")</f>
        <v>Giacomo Conterno, Barolo, Arione</v>
      </c>
      <c r="E1905" s="9">
        <f>IFERROR(__xludf.DUMMYFUNCTION("""COMPUTED_VALUE"""),2015.0)</f>
        <v>2015</v>
      </c>
      <c r="F1905" s="9">
        <f>IFERROR(__xludf.DUMMYFUNCTION("""COMPUTED_VALUE"""),750.0)</f>
        <v>750</v>
      </c>
      <c r="G1905" s="9">
        <f>IFERROR(__xludf.DUMMYFUNCTION("""COMPUTED_VALUE"""),6.0)</f>
        <v>6</v>
      </c>
      <c r="H1905" s="10">
        <f>IFERROR(__xludf.DUMMYFUNCTION("""COMPUTED_VALUE"""),1.0)</f>
        <v>1</v>
      </c>
      <c r="I1905" s="11">
        <f>IFERROR(__xludf.DUMMYFUNCTION("""COMPUTED_VALUE"""),1159.0)</f>
        <v>1159</v>
      </c>
      <c r="J1905" s="9" t="str">
        <f>IFERROR(__xludf.DUMMYFUNCTION("""COMPUTED_VALUE"""),"UK")</f>
        <v>UK</v>
      </c>
      <c r="K1905" s="8"/>
      <c r="L1905" s="12"/>
      <c r="M1905" s="13"/>
      <c r="N1905" s="13" t="str">
        <f>IFERROR(__xludf.DUMMYFUNCTION("IF(ISBLANK(M1905),"""",M1905*GOOGLEFINANCE(""USDGBP""))"),"")</f>
        <v/>
      </c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  <c r="FG1905" s="8"/>
      <c r="FH1905" s="8"/>
      <c r="FI1905" s="8"/>
      <c r="FJ1905" s="8"/>
      <c r="FK1905" s="8"/>
      <c r="FL1905" s="8"/>
      <c r="FM1905" s="8"/>
      <c r="FN1905" s="8"/>
      <c r="FO1905" s="8"/>
      <c r="FP1905" s="8"/>
      <c r="FQ1905" s="8"/>
      <c r="FR1905" s="8"/>
      <c r="FS1905" s="8"/>
      <c r="FT1905" s="8"/>
      <c r="FU1905" s="8"/>
      <c r="FV1905" s="8"/>
      <c r="FW1905" s="8"/>
      <c r="FX1905" s="8"/>
      <c r="FY1905" s="8"/>
      <c r="FZ1905" s="8"/>
      <c r="GA1905" s="8"/>
      <c r="GB1905" s="8"/>
      <c r="GC1905" s="8"/>
      <c r="GD1905" s="8"/>
      <c r="GE1905" s="8"/>
      <c r="GF1905" s="8"/>
      <c r="GG1905" s="8"/>
      <c r="GH1905" s="8"/>
      <c r="GI1905" s="8"/>
      <c r="GJ1905" s="8"/>
      <c r="GK1905" s="8"/>
      <c r="GL1905" s="8"/>
      <c r="GM1905" s="8"/>
      <c r="GN1905" s="8"/>
      <c r="GO1905" s="8"/>
      <c r="GP1905" s="8"/>
      <c r="GQ1905" s="8"/>
      <c r="GR1905" s="8"/>
      <c r="GS1905" s="8"/>
      <c r="GT1905" s="8"/>
      <c r="GU1905" s="8"/>
      <c r="GV1905" s="8"/>
      <c r="GW1905" s="8"/>
      <c r="GX1905" s="8"/>
    </row>
    <row r="1906">
      <c r="A1906" s="8" t="str">
        <f>IFERROR(__xludf.DUMMYFUNCTION("""COMPUTED_VALUE"""),"182687620160600750")</f>
        <v>182687620160600750</v>
      </c>
      <c r="B1906" s="9" t="str">
        <f>IFERROR(__xludf.DUMMYFUNCTION("""COMPUTED_VALUE"""),"Italy")</f>
        <v>Italy</v>
      </c>
      <c r="C1906" s="9" t="str">
        <f>IFERROR(__xludf.DUMMYFUNCTION("""COMPUTED_VALUE"""),"piedmont")</f>
        <v>piedmont</v>
      </c>
      <c r="D1906" s="9" t="str">
        <f>IFERROR(__xludf.DUMMYFUNCTION("""COMPUTED_VALUE"""),"Giacomo Conterno, Barolo, Arione")</f>
        <v>Giacomo Conterno, Barolo, Arione</v>
      </c>
      <c r="E1906" s="9">
        <f>IFERROR(__xludf.DUMMYFUNCTION("""COMPUTED_VALUE"""),2016.0)</f>
        <v>2016</v>
      </c>
      <c r="F1906" s="9">
        <f>IFERROR(__xludf.DUMMYFUNCTION("""COMPUTED_VALUE"""),750.0)</f>
        <v>750</v>
      </c>
      <c r="G1906" s="9">
        <f>IFERROR(__xludf.DUMMYFUNCTION("""COMPUTED_VALUE"""),6.0)</f>
        <v>6</v>
      </c>
      <c r="H1906" s="10">
        <f>IFERROR(__xludf.DUMMYFUNCTION("""COMPUTED_VALUE"""),5.0)</f>
        <v>5</v>
      </c>
      <c r="I1906" s="11">
        <f>IFERROR(__xludf.DUMMYFUNCTION("""COMPUTED_VALUE"""),1382.0)</f>
        <v>1382</v>
      </c>
      <c r="J1906" s="9" t="str">
        <f>IFERROR(__xludf.DUMMYFUNCTION("""COMPUTED_VALUE"""),"UK")</f>
        <v>UK</v>
      </c>
      <c r="K1906" s="8"/>
      <c r="L1906" s="12"/>
      <c r="M1906" s="13"/>
      <c r="N1906" s="13" t="str">
        <f>IFERROR(__xludf.DUMMYFUNCTION("IF(ISBLANK(M1906),"""",M1906*GOOGLEFINANCE(""USDGBP""))"),"")</f>
        <v/>
      </c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  <c r="FG1906" s="8"/>
      <c r="FH1906" s="8"/>
      <c r="FI1906" s="8"/>
      <c r="FJ1906" s="8"/>
      <c r="FK1906" s="8"/>
      <c r="FL1906" s="8"/>
      <c r="FM1906" s="8"/>
      <c r="FN1906" s="8"/>
      <c r="FO1906" s="8"/>
      <c r="FP1906" s="8"/>
      <c r="FQ1906" s="8"/>
      <c r="FR1906" s="8"/>
      <c r="FS1906" s="8"/>
      <c r="FT1906" s="8"/>
      <c r="FU1906" s="8"/>
      <c r="FV1906" s="8"/>
      <c r="FW1906" s="8"/>
      <c r="FX1906" s="8"/>
      <c r="FY1906" s="8"/>
      <c r="FZ1906" s="8"/>
      <c r="GA1906" s="8"/>
      <c r="GB1906" s="8"/>
      <c r="GC1906" s="8"/>
      <c r="GD1906" s="8"/>
      <c r="GE1906" s="8"/>
      <c r="GF1906" s="8"/>
      <c r="GG1906" s="8"/>
      <c r="GH1906" s="8"/>
      <c r="GI1906" s="8"/>
      <c r="GJ1906" s="8"/>
      <c r="GK1906" s="8"/>
      <c r="GL1906" s="8"/>
      <c r="GM1906" s="8"/>
      <c r="GN1906" s="8"/>
      <c r="GO1906" s="8"/>
      <c r="GP1906" s="8"/>
      <c r="GQ1906" s="8"/>
      <c r="GR1906" s="8"/>
      <c r="GS1906" s="8"/>
      <c r="GT1906" s="8"/>
      <c r="GU1906" s="8"/>
      <c r="GV1906" s="8"/>
      <c r="GW1906" s="8"/>
      <c r="GX1906" s="8"/>
    </row>
    <row r="1907">
      <c r="A1907" s="8" t="str">
        <f>IFERROR(__xludf.DUMMYFUNCTION("""COMPUTED_VALUE"""),"182687620160101500")</f>
        <v>182687620160101500</v>
      </c>
      <c r="B1907" s="9" t="str">
        <f>IFERROR(__xludf.DUMMYFUNCTION("""COMPUTED_VALUE"""),"Italy")</f>
        <v>Italy</v>
      </c>
      <c r="C1907" s="9" t="str">
        <f>IFERROR(__xludf.DUMMYFUNCTION("""COMPUTED_VALUE"""),"piedmont")</f>
        <v>piedmont</v>
      </c>
      <c r="D1907" s="9" t="str">
        <f>IFERROR(__xludf.DUMMYFUNCTION("""COMPUTED_VALUE"""),"Giacomo Conterno, Barolo, Arione")</f>
        <v>Giacomo Conterno, Barolo, Arione</v>
      </c>
      <c r="E1907" s="9">
        <f>IFERROR(__xludf.DUMMYFUNCTION("""COMPUTED_VALUE"""),2016.0)</f>
        <v>2016</v>
      </c>
      <c r="F1907" s="9">
        <f>IFERROR(__xludf.DUMMYFUNCTION("""COMPUTED_VALUE"""),1500.0)</f>
        <v>1500</v>
      </c>
      <c r="G1907" s="9">
        <f>IFERROR(__xludf.DUMMYFUNCTION("""COMPUTED_VALUE"""),1.0)</f>
        <v>1</v>
      </c>
      <c r="H1907" s="10">
        <f>IFERROR(__xludf.DUMMYFUNCTION("""COMPUTED_VALUE"""),1.0)</f>
        <v>1</v>
      </c>
      <c r="I1907" s="11">
        <f>IFERROR(__xludf.DUMMYFUNCTION("""COMPUTED_VALUE"""),461.0)</f>
        <v>461</v>
      </c>
      <c r="J1907" s="9" t="str">
        <f>IFERROR(__xludf.DUMMYFUNCTION("""COMPUTED_VALUE"""),"UK")</f>
        <v>UK</v>
      </c>
      <c r="K1907" s="8"/>
      <c r="L1907" s="12"/>
      <c r="M1907" s="13"/>
      <c r="N1907" s="13" t="str">
        <f>IFERROR(__xludf.DUMMYFUNCTION("IF(ISBLANK(M1907),"""",M1907*GOOGLEFINANCE(""USDGBP""))"),"")</f>
        <v/>
      </c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  <c r="FG1907" s="8"/>
      <c r="FH1907" s="8"/>
      <c r="FI1907" s="8"/>
      <c r="FJ1907" s="8"/>
      <c r="FK1907" s="8"/>
      <c r="FL1907" s="8"/>
      <c r="FM1907" s="8"/>
      <c r="FN1907" s="8"/>
      <c r="FO1907" s="8"/>
      <c r="FP1907" s="8"/>
      <c r="FQ1907" s="8"/>
      <c r="FR1907" s="8"/>
      <c r="FS1907" s="8"/>
      <c r="FT1907" s="8"/>
      <c r="FU1907" s="8"/>
      <c r="FV1907" s="8"/>
      <c r="FW1907" s="8"/>
      <c r="FX1907" s="8"/>
      <c r="FY1907" s="8"/>
      <c r="FZ1907" s="8"/>
      <c r="GA1907" s="8"/>
      <c r="GB1907" s="8"/>
      <c r="GC1907" s="8"/>
      <c r="GD1907" s="8"/>
      <c r="GE1907" s="8"/>
      <c r="GF1907" s="8"/>
      <c r="GG1907" s="8"/>
      <c r="GH1907" s="8"/>
      <c r="GI1907" s="8"/>
      <c r="GJ1907" s="8"/>
      <c r="GK1907" s="8"/>
      <c r="GL1907" s="8"/>
      <c r="GM1907" s="8"/>
      <c r="GN1907" s="8"/>
      <c r="GO1907" s="8"/>
      <c r="GP1907" s="8"/>
      <c r="GQ1907" s="8"/>
      <c r="GR1907" s="8"/>
      <c r="GS1907" s="8"/>
      <c r="GT1907" s="8"/>
      <c r="GU1907" s="8"/>
      <c r="GV1907" s="8"/>
      <c r="GW1907" s="8"/>
      <c r="GX1907" s="8"/>
    </row>
    <row r="1908">
      <c r="A1908" s="8" t="str">
        <f>IFERROR(__xludf.DUMMYFUNCTION("""COMPUTED_VALUE"""),"182687620170600750")</f>
        <v>182687620170600750</v>
      </c>
      <c r="B1908" s="9" t="str">
        <f>IFERROR(__xludf.DUMMYFUNCTION("""COMPUTED_VALUE"""),"Italy")</f>
        <v>Italy</v>
      </c>
      <c r="C1908" s="9" t="str">
        <f>IFERROR(__xludf.DUMMYFUNCTION("""COMPUTED_VALUE"""),"piedmont")</f>
        <v>piedmont</v>
      </c>
      <c r="D1908" s="9" t="str">
        <f>IFERROR(__xludf.DUMMYFUNCTION("""COMPUTED_VALUE"""),"Giacomo Conterno, Barolo, Arione")</f>
        <v>Giacomo Conterno, Barolo, Arione</v>
      </c>
      <c r="E1908" s="9">
        <f>IFERROR(__xludf.DUMMYFUNCTION("""COMPUTED_VALUE"""),2017.0)</f>
        <v>2017</v>
      </c>
      <c r="F1908" s="9">
        <f>IFERROR(__xludf.DUMMYFUNCTION("""COMPUTED_VALUE"""),750.0)</f>
        <v>750</v>
      </c>
      <c r="G1908" s="9">
        <f>IFERROR(__xludf.DUMMYFUNCTION("""COMPUTED_VALUE"""),6.0)</f>
        <v>6</v>
      </c>
      <c r="H1908" s="10">
        <f>IFERROR(__xludf.DUMMYFUNCTION("""COMPUTED_VALUE"""),3.0)</f>
        <v>3</v>
      </c>
      <c r="I1908" s="11">
        <f>IFERROR(__xludf.DUMMYFUNCTION("""COMPUTED_VALUE"""),1150.0)</f>
        <v>1150</v>
      </c>
      <c r="J1908" s="9" t="str">
        <f>IFERROR(__xludf.DUMMYFUNCTION("""COMPUTED_VALUE"""),"UK")</f>
        <v>UK</v>
      </c>
      <c r="K1908" s="8"/>
      <c r="L1908" s="12"/>
      <c r="M1908" s="13"/>
      <c r="N1908" s="13" t="str">
        <f>IFERROR(__xludf.DUMMYFUNCTION("IF(ISBLANK(M1908),"""",M1908*GOOGLEFINANCE(""USDGBP""))"),"")</f>
        <v/>
      </c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  <c r="FG1908" s="8"/>
      <c r="FH1908" s="8"/>
      <c r="FI1908" s="8"/>
      <c r="FJ1908" s="8"/>
      <c r="FK1908" s="8"/>
      <c r="FL1908" s="8"/>
      <c r="FM1908" s="8"/>
      <c r="FN1908" s="8"/>
      <c r="FO1908" s="8"/>
      <c r="FP1908" s="8"/>
      <c r="FQ1908" s="8"/>
      <c r="FR1908" s="8"/>
      <c r="FS1908" s="8"/>
      <c r="FT1908" s="8"/>
      <c r="FU1908" s="8"/>
      <c r="FV1908" s="8"/>
      <c r="FW1908" s="8"/>
      <c r="FX1908" s="8"/>
      <c r="FY1908" s="8"/>
      <c r="FZ1908" s="8"/>
      <c r="GA1908" s="8"/>
      <c r="GB1908" s="8"/>
      <c r="GC1908" s="8"/>
      <c r="GD1908" s="8"/>
      <c r="GE1908" s="8"/>
      <c r="GF1908" s="8"/>
      <c r="GG1908" s="8"/>
      <c r="GH1908" s="8"/>
      <c r="GI1908" s="8"/>
      <c r="GJ1908" s="8"/>
      <c r="GK1908" s="8"/>
      <c r="GL1908" s="8"/>
      <c r="GM1908" s="8"/>
      <c r="GN1908" s="8"/>
      <c r="GO1908" s="8"/>
      <c r="GP1908" s="8"/>
      <c r="GQ1908" s="8"/>
      <c r="GR1908" s="8"/>
      <c r="GS1908" s="8"/>
      <c r="GT1908" s="8"/>
      <c r="GU1908" s="8"/>
      <c r="GV1908" s="8"/>
      <c r="GW1908" s="8"/>
      <c r="GX1908" s="8"/>
    </row>
    <row r="1909">
      <c r="A1909" s="8" t="str">
        <f>IFERROR(__xludf.DUMMYFUNCTION("""COMPUTED_VALUE"""),"182687620170101500")</f>
        <v>182687620170101500</v>
      </c>
      <c r="B1909" s="9" t="str">
        <f>IFERROR(__xludf.DUMMYFUNCTION("""COMPUTED_VALUE"""),"Italy")</f>
        <v>Italy</v>
      </c>
      <c r="C1909" s="9" t="str">
        <f>IFERROR(__xludf.DUMMYFUNCTION("""COMPUTED_VALUE"""),"piedmont")</f>
        <v>piedmont</v>
      </c>
      <c r="D1909" s="9" t="str">
        <f>IFERROR(__xludf.DUMMYFUNCTION("""COMPUTED_VALUE"""),"Giacomo Conterno, Barolo, Arione")</f>
        <v>Giacomo Conterno, Barolo, Arione</v>
      </c>
      <c r="E1909" s="9">
        <f>IFERROR(__xludf.DUMMYFUNCTION("""COMPUTED_VALUE"""),2017.0)</f>
        <v>2017</v>
      </c>
      <c r="F1909" s="9">
        <f>IFERROR(__xludf.DUMMYFUNCTION("""COMPUTED_VALUE"""),1500.0)</f>
        <v>1500</v>
      </c>
      <c r="G1909" s="9">
        <f>IFERROR(__xludf.DUMMYFUNCTION("""COMPUTED_VALUE"""),1.0)</f>
        <v>1</v>
      </c>
      <c r="H1909" s="10">
        <f>IFERROR(__xludf.DUMMYFUNCTION("""COMPUTED_VALUE"""),1.0)</f>
        <v>1</v>
      </c>
      <c r="I1909" s="11">
        <f>IFERROR(__xludf.DUMMYFUNCTION("""COMPUTED_VALUE"""),375.0)</f>
        <v>375</v>
      </c>
      <c r="J1909" s="9" t="str">
        <f>IFERROR(__xludf.DUMMYFUNCTION("""COMPUTED_VALUE"""),"UK")</f>
        <v>UK</v>
      </c>
      <c r="K1909" s="8"/>
      <c r="L1909" s="12"/>
      <c r="M1909" s="13"/>
      <c r="N1909" s="13" t="str">
        <f>IFERROR(__xludf.DUMMYFUNCTION("IF(ISBLANK(M1909),"""",M1909*GOOGLEFINANCE(""USDGBP""))"),"")</f>
        <v/>
      </c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  <c r="FG1909" s="8"/>
      <c r="FH1909" s="8"/>
      <c r="FI1909" s="8"/>
      <c r="FJ1909" s="8"/>
      <c r="FK1909" s="8"/>
      <c r="FL1909" s="8"/>
      <c r="FM1909" s="8"/>
      <c r="FN1909" s="8"/>
      <c r="FO1909" s="8"/>
      <c r="FP1909" s="8"/>
      <c r="FQ1909" s="8"/>
      <c r="FR1909" s="8"/>
      <c r="FS1909" s="8"/>
      <c r="FT1909" s="8"/>
      <c r="FU1909" s="8"/>
      <c r="FV1909" s="8"/>
      <c r="FW1909" s="8"/>
      <c r="FX1909" s="8"/>
      <c r="FY1909" s="8"/>
      <c r="FZ1909" s="8"/>
      <c r="GA1909" s="8"/>
      <c r="GB1909" s="8"/>
      <c r="GC1909" s="8"/>
      <c r="GD1909" s="8"/>
      <c r="GE1909" s="8"/>
      <c r="GF1909" s="8"/>
      <c r="GG1909" s="8"/>
      <c r="GH1909" s="8"/>
      <c r="GI1909" s="8"/>
      <c r="GJ1909" s="8"/>
      <c r="GK1909" s="8"/>
      <c r="GL1909" s="8"/>
      <c r="GM1909" s="8"/>
      <c r="GN1909" s="8"/>
      <c r="GO1909" s="8"/>
      <c r="GP1909" s="8"/>
      <c r="GQ1909" s="8"/>
      <c r="GR1909" s="8"/>
      <c r="GS1909" s="8"/>
      <c r="GT1909" s="8"/>
      <c r="GU1909" s="8"/>
      <c r="GV1909" s="8"/>
      <c r="GW1909" s="8"/>
      <c r="GX1909" s="8"/>
    </row>
    <row r="1910">
      <c r="A1910" s="8" t="str">
        <f>IFERROR(__xludf.DUMMYFUNCTION("""COMPUTED_VALUE"""),"130681320160600750")</f>
        <v>130681320160600750</v>
      </c>
      <c r="B1910" s="9" t="str">
        <f>IFERROR(__xludf.DUMMYFUNCTION("""COMPUTED_VALUE"""),"Italy")</f>
        <v>Italy</v>
      </c>
      <c r="C1910" s="9" t="str">
        <f>IFERROR(__xludf.DUMMYFUNCTION("""COMPUTED_VALUE"""),"piedmont")</f>
        <v>piedmont</v>
      </c>
      <c r="D1910" s="9" t="str">
        <f>IFERROR(__xludf.DUMMYFUNCTION("""COMPUTED_VALUE"""),"Giacomo Conterno, Barolo, Cerretta")</f>
        <v>Giacomo Conterno, Barolo, Cerretta</v>
      </c>
      <c r="E1910" s="9">
        <f>IFERROR(__xludf.DUMMYFUNCTION("""COMPUTED_VALUE"""),2016.0)</f>
        <v>2016</v>
      </c>
      <c r="F1910" s="9">
        <f>IFERROR(__xludf.DUMMYFUNCTION("""COMPUTED_VALUE"""),750.0)</f>
        <v>750</v>
      </c>
      <c r="G1910" s="9">
        <f>IFERROR(__xludf.DUMMYFUNCTION("""COMPUTED_VALUE"""),6.0)</f>
        <v>6</v>
      </c>
      <c r="H1910" s="10">
        <f>IFERROR(__xludf.DUMMYFUNCTION("""COMPUTED_VALUE"""),1.0)</f>
        <v>1</v>
      </c>
      <c r="I1910" s="11">
        <f>IFERROR(__xludf.DUMMYFUNCTION("""COMPUTED_VALUE"""),1425.0)</f>
        <v>1425</v>
      </c>
      <c r="J1910" s="9" t="str">
        <f>IFERROR(__xludf.DUMMYFUNCTION("""COMPUTED_VALUE"""),"UK")</f>
        <v>UK</v>
      </c>
      <c r="K1910" s="8"/>
      <c r="L1910" s="12"/>
      <c r="M1910" s="13"/>
      <c r="N1910" s="13" t="str">
        <f>IFERROR(__xludf.DUMMYFUNCTION("IF(ISBLANK(M1910),"""",M1910*GOOGLEFINANCE(""USDGBP""))"),"")</f>
        <v/>
      </c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  <c r="FG1910" s="8"/>
      <c r="FH1910" s="8"/>
      <c r="FI1910" s="8"/>
      <c r="FJ1910" s="8"/>
      <c r="FK1910" s="8"/>
      <c r="FL1910" s="8"/>
      <c r="FM1910" s="8"/>
      <c r="FN1910" s="8"/>
      <c r="FO1910" s="8"/>
      <c r="FP1910" s="8"/>
      <c r="FQ1910" s="8"/>
      <c r="FR1910" s="8"/>
      <c r="FS1910" s="8"/>
      <c r="FT1910" s="8"/>
      <c r="FU1910" s="8"/>
      <c r="FV1910" s="8"/>
      <c r="FW1910" s="8"/>
      <c r="FX1910" s="8"/>
      <c r="FY1910" s="8"/>
      <c r="FZ1910" s="8"/>
      <c r="GA1910" s="8"/>
      <c r="GB1910" s="8"/>
      <c r="GC1910" s="8"/>
      <c r="GD1910" s="8"/>
      <c r="GE1910" s="8"/>
      <c r="GF1910" s="8"/>
      <c r="GG1910" s="8"/>
      <c r="GH1910" s="8"/>
      <c r="GI1910" s="8"/>
      <c r="GJ1910" s="8"/>
      <c r="GK1910" s="8"/>
      <c r="GL1910" s="8"/>
      <c r="GM1910" s="8"/>
      <c r="GN1910" s="8"/>
      <c r="GO1910" s="8"/>
      <c r="GP1910" s="8"/>
      <c r="GQ1910" s="8"/>
      <c r="GR1910" s="8"/>
      <c r="GS1910" s="8"/>
      <c r="GT1910" s="8"/>
      <c r="GU1910" s="8"/>
      <c r="GV1910" s="8"/>
      <c r="GW1910" s="8"/>
      <c r="GX1910" s="8"/>
    </row>
    <row r="1911">
      <c r="A1911" s="8" t="str">
        <f>IFERROR(__xludf.DUMMYFUNCTION("""COMPUTED_VALUE"""),"130681320170600750")</f>
        <v>130681320170600750</v>
      </c>
      <c r="B1911" s="9" t="str">
        <f>IFERROR(__xludf.DUMMYFUNCTION("""COMPUTED_VALUE"""),"Italy")</f>
        <v>Italy</v>
      </c>
      <c r="C1911" s="9" t="str">
        <f>IFERROR(__xludf.DUMMYFUNCTION("""COMPUTED_VALUE"""),"piedmont")</f>
        <v>piedmont</v>
      </c>
      <c r="D1911" s="9" t="str">
        <f>IFERROR(__xludf.DUMMYFUNCTION("""COMPUTED_VALUE"""),"Giacomo Conterno, Barolo, Cerretta")</f>
        <v>Giacomo Conterno, Barolo, Cerretta</v>
      </c>
      <c r="E1911" s="9">
        <f>IFERROR(__xludf.DUMMYFUNCTION("""COMPUTED_VALUE"""),2017.0)</f>
        <v>2017</v>
      </c>
      <c r="F1911" s="9">
        <f>IFERROR(__xludf.DUMMYFUNCTION("""COMPUTED_VALUE"""),750.0)</f>
        <v>750</v>
      </c>
      <c r="G1911" s="9">
        <f>IFERROR(__xludf.DUMMYFUNCTION("""COMPUTED_VALUE"""),6.0)</f>
        <v>6</v>
      </c>
      <c r="H1911" s="10">
        <f>IFERROR(__xludf.DUMMYFUNCTION("""COMPUTED_VALUE"""),2.0)</f>
        <v>2</v>
      </c>
      <c r="I1911" s="11">
        <f>IFERROR(__xludf.DUMMYFUNCTION("""COMPUTED_VALUE"""),1151.0)</f>
        <v>1151</v>
      </c>
      <c r="J1911" s="9" t="str">
        <f>IFERROR(__xludf.DUMMYFUNCTION("""COMPUTED_VALUE"""),"UK")</f>
        <v>UK</v>
      </c>
      <c r="K1911" s="8"/>
      <c r="L1911" s="12"/>
      <c r="M1911" s="13"/>
      <c r="N1911" s="13" t="str">
        <f>IFERROR(__xludf.DUMMYFUNCTION("IF(ISBLANK(M1911),"""",M1911*GOOGLEFINANCE(""USDGBP""))"),"")</f>
        <v/>
      </c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  <c r="FG1911" s="8"/>
      <c r="FH1911" s="8"/>
      <c r="FI1911" s="8"/>
      <c r="FJ1911" s="8"/>
      <c r="FK1911" s="8"/>
      <c r="FL1911" s="8"/>
      <c r="FM1911" s="8"/>
      <c r="FN1911" s="8"/>
      <c r="FO1911" s="8"/>
      <c r="FP1911" s="8"/>
      <c r="FQ1911" s="8"/>
      <c r="FR1911" s="8"/>
      <c r="FS1911" s="8"/>
      <c r="FT1911" s="8"/>
      <c r="FU1911" s="8"/>
      <c r="FV1911" s="8"/>
      <c r="FW1911" s="8"/>
      <c r="FX1911" s="8"/>
      <c r="FY1911" s="8"/>
      <c r="FZ1911" s="8"/>
      <c r="GA1911" s="8"/>
      <c r="GB1911" s="8"/>
      <c r="GC1911" s="8"/>
      <c r="GD1911" s="8"/>
      <c r="GE1911" s="8"/>
      <c r="GF1911" s="8"/>
      <c r="GG1911" s="8"/>
      <c r="GH1911" s="8"/>
      <c r="GI1911" s="8"/>
      <c r="GJ1911" s="8"/>
      <c r="GK1911" s="8"/>
      <c r="GL1911" s="8"/>
      <c r="GM1911" s="8"/>
      <c r="GN1911" s="8"/>
      <c r="GO1911" s="8"/>
      <c r="GP1911" s="8"/>
      <c r="GQ1911" s="8"/>
      <c r="GR1911" s="8"/>
      <c r="GS1911" s="8"/>
      <c r="GT1911" s="8"/>
      <c r="GU1911" s="8"/>
      <c r="GV1911" s="8"/>
      <c r="GW1911" s="8"/>
      <c r="GX1911" s="8"/>
    </row>
    <row r="1912">
      <c r="A1912" s="8" t="str">
        <f>IFERROR(__xludf.DUMMYFUNCTION("""COMPUTED_VALUE"""),"113926220160600750")</f>
        <v>113926220160600750</v>
      </c>
      <c r="B1912" s="9" t="str">
        <f>IFERROR(__xludf.DUMMYFUNCTION("""COMPUTED_VALUE"""),"Italy")</f>
        <v>Italy</v>
      </c>
      <c r="C1912" s="9" t="str">
        <f>IFERROR(__xludf.DUMMYFUNCTION("""COMPUTED_VALUE"""),"piedmont")</f>
        <v>piedmont</v>
      </c>
      <c r="D1912" s="9" t="str">
        <f>IFERROR(__xludf.DUMMYFUNCTION("""COMPUTED_VALUE"""),"Giacomo Conterno, Barolo, Francia")</f>
        <v>Giacomo Conterno, Barolo, Francia</v>
      </c>
      <c r="E1912" s="9">
        <f>IFERROR(__xludf.DUMMYFUNCTION("""COMPUTED_VALUE"""),2016.0)</f>
        <v>2016</v>
      </c>
      <c r="F1912" s="9">
        <f>IFERROR(__xludf.DUMMYFUNCTION("""COMPUTED_VALUE"""),750.0)</f>
        <v>750</v>
      </c>
      <c r="G1912" s="9">
        <f>IFERROR(__xludf.DUMMYFUNCTION("""COMPUTED_VALUE"""),6.0)</f>
        <v>6</v>
      </c>
      <c r="H1912" s="10">
        <f>IFERROR(__xludf.DUMMYFUNCTION("""COMPUTED_VALUE"""),18.0)</f>
        <v>18</v>
      </c>
      <c r="I1912" s="11">
        <f>IFERROR(__xludf.DUMMYFUNCTION("""COMPUTED_VALUE"""),1657.0)</f>
        <v>1657</v>
      </c>
      <c r="J1912" s="9" t="str">
        <f>IFERROR(__xludf.DUMMYFUNCTION("""COMPUTED_VALUE"""),"UK")</f>
        <v>UK</v>
      </c>
      <c r="K1912" s="8"/>
      <c r="L1912" s="12"/>
      <c r="M1912" s="13"/>
      <c r="N1912" s="13" t="str">
        <f>IFERROR(__xludf.DUMMYFUNCTION("IF(ISBLANK(M1912),"""",M1912*GOOGLEFINANCE(""USDGBP""))"),"")</f>
        <v/>
      </c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  <c r="FG1912" s="8"/>
      <c r="FH1912" s="8"/>
      <c r="FI1912" s="8"/>
      <c r="FJ1912" s="8"/>
      <c r="FK1912" s="8"/>
      <c r="FL1912" s="8"/>
      <c r="FM1912" s="8"/>
      <c r="FN1912" s="8"/>
      <c r="FO1912" s="8"/>
      <c r="FP1912" s="8"/>
      <c r="FQ1912" s="8"/>
      <c r="FR1912" s="8"/>
      <c r="FS1912" s="8"/>
      <c r="FT1912" s="8"/>
      <c r="FU1912" s="8"/>
      <c r="FV1912" s="8"/>
      <c r="FW1912" s="8"/>
      <c r="FX1912" s="8"/>
      <c r="FY1912" s="8"/>
      <c r="FZ1912" s="8"/>
      <c r="GA1912" s="8"/>
      <c r="GB1912" s="8"/>
      <c r="GC1912" s="8"/>
      <c r="GD1912" s="8"/>
      <c r="GE1912" s="8"/>
      <c r="GF1912" s="8"/>
      <c r="GG1912" s="8"/>
      <c r="GH1912" s="8"/>
      <c r="GI1912" s="8"/>
      <c r="GJ1912" s="8"/>
      <c r="GK1912" s="8"/>
      <c r="GL1912" s="8"/>
      <c r="GM1912" s="8"/>
      <c r="GN1912" s="8"/>
      <c r="GO1912" s="8"/>
      <c r="GP1912" s="8"/>
      <c r="GQ1912" s="8"/>
      <c r="GR1912" s="8"/>
      <c r="GS1912" s="8"/>
      <c r="GT1912" s="8"/>
      <c r="GU1912" s="8"/>
      <c r="GV1912" s="8"/>
      <c r="GW1912" s="8"/>
      <c r="GX1912" s="8"/>
    </row>
    <row r="1913">
      <c r="A1913" s="8" t="str">
        <f>IFERROR(__xludf.DUMMYFUNCTION("""COMPUTED_VALUE"""),"109843520010101500")</f>
        <v>109843520010101500</v>
      </c>
      <c r="B1913" s="9" t="str">
        <f>IFERROR(__xludf.DUMMYFUNCTION("""COMPUTED_VALUE"""),"Italy")</f>
        <v>Italy</v>
      </c>
      <c r="C1913" s="9" t="str">
        <f>IFERROR(__xludf.DUMMYFUNCTION("""COMPUTED_VALUE"""),"piedmont")</f>
        <v>piedmont</v>
      </c>
      <c r="D1913" s="9" t="str">
        <f>IFERROR(__xludf.DUMMYFUNCTION("""COMPUTED_VALUE"""),"Giacomo Conterno, Barolo, Monfortino Riserva")</f>
        <v>Giacomo Conterno, Barolo, Monfortino Riserva</v>
      </c>
      <c r="E1913" s="9">
        <f>IFERROR(__xludf.DUMMYFUNCTION("""COMPUTED_VALUE"""),2001.0)</f>
        <v>2001</v>
      </c>
      <c r="F1913" s="9">
        <f>IFERROR(__xludf.DUMMYFUNCTION("""COMPUTED_VALUE"""),1500.0)</f>
        <v>1500</v>
      </c>
      <c r="G1913" s="9">
        <f>IFERROR(__xludf.DUMMYFUNCTION("""COMPUTED_VALUE"""),1.0)</f>
        <v>1</v>
      </c>
      <c r="H1913" s="10">
        <f>IFERROR(__xludf.DUMMYFUNCTION("""COMPUTED_VALUE"""),1.0)</f>
        <v>1</v>
      </c>
      <c r="I1913" s="11">
        <f>IFERROR(__xludf.DUMMYFUNCTION("""COMPUTED_VALUE"""),2403.0)</f>
        <v>2403</v>
      </c>
      <c r="J1913" s="9" t="str">
        <f>IFERROR(__xludf.DUMMYFUNCTION("""COMPUTED_VALUE"""),"UK")</f>
        <v>UK</v>
      </c>
      <c r="K1913" s="8"/>
      <c r="L1913" s="12"/>
      <c r="M1913" s="13"/>
      <c r="N1913" s="13" t="str">
        <f>IFERROR(__xludf.DUMMYFUNCTION("IF(ISBLANK(M1913),"""",M1913*GOOGLEFINANCE(""USDGBP""))"),"")</f>
        <v/>
      </c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  <c r="FG1913" s="8"/>
      <c r="FH1913" s="8"/>
      <c r="FI1913" s="8"/>
      <c r="FJ1913" s="8"/>
      <c r="FK1913" s="8"/>
      <c r="FL1913" s="8"/>
      <c r="FM1913" s="8"/>
      <c r="FN1913" s="8"/>
      <c r="FO1913" s="8"/>
      <c r="FP1913" s="8"/>
      <c r="FQ1913" s="8"/>
      <c r="FR1913" s="8"/>
      <c r="FS1913" s="8"/>
      <c r="FT1913" s="8"/>
      <c r="FU1913" s="8"/>
      <c r="FV1913" s="8"/>
      <c r="FW1913" s="8"/>
      <c r="FX1913" s="8"/>
      <c r="FY1913" s="8"/>
      <c r="FZ1913" s="8"/>
      <c r="GA1913" s="8"/>
      <c r="GB1913" s="8"/>
      <c r="GC1913" s="8"/>
      <c r="GD1913" s="8"/>
      <c r="GE1913" s="8"/>
      <c r="GF1913" s="8"/>
      <c r="GG1913" s="8"/>
      <c r="GH1913" s="8"/>
      <c r="GI1913" s="8"/>
      <c r="GJ1913" s="8"/>
      <c r="GK1913" s="8"/>
      <c r="GL1913" s="8"/>
      <c r="GM1913" s="8"/>
      <c r="GN1913" s="8"/>
      <c r="GO1913" s="8"/>
      <c r="GP1913" s="8"/>
      <c r="GQ1913" s="8"/>
      <c r="GR1913" s="8"/>
      <c r="GS1913" s="8"/>
      <c r="GT1913" s="8"/>
      <c r="GU1913" s="8"/>
      <c r="GV1913" s="8"/>
      <c r="GW1913" s="8"/>
      <c r="GX1913" s="8"/>
    </row>
    <row r="1914">
      <c r="A1914" s="8" t="str">
        <f>IFERROR(__xludf.DUMMYFUNCTION("""COMPUTED_VALUE"""),"109843520130600750")</f>
        <v>109843520130600750</v>
      </c>
      <c r="B1914" s="9" t="str">
        <f>IFERROR(__xludf.DUMMYFUNCTION("""COMPUTED_VALUE"""),"Italy")</f>
        <v>Italy</v>
      </c>
      <c r="C1914" s="9" t="str">
        <f>IFERROR(__xludf.DUMMYFUNCTION("""COMPUTED_VALUE"""),"piedmont")</f>
        <v>piedmont</v>
      </c>
      <c r="D1914" s="9" t="str">
        <f>IFERROR(__xludf.DUMMYFUNCTION("""COMPUTED_VALUE"""),"Giacomo Conterno, Barolo, Monfortino Riserva")</f>
        <v>Giacomo Conterno, Barolo, Monfortino Riserva</v>
      </c>
      <c r="E1914" s="9">
        <f>IFERROR(__xludf.DUMMYFUNCTION("""COMPUTED_VALUE"""),2013.0)</f>
        <v>2013</v>
      </c>
      <c r="F1914" s="9">
        <f>IFERROR(__xludf.DUMMYFUNCTION("""COMPUTED_VALUE"""),750.0)</f>
        <v>750</v>
      </c>
      <c r="G1914" s="9">
        <f>IFERROR(__xludf.DUMMYFUNCTION("""COMPUTED_VALUE"""),6.0)</f>
        <v>6</v>
      </c>
      <c r="H1914" s="10">
        <f>IFERROR(__xludf.DUMMYFUNCTION("""COMPUTED_VALUE"""),2.0)</f>
        <v>2</v>
      </c>
      <c r="I1914" s="11">
        <f>IFERROR(__xludf.DUMMYFUNCTION("""COMPUTED_VALUE"""),4965.0)</f>
        <v>4965</v>
      </c>
      <c r="J1914" s="9" t="str">
        <f>IFERROR(__xludf.DUMMYFUNCTION("""COMPUTED_VALUE"""),"UK")</f>
        <v>UK</v>
      </c>
      <c r="K1914" s="8"/>
      <c r="L1914" s="12"/>
      <c r="M1914" s="13"/>
      <c r="N1914" s="13" t="str">
        <f>IFERROR(__xludf.DUMMYFUNCTION("IF(ISBLANK(M1914),"""",M1914*GOOGLEFINANCE(""USDGBP""))"),"")</f>
        <v/>
      </c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  <c r="FG1914" s="8"/>
      <c r="FH1914" s="8"/>
      <c r="FI1914" s="8"/>
      <c r="FJ1914" s="8"/>
      <c r="FK1914" s="8"/>
      <c r="FL1914" s="8"/>
      <c r="FM1914" s="8"/>
      <c r="FN1914" s="8"/>
      <c r="FO1914" s="8"/>
      <c r="FP1914" s="8"/>
      <c r="FQ1914" s="8"/>
      <c r="FR1914" s="8"/>
      <c r="FS1914" s="8"/>
      <c r="FT1914" s="8"/>
      <c r="FU1914" s="8"/>
      <c r="FV1914" s="8"/>
      <c r="FW1914" s="8"/>
      <c r="FX1914" s="8"/>
      <c r="FY1914" s="8"/>
      <c r="FZ1914" s="8"/>
      <c r="GA1914" s="8"/>
      <c r="GB1914" s="8"/>
      <c r="GC1914" s="8"/>
      <c r="GD1914" s="8"/>
      <c r="GE1914" s="8"/>
      <c r="GF1914" s="8"/>
      <c r="GG1914" s="8"/>
      <c r="GH1914" s="8"/>
      <c r="GI1914" s="8"/>
      <c r="GJ1914" s="8"/>
      <c r="GK1914" s="8"/>
      <c r="GL1914" s="8"/>
      <c r="GM1914" s="8"/>
      <c r="GN1914" s="8"/>
      <c r="GO1914" s="8"/>
      <c r="GP1914" s="8"/>
      <c r="GQ1914" s="8"/>
      <c r="GR1914" s="8"/>
      <c r="GS1914" s="8"/>
      <c r="GT1914" s="8"/>
      <c r="GU1914" s="8"/>
      <c r="GV1914" s="8"/>
      <c r="GW1914" s="8"/>
      <c r="GX1914" s="8"/>
    </row>
    <row r="1915">
      <c r="A1915" s="8" t="str">
        <f>IFERROR(__xludf.DUMMYFUNCTION("""COMPUTED_VALUE"""),"109843520130300750")</f>
        <v>109843520130300750</v>
      </c>
      <c r="B1915" s="9" t="str">
        <f>IFERROR(__xludf.DUMMYFUNCTION("""COMPUTED_VALUE"""),"Italy")</f>
        <v>Italy</v>
      </c>
      <c r="C1915" s="9" t="str">
        <f>IFERROR(__xludf.DUMMYFUNCTION("""COMPUTED_VALUE"""),"piedmont")</f>
        <v>piedmont</v>
      </c>
      <c r="D1915" s="9" t="str">
        <f>IFERROR(__xludf.DUMMYFUNCTION("""COMPUTED_VALUE"""),"Giacomo Conterno, Barolo, Monfortino Riserva")</f>
        <v>Giacomo Conterno, Barolo, Monfortino Riserva</v>
      </c>
      <c r="E1915" s="9">
        <f>IFERROR(__xludf.DUMMYFUNCTION("""COMPUTED_VALUE"""),2013.0)</f>
        <v>2013</v>
      </c>
      <c r="F1915" s="9">
        <f>IFERROR(__xludf.DUMMYFUNCTION("""COMPUTED_VALUE"""),750.0)</f>
        <v>750</v>
      </c>
      <c r="G1915" s="9">
        <f>IFERROR(__xludf.DUMMYFUNCTION("""COMPUTED_VALUE"""),3.0)</f>
        <v>3</v>
      </c>
      <c r="H1915" s="10">
        <f>IFERROR(__xludf.DUMMYFUNCTION("""COMPUTED_VALUE"""),3.0)</f>
        <v>3</v>
      </c>
      <c r="I1915" s="11">
        <f>IFERROR(__xludf.DUMMYFUNCTION("""COMPUTED_VALUE"""),2482.0)</f>
        <v>2482</v>
      </c>
      <c r="J1915" s="9" t="str">
        <f>IFERROR(__xludf.DUMMYFUNCTION("""COMPUTED_VALUE"""),"UK")</f>
        <v>UK</v>
      </c>
      <c r="K1915" s="8"/>
      <c r="L1915" s="12"/>
      <c r="M1915" s="13"/>
      <c r="N1915" s="13" t="str">
        <f>IFERROR(__xludf.DUMMYFUNCTION("IF(ISBLANK(M1915),"""",M1915*GOOGLEFINANCE(""USDGBP""))"),"")</f>
        <v/>
      </c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  <c r="FG1915" s="8"/>
      <c r="FH1915" s="8"/>
      <c r="FI1915" s="8"/>
      <c r="FJ1915" s="8"/>
      <c r="FK1915" s="8"/>
      <c r="FL1915" s="8"/>
      <c r="FM1915" s="8"/>
      <c r="FN1915" s="8"/>
      <c r="FO1915" s="8"/>
      <c r="FP1915" s="8"/>
      <c r="FQ1915" s="8"/>
      <c r="FR1915" s="8"/>
      <c r="FS1915" s="8"/>
      <c r="FT1915" s="8"/>
      <c r="FU1915" s="8"/>
      <c r="FV1915" s="8"/>
      <c r="FW1915" s="8"/>
      <c r="FX1915" s="8"/>
      <c r="FY1915" s="8"/>
      <c r="FZ1915" s="8"/>
      <c r="GA1915" s="8"/>
      <c r="GB1915" s="8"/>
      <c r="GC1915" s="8"/>
      <c r="GD1915" s="8"/>
      <c r="GE1915" s="8"/>
      <c r="GF1915" s="8"/>
      <c r="GG1915" s="8"/>
      <c r="GH1915" s="8"/>
      <c r="GI1915" s="8"/>
      <c r="GJ1915" s="8"/>
      <c r="GK1915" s="8"/>
      <c r="GL1915" s="8"/>
      <c r="GM1915" s="8"/>
      <c r="GN1915" s="8"/>
      <c r="GO1915" s="8"/>
      <c r="GP1915" s="8"/>
      <c r="GQ1915" s="8"/>
      <c r="GR1915" s="8"/>
      <c r="GS1915" s="8"/>
      <c r="GT1915" s="8"/>
      <c r="GU1915" s="8"/>
      <c r="GV1915" s="8"/>
      <c r="GW1915" s="8"/>
      <c r="GX1915" s="8"/>
    </row>
    <row r="1916">
      <c r="A1916" s="8" t="str">
        <f>IFERROR(__xludf.DUMMYFUNCTION("""COMPUTED_VALUE"""),"109843520140300750")</f>
        <v>109843520140300750</v>
      </c>
      <c r="B1916" s="9" t="str">
        <f>IFERROR(__xludf.DUMMYFUNCTION("""COMPUTED_VALUE"""),"Italy")</f>
        <v>Italy</v>
      </c>
      <c r="C1916" s="9" t="str">
        <f>IFERROR(__xludf.DUMMYFUNCTION("""COMPUTED_VALUE"""),"piedmont")</f>
        <v>piedmont</v>
      </c>
      <c r="D1916" s="9" t="str">
        <f>IFERROR(__xludf.DUMMYFUNCTION("""COMPUTED_VALUE"""),"Giacomo Conterno, Barolo, Monfortino Riserva")</f>
        <v>Giacomo Conterno, Barolo, Monfortino Riserva</v>
      </c>
      <c r="E1916" s="9">
        <f>IFERROR(__xludf.DUMMYFUNCTION("""COMPUTED_VALUE"""),2014.0)</f>
        <v>2014</v>
      </c>
      <c r="F1916" s="9">
        <f>IFERROR(__xludf.DUMMYFUNCTION("""COMPUTED_VALUE"""),750.0)</f>
        <v>750</v>
      </c>
      <c r="G1916" s="9">
        <f>IFERROR(__xludf.DUMMYFUNCTION("""COMPUTED_VALUE"""),3.0)</f>
        <v>3</v>
      </c>
      <c r="H1916" s="10">
        <f>IFERROR(__xludf.DUMMYFUNCTION("""COMPUTED_VALUE"""),3.0)</f>
        <v>3</v>
      </c>
      <c r="I1916" s="11">
        <f>IFERROR(__xludf.DUMMYFUNCTION("""COMPUTED_VALUE"""),2913.0)</f>
        <v>2913</v>
      </c>
      <c r="J1916" s="9" t="str">
        <f>IFERROR(__xludf.DUMMYFUNCTION("""COMPUTED_VALUE"""),"UK")</f>
        <v>UK</v>
      </c>
      <c r="K1916" s="8"/>
      <c r="L1916" s="12"/>
      <c r="M1916" s="13"/>
      <c r="N1916" s="13" t="str">
        <f>IFERROR(__xludf.DUMMYFUNCTION("IF(ISBLANK(M1916),"""",M1916*GOOGLEFINANCE(""USDGBP""))"),"")</f>
        <v/>
      </c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  <c r="FG1916" s="8"/>
      <c r="FH1916" s="8"/>
      <c r="FI1916" s="8"/>
      <c r="FJ1916" s="8"/>
      <c r="FK1916" s="8"/>
      <c r="FL1916" s="8"/>
      <c r="FM1916" s="8"/>
      <c r="FN1916" s="8"/>
      <c r="FO1916" s="8"/>
      <c r="FP1916" s="8"/>
      <c r="FQ1916" s="8"/>
      <c r="FR1916" s="8"/>
      <c r="FS1916" s="8"/>
      <c r="FT1916" s="8"/>
      <c r="FU1916" s="8"/>
      <c r="FV1916" s="8"/>
      <c r="FW1916" s="8"/>
      <c r="FX1916" s="8"/>
      <c r="FY1916" s="8"/>
      <c r="FZ1916" s="8"/>
      <c r="GA1916" s="8"/>
      <c r="GB1916" s="8"/>
      <c r="GC1916" s="8"/>
      <c r="GD1916" s="8"/>
      <c r="GE1916" s="8"/>
      <c r="GF1916" s="8"/>
      <c r="GG1916" s="8"/>
      <c r="GH1916" s="8"/>
      <c r="GI1916" s="8"/>
      <c r="GJ1916" s="8"/>
      <c r="GK1916" s="8"/>
      <c r="GL1916" s="8"/>
      <c r="GM1916" s="8"/>
      <c r="GN1916" s="8"/>
      <c r="GO1916" s="8"/>
      <c r="GP1916" s="8"/>
      <c r="GQ1916" s="8"/>
      <c r="GR1916" s="8"/>
      <c r="GS1916" s="8"/>
      <c r="GT1916" s="8"/>
      <c r="GU1916" s="8"/>
      <c r="GV1916" s="8"/>
      <c r="GW1916" s="8"/>
      <c r="GX1916" s="8"/>
    </row>
    <row r="1917">
      <c r="A1917" s="8" t="str">
        <f>IFERROR(__xludf.DUMMYFUNCTION("""COMPUTED_VALUE"""),"109843520140101500")</f>
        <v>109843520140101500</v>
      </c>
      <c r="B1917" s="9" t="str">
        <f>IFERROR(__xludf.DUMMYFUNCTION("""COMPUTED_VALUE"""),"Italy")</f>
        <v>Italy</v>
      </c>
      <c r="C1917" s="9" t="str">
        <f>IFERROR(__xludf.DUMMYFUNCTION("""COMPUTED_VALUE"""),"piedmont")</f>
        <v>piedmont</v>
      </c>
      <c r="D1917" s="9" t="str">
        <f>IFERROR(__xludf.DUMMYFUNCTION("""COMPUTED_VALUE"""),"Giacomo Conterno, Barolo, Monfortino Riserva")</f>
        <v>Giacomo Conterno, Barolo, Monfortino Riserva</v>
      </c>
      <c r="E1917" s="9">
        <f>IFERROR(__xludf.DUMMYFUNCTION("""COMPUTED_VALUE"""),2014.0)</f>
        <v>2014</v>
      </c>
      <c r="F1917" s="9">
        <f>IFERROR(__xludf.DUMMYFUNCTION("""COMPUTED_VALUE"""),1500.0)</f>
        <v>1500</v>
      </c>
      <c r="G1917" s="9">
        <f>IFERROR(__xludf.DUMMYFUNCTION("""COMPUTED_VALUE"""),1.0)</f>
        <v>1</v>
      </c>
      <c r="H1917" s="10">
        <f>IFERROR(__xludf.DUMMYFUNCTION("""COMPUTED_VALUE"""),1.0)</f>
        <v>1</v>
      </c>
      <c r="I1917" s="11">
        <f>IFERROR(__xludf.DUMMYFUNCTION("""COMPUTED_VALUE"""),1907.0)</f>
        <v>1907</v>
      </c>
      <c r="J1917" s="9" t="str">
        <f>IFERROR(__xludf.DUMMYFUNCTION("""COMPUTED_VALUE"""),"UK")</f>
        <v>UK</v>
      </c>
      <c r="K1917" s="8"/>
      <c r="L1917" s="12"/>
      <c r="M1917" s="13"/>
      <c r="N1917" s="13" t="str">
        <f>IFERROR(__xludf.DUMMYFUNCTION("IF(ISBLANK(M1917),"""",M1917*GOOGLEFINANCE(""USDGBP""))"),"")</f>
        <v/>
      </c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H1917" s="8"/>
      <c r="FI1917" s="8"/>
      <c r="FJ1917" s="8"/>
      <c r="FK1917" s="8"/>
      <c r="FL1917" s="8"/>
      <c r="FM1917" s="8"/>
      <c r="FN1917" s="8"/>
      <c r="FO1917" s="8"/>
      <c r="FP1917" s="8"/>
      <c r="FQ1917" s="8"/>
      <c r="FR1917" s="8"/>
      <c r="FS1917" s="8"/>
      <c r="FT1917" s="8"/>
      <c r="FU1917" s="8"/>
      <c r="FV1917" s="8"/>
      <c r="FW1917" s="8"/>
      <c r="FX1917" s="8"/>
      <c r="FY1917" s="8"/>
      <c r="FZ1917" s="8"/>
      <c r="GA1917" s="8"/>
      <c r="GB1917" s="8"/>
      <c r="GC1917" s="8"/>
      <c r="GD1917" s="8"/>
      <c r="GE1917" s="8"/>
      <c r="GF1917" s="8"/>
      <c r="GG1917" s="8"/>
      <c r="GH1917" s="8"/>
      <c r="GI1917" s="8"/>
      <c r="GJ1917" s="8"/>
      <c r="GK1917" s="8"/>
      <c r="GL1917" s="8"/>
      <c r="GM1917" s="8"/>
      <c r="GN1917" s="8"/>
      <c r="GO1917" s="8"/>
      <c r="GP1917" s="8"/>
      <c r="GQ1917" s="8"/>
      <c r="GR1917" s="8"/>
      <c r="GS1917" s="8"/>
      <c r="GT1917" s="8"/>
      <c r="GU1917" s="8"/>
      <c r="GV1917" s="8"/>
      <c r="GW1917" s="8"/>
      <c r="GX1917" s="8"/>
    </row>
    <row r="1918">
      <c r="A1918" s="8" t="str">
        <f>IFERROR(__xludf.DUMMYFUNCTION("""COMPUTED_VALUE"""),"109841920151200750")</f>
        <v>109841920151200750</v>
      </c>
      <c r="B1918" s="9" t="str">
        <f>IFERROR(__xludf.DUMMYFUNCTION("""COMPUTED_VALUE"""),"Italy")</f>
        <v>Italy</v>
      </c>
      <c r="C1918" s="9" t="str">
        <f>IFERROR(__xludf.DUMMYFUNCTION("""COMPUTED_VALUE"""),"piedmont")</f>
        <v>piedmont</v>
      </c>
      <c r="D1918" s="9" t="str">
        <f>IFERROR(__xludf.DUMMYFUNCTION("""COMPUTED_VALUE"""),"Giacomo Conterno, Cerretta, Barbera d'Alba")</f>
        <v>Giacomo Conterno, Cerretta, Barbera d'Alba</v>
      </c>
      <c r="E1918" s="9">
        <f>IFERROR(__xludf.DUMMYFUNCTION("""COMPUTED_VALUE"""),2015.0)</f>
        <v>2015</v>
      </c>
      <c r="F1918" s="9">
        <f>IFERROR(__xludf.DUMMYFUNCTION("""COMPUTED_VALUE"""),750.0)</f>
        <v>750</v>
      </c>
      <c r="G1918" s="9">
        <f>IFERROR(__xludf.DUMMYFUNCTION("""COMPUTED_VALUE"""),12.0)</f>
        <v>12</v>
      </c>
      <c r="H1918" s="10">
        <f>IFERROR(__xludf.DUMMYFUNCTION("""COMPUTED_VALUE"""),1.0)</f>
        <v>1</v>
      </c>
      <c r="I1918" s="11">
        <f>IFERROR(__xludf.DUMMYFUNCTION("""COMPUTED_VALUE"""),772.0)</f>
        <v>772</v>
      </c>
      <c r="J1918" s="9" t="str">
        <f>IFERROR(__xludf.DUMMYFUNCTION("""COMPUTED_VALUE"""),"UK")</f>
        <v>UK</v>
      </c>
      <c r="K1918" s="8"/>
      <c r="L1918" s="12"/>
      <c r="M1918" s="13"/>
      <c r="N1918" s="13" t="str">
        <f>IFERROR(__xludf.DUMMYFUNCTION("IF(ISBLANK(M1918),"""",M1918*GOOGLEFINANCE(""USDGBP""))"),"")</f>
        <v/>
      </c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  <c r="FG1918" s="8"/>
      <c r="FH1918" s="8"/>
      <c r="FI1918" s="8"/>
      <c r="FJ1918" s="8"/>
      <c r="FK1918" s="8"/>
      <c r="FL1918" s="8"/>
      <c r="FM1918" s="8"/>
      <c r="FN1918" s="8"/>
      <c r="FO1918" s="8"/>
      <c r="FP1918" s="8"/>
      <c r="FQ1918" s="8"/>
      <c r="FR1918" s="8"/>
      <c r="FS1918" s="8"/>
      <c r="FT1918" s="8"/>
      <c r="FU1918" s="8"/>
      <c r="FV1918" s="8"/>
      <c r="FW1918" s="8"/>
      <c r="FX1918" s="8"/>
      <c r="FY1918" s="8"/>
      <c r="FZ1918" s="8"/>
      <c r="GA1918" s="8"/>
      <c r="GB1918" s="8"/>
      <c r="GC1918" s="8"/>
      <c r="GD1918" s="8"/>
      <c r="GE1918" s="8"/>
      <c r="GF1918" s="8"/>
      <c r="GG1918" s="8"/>
      <c r="GH1918" s="8"/>
      <c r="GI1918" s="8"/>
      <c r="GJ1918" s="8"/>
      <c r="GK1918" s="8"/>
      <c r="GL1918" s="8"/>
      <c r="GM1918" s="8"/>
      <c r="GN1918" s="8"/>
      <c r="GO1918" s="8"/>
      <c r="GP1918" s="8"/>
      <c r="GQ1918" s="8"/>
      <c r="GR1918" s="8"/>
      <c r="GS1918" s="8"/>
      <c r="GT1918" s="8"/>
      <c r="GU1918" s="8"/>
      <c r="GV1918" s="8"/>
      <c r="GW1918" s="8"/>
      <c r="GX1918" s="8"/>
    </row>
    <row r="1919">
      <c r="A1919" s="8" t="str">
        <f>IFERROR(__xludf.DUMMYFUNCTION("""COMPUTED_VALUE"""),"113364820150600750")</f>
        <v>113364820150600750</v>
      </c>
      <c r="B1919" s="9" t="str">
        <f>IFERROR(__xludf.DUMMYFUNCTION("""COMPUTED_VALUE"""),"Italy")</f>
        <v>Italy</v>
      </c>
      <c r="C1919" s="9" t="str">
        <f>IFERROR(__xludf.DUMMYFUNCTION("""COMPUTED_VALUE"""),"piedmont")</f>
        <v>piedmont</v>
      </c>
      <c r="D1919" s="9" t="str">
        <f>IFERROR(__xludf.DUMMYFUNCTION("""COMPUTED_VALUE"""),"Giovanni Rosso, Barolo, Cerretta")</f>
        <v>Giovanni Rosso, Barolo, Cerretta</v>
      </c>
      <c r="E1919" s="9">
        <f>IFERROR(__xludf.DUMMYFUNCTION("""COMPUTED_VALUE"""),2015.0)</f>
        <v>2015</v>
      </c>
      <c r="F1919" s="9">
        <f>IFERROR(__xludf.DUMMYFUNCTION("""COMPUTED_VALUE"""),750.0)</f>
        <v>750</v>
      </c>
      <c r="G1919" s="9">
        <f>IFERROR(__xludf.DUMMYFUNCTION("""COMPUTED_VALUE"""),6.0)</f>
        <v>6</v>
      </c>
      <c r="H1919" s="10">
        <f>IFERROR(__xludf.DUMMYFUNCTION("""COMPUTED_VALUE"""),1.0)</f>
        <v>1</v>
      </c>
      <c r="I1919" s="11">
        <f>IFERROR(__xludf.DUMMYFUNCTION("""COMPUTED_VALUE"""),348.0)</f>
        <v>348</v>
      </c>
      <c r="J1919" s="9" t="str">
        <f>IFERROR(__xludf.DUMMYFUNCTION("""COMPUTED_VALUE"""),"UK")</f>
        <v>UK</v>
      </c>
      <c r="K1919" s="8"/>
      <c r="L1919" s="12"/>
      <c r="M1919" s="13"/>
      <c r="N1919" s="13" t="str">
        <f>IFERROR(__xludf.DUMMYFUNCTION("IF(ISBLANK(M1919),"""",M1919*GOOGLEFINANCE(""USDGBP""))"),"")</f>
        <v/>
      </c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  <c r="FG1919" s="8"/>
      <c r="FH1919" s="8"/>
      <c r="FI1919" s="8"/>
      <c r="FJ1919" s="8"/>
      <c r="FK1919" s="8"/>
      <c r="FL1919" s="8"/>
      <c r="FM1919" s="8"/>
      <c r="FN1919" s="8"/>
      <c r="FO1919" s="8"/>
      <c r="FP1919" s="8"/>
      <c r="FQ1919" s="8"/>
      <c r="FR1919" s="8"/>
      <c r="FS1919" s="8"/>
      <c r="FT1919" s="8"/>
      <c r="FU1919" s="8"/>
      <c r="FV1919" s="8"/>
      <c r="FW1919" s="8"/>
      <c r="FX1919" s="8"/>
      <c r="FY1919" s="8"/>
      <c r="FZ1919" s="8"/>
      <c r="GA1919" s="8"/>
      <c r="GB1919" s="8"/>
      <c r="GC1919" s="8"/>
      <c r="GD1919" s="8"/>
      <c r="GE1919" s="8"/>
      <c r="GF1919" s="8"/>
      <c r="GG1919" s="8"/>
      <c r="GH1919" s="8"/>
      <c r="GI1919" s="8"/>
      <c r="GJ1919" s="8"/>
      <c r="GK1919" s="8"/>
      <c r="GL1919" s="8"/>
      <c r="GM1919" s="8"/>
      <c r="GN1919" s="8"/>
      <c r="GO1919" s="8"/>
      <c r="GP1919" s="8"/>
      <c r="GQ1919" s="8"/>
      <c r="GR1919" s="8"/>
      <c r="GS1919" s="8"/>
      <c r="GT1919" s="8"/>
      <c r="GU1919" s="8"/>
      <c r="GV1919" s="8"/>
      <c r="GW1919" s="8"/>
      <c r="GX1919" s="8"/>
    </row>
    <row r="1920">
      <c r="A1920" s="8" t="str">
        <f>IFERROR(__xludf.DUMMYFUNCTION("""COMPUTED_VALUE"""),"110131720041200750")</f>
        <v>110131720041200750</v>
      </c>
      <c r="B1920" s="9" t="str">
        <f>IFERROR(__xludf.DUMMYFUNCTION("""COMPUTED_VALUE"""),"Italy")</f>
        <v>Italy</v>
      </c>
      <c r="C1920" s="9" t="str">
        <f>IFERROR(__xludf.DUMMYFUNCTION("""COMPUTED_VALUE"""),"piedmont")</f>
        <v>piedmont</v>
      </c>
      <c r="D1920" s="9" t="str">
        <f>IFERROR(__xludf.DUMMYFUNCTION("""COMPUTED_VALUE"""),"Giuseppe Mascarello e Figlio, Barolo, Monprivato")</f>
        <v>Giuseppe Mascarello e Figlio, Barolo, Monprivato</v>
      </c>
      <c r="E1920" s="9">
        <f>IFERROR(__xludf.DUMMYFUNCTION("""COMPUTED_VALUE"""),2004.0)</f>
        <v>2004</v>
      </c>
      <c r="F1920" s="9">
        <f>IFERROR(__xludf.DUMMYFUNCTION("""COMPUTED_VALUE"""),750.0)</f>
        <v>750</v>
      </c>
      <c r="G1920" s="9">
        <f>IFERROR(__xludf.DUMMYFUNCTION("""COMPUTED_VALUE"""),12.0)</f>
        <v>12</v>
      </c>
      <c r="H1920" s="10">
        <f>IFERROR(__xludf.DUMMYFUNCTION("""COMPUTED_VALUE"""),1.0)</f>
        <v>1</v>
      </c>
      <c r="I1920" s="11">
        <f>IFERROR(__xludf.DUMMYFUNCTION("""COMPUTED_VALUE"""),2541.0)</f>
        <v>2541</v>
      </c>
      <c r="J1920" s="9" t="str">
        <f>IFERROR(__xludf.DUMMYFUNCTION("""COMPUTED_VALUE"""),"UK")</f>
        <v>UK</v>
      </c>
      <c r="K1920" s="8"/>
      <c r="L1920" s="12"/>
      <c r="M1920" s="13"/>
      <c r="N1920" s="13" t="str">
        <f>IFERROR(__xludf.DUMMYFUNCTION("IF(ISBLANK(M1920),"""",M1920*GOOGLEFINANCE(""USDGBP""))"),"")</f>
        <v/>
      </c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  <c r="FG1920" s="8"/>
      <c r="FH1920" s="8"/>
      <c r="FI1920" s="8"/>
      <c r="FJ1920" s="8"/>
      <c r="FK1920" s="8"/>
      <c r="FL1920" s="8"/>
      <c r="FM1920" s="8"/>
      <c r="FN1920" s="8"/>
      <c r="FO1920" s="8"/>
      <c r="FP1920" s="8"/>
      <c r="FQ1920" s="8"/>
      <c r="FR1920" s="8"/>
      <c r="FS1920" s="8"/>
      <c r="FT1920" s="8"/>
      <c r="FU1920" s="8"/>
      <c r="FV1920" s="8"/>
      <c r="FW1920" s="8"/>
      <c r="FX1920" s="8"/>
      <c r="FY1920" s="8"/>
      <c r="FZ1920" s="8"/>
      <c r="GA1920" s="8"/>
      <c r="GB1920" s="8"/>
      <c r="GC1920" s="8"/>
      <c r="GD1920" s="8"/>
      <c r="GE1920" s="8"/>
      <c r="GF1920" s="8"/>
      <c r="GG1920" s="8"/>
      <c r="GH1920" s="8"/>
      <c r="GI1920" s="8"/>
      <c r="GJ1920" s="8"/>
      <c r="GK1920" s="8"/>
      <c r="GL1920" s="8"/>
      <c r="GM1920" s="8"/>
      <c r="GN1920" s="8"/>
      <c r="GO1920" s="8"/>
      <c r="GP1920" s="8"/>
      <c r="GQ1920" s="8"/>
      <c r="GR1920" s="8"/>
      <c r="GS1920" s="8"/>
      <c r="GT1920" s="8"/>
      <c r="GU1920" s="8"/>
      <c r="GV1920" s="8"/>
      <c r="GW1920" s="8"/>
      <c r="GX1920" s="8"/>
    </row>
    <row r="1921">
      <c r="A1921" s="8" t="str">
        <f>IFERROR(__xludf.DUMMYFUNCTION("""COMPUTED_VALUE"""),"110131720080601500")</f>
        <v>110131720080601500</v>
      </c>
      <c r="B1921" s="9" t="str">
        <f>IFERROR(__xludf.DUMMYFUNCTION("""COMPUTED_VALUE"""),"Italy")</f>
        <v>Italy</v>
      </c>
      <c r="C1921" s="9" t="str">
        <f>IFERROR(__xludf.DUMMYFUNCTION("""COMPUTED_VALUE"""),"piedmont")</f>
        <v>piedmont</v>
      </c>
      <c r="D1921" s="9" t="str">
        <f>IFERROR(__xludf.DUMMYFUNCTION("""COMPUTED_VALUE"""),"Giuseppe Mascarello e Figlio, Barolo, Monprivato")</f>
        <v>Giuseppe Mascarello e Figlio, Barolo, Monprivato</v>
      </c>
      <c r="E1921" s="9">
        <f>IFERROR(__xludf.DUMMYFUNCTION("""COMPUTED_VALUE"""),2008.0)</f>
        <v>2008</v>
      </c>
      <c r="F1921" s="9">
        <f>IFERROR(__xludf.DUMMYFUNCTION("""COMPUTED_VALUE"""),1500.0)</f>
        <v>1500</v>
      </c>
      <c r="G1921" s="9">
        <f>IFERROR(__xludf.DUMMYFUNCTION("""COMPUTED_VALUE"""),6.0)</f>
        <v>6</v>
      </c>
      <c r="H1921" s="10">
        <f>IFERROR(__xludf.DUMMYFUNCTION("""COMPUTED_VALUE"""),1.0)</f>
        <v>1</v>
      </c>
      <c r="I1921" s="11">
        <f>IFERROR(__xludf.DUMMYFUNCTION("""COMPUTED_VALUE"""),2390.0)</f>
        <v>2390</v>
      </c>
      <c r="J1921" s="9" t="str">
        <f>IFERROR(__xludf.DUMMYFUNCTION("""COMPUTED_VALUE"""),"UK")</f>
        <v>UK</v>
      </c>
      <c r="K1921" s="8"/>
      <c r="L1921" s="12"/>
      <c r="M1921" s="13"/>
      <c r="N1921" s="13" t="str">
        <f>IFERROR(__xludf.DUMMYFUNCTION("IF(ISBLANK(M1921),"""",M1921*GOOGLEFINANCE(""USDGBP""))"),"")</f>
        <v/>
      </c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  <c r="FG1921" s="8"/>
      <c r="FH1921" s="8"/>
      <c r="FI1921" s="8"/>
      <c r="FJ1921" s="8"/>
      <c r="FK1921" s="8"/>
      <c r="FL1921" s="8"/>
      <c r="FM1921" s="8"/>
      <c r="FN1921" s="8"/>
      <c r="FO1921" s="8"/>
      <c r="FP1921" s="8"/>
      <c r="FQ1921" s="8"/>
      <c r="FR1921" s="8"/>
      <c r="FS1921" s="8"/>
      <c r="FT1921" s="8"/>
      <c r="FU1921" s="8"/>
      <c r="FV1921" s="8"/>
      <c r="FW1921" s="8"/>
      <c r="FX1921" s="8"/>
      <c r="FY1921" s="8"/>
      <c r="FZ1921" s="8"/>
      <c r="GA1921" s="8"/>
      <c r="GB1921" s="8"/>
      <c r="GC1921" s="8"/>
      <c r="GD1921" s="8"/>
      <c r="GE1921" s="8"/>
      <c r="GF1921" s="8"/>
      <c r="GG1921" s="8"/>
      <c r="GH1921" s="8"/>
      <c r="GI1921" s="8"/>
      <c r="GJ1921" s="8"/>
      <c r="GK1921" s="8"/>
      <c r="GL1921" s="8"/>
      <c r="GM1921" s="8"/>
      <c r="GN1921" s="8"/>
      <c r="GO1921" s="8"/>
      <c r="GP1921" s="8"/>
      <c r="GQ1921" s="8"/>
      <c r="GR1921" s="8"/>
      <c r="GS1921" s="8"/>
      <c r="GT1921" s="8"/>
      <c r="GU1921" s="8"/>
      <c r="GV1921" s="8"/>
      <c r="GW1921" s="8"/>
      <c r="GX1921" s="8"/>
    </row>
    <row r="1922">
      <c r="A1922" s="8" t="str">
        <f>IFERROR(__xludf.DUMMYFUNCTION("""COMPUTED_VALUE"""),"110131720140600750")</f>
        <v>110131720140600750</v>
      </c>
      <c r="B1922" s="9" t="str">
        <f>IFERROR(__xludf.DUMMYFUNCTION("""COMPUTED_VALUE"""),"Italy")</f>
        <v>Italy</v>
      </c>
      <c r="C1922" s="9" t="str">
        <f>IFERROR(__xludf.DUMMYFUNCTION("""COMPUTED_VALUE"""),"piedmont")</f>
        <v>piedmont</v>
      </c>
      <c r="D1922" s="9" t="str">
        <f>IFERROR(__xludf.DUMMYFUNCTION("""COMPUTED_VALUE"""),"Giuseppe Mascarello e Figlio, Barolo, Monprivato")</f>
        <v>Giuseppe Mascarello e Figlio, Barolo, Monprivato</v>
      </c>
      <c r="E1922" s="9">
        <f>IFERROR(__xludf.DUMMYFUNCTION("""COMPUTED_VALUE"""),2014.0)</f>
        <v>2014</v>
      </c>
      <c r="F1922" s="9">
        <f>IFERROR(__xludf.DUMMYFUNCTION("""COMPUTED_VALUE"""),750.0)</f>
        <v>750</v>
      </c>
      <c r="G1922" s="9">
        <f>IFERROR(__xludf.DUMMYFUNCTION("""COMPUTED_VALUE"""),6.0)</f>
        <v>6</v>
      </c>
      <c r="H1922" s="10">
        <f>IFERROR(__xludf.DUMMYFUNCTION("""COMPUTED_VALUE"""),2.0)</f>
        <v>2</v>
      </c>
      <c r="I1922" s="11">
        <f>IFERROR(__xludf.DUMMYFUNCTION("""COMPUTED_VALUE"""),737.0)</f>
        <v>737</v>
      </c>
      <c r="J1922" s="9" t="str">
        <f>IFERROR(__xludf.DUMMYFUNCTION("""COMPUTED_VALUE"""),"UK")</f>
        <v>UK</v>
      </c>
      <c r="K1922" s="8"/>
      <c r="L1922" s="12"/>
      <c r="M1922" s="13"/>
      <c r="N1922" s="13" t="str">
        <f>IFERROR(__xludf.DUMMYFUNCTION("IF(ISBLANK(M1922),"""",M1922*GOOGLEFINANCE(""USDGBP""))"),"")</f>
        <v/>
      </c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  <c r="FG1922" s="8"/>
      <c r="FH1922" s="8"/>
      <c r="FI1922" s="8"/>
      <c r="FJ1922" s="8"/>
      <c r="FK1922" s="8"/>
      <c r="FL1922" s="8"/>
      <c r="FM1922" s="8"/>
      <c r="FN1922" s="8"/>
      <c r="FO1922" s="8"/>
      <c r="FP1922" s="8"/>
      <c r="FQ1922" s="8"/>
      <c r="FR1922" s="8"/>
      <c r="FS1922" s="8"/>
      <c r="FT1922" s="8"/>
      <c r="FU1922" s="8"/>
      <c r="FV1922" s="8"/>
      <c r="FW1922" s="8"/>
      <c r="FX1922" s="8"/>
      <c r="FY1922" s="8"/>
      <c r="FZ1922" s="8"/>
      <c r="GA1922" s="8"/>
      <c r="GB1922" s="8"/>
      <c r="GC1922" s="8"/>
      <c r="GD1922" s="8"/>
      <c r="GE1922" s="8"/>
      <c r="GF1922" s="8"/>
      <c r="GG1922" s="8"/>
      <c r="GH1922" s="8"/>
      <c r="GI1922" s="8"/>
      <c r="GJ1922" s="8"/>
      <c r="GK1922" s="8"/>
      <c r="GL1922" s="8"/>
      <c r="GM1922" s="8"/>
      <c r="GN1922" s="8"/>
      <c r="GO1922" s="8"/>
      <c r="GP1922" s="8"/>
      <c r="GQ1922" s="8"/>
      <c r="GR1922" s="8"/>
      <c r="GS1922" s="8"/>
      <c r="GT1922" s="8"/>
      <c r="GU1922" s="8"/>
      <c r="GV1922" s="8"/>
      <c r="GW1922" s="8"/>
      <c r="GX1922" s="8"/>
    </row>
    <row r="1923">
      <c r="A1923" s="8" t="str">
        <f>IFERROR(__xludf.DUMMYFUNCTION("""COMPUTED_VALUE"""),"110131720150600750")</f>
        <v>110131720150600750</v>
      </c>
      <c r="B1923" s="9" t="str">
        <f>IFERROR(__xludf.DUMMYFUNCTION("""COMPUTED_VALUE"""),"Italy")</f>
        <v>Italy</v>
      </c>
      <c r="C1923" s="9" t="str">
        <f>IFERROR(__xludf.DUMMYFUNCTION("""COMPUTED_VALUE"""),"piedmont")</f>
        <v>piedmont</v>
      </c>
      <c r="D1923" s="9" t="str">
        <f>IFERROR(__xludf.DUMMYFUNCTION("""COMPUTED_VALUE"""),"Giuseppe Mascarello e Figlio, Barolo, Monprivato")</f>
        <v>Giuseppe Mascarello e Figlio, Barolo, Monprivato</v>
      </c>
      <c r="E1923" s="9">
        <f>IFERROR(__xludf.DUMMYFUNCTION("""COMPUTED_VALUE"""),2015.0)</f>
        <v>2015</v>
      </c>
      <c r="F1923" s="9">
        <f>IFERROR(__xludf.DUMMYFUNCTION("""COMPUTED_VALUE"""),750.0)</f>
        <v>750</v>
      </c>
      <c r="G1923" s="9">
        <f>IFERROR(__xludf.DUMMYFUNCTION("""COMPUTED_VALUE"""),6.0)</f>
        <v>6</v>
      </c>
      <c r="H1923" s="10">
        <f>IFERROR(__xludf.DUMMYFUNCTION("""COMPUTED_VALUE"""),4.0)</f>
        <v>4</v>
      </c>
      <c r="I1923" s="11">
        <f>IFERROR(__xludf.DUMMYFUNCTION("""COMPUTED_VALUE"""),1044.0)</f>
        <v>1044</v>
      </c>
      <c r="J1923" s="9" t="str">
        <f>IFERROR(__xludf.DUMMYFUNCTION("""COMPUTED_VALUE"""),"UK")</f>
        <v>UK</v>
      </c>
      <c r="K1923" s="8"/>
      <c r="L1923" s="12"/>
      <c r="M1923" s="13"/>
      <c r="N1923" s="13" t="str">
        <f>IFERROR(__xludf.DUMMYFUNCTION("IF(ISBLANK(M1923),"""",M1923*GOOGLEFINANCE(""USDGBP""))"),"")</f>
        <v/>
      </c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  <c r="FG1923" s="8"/>
      <c r="FH1923" s="8"/>
      <c r="FI1923" s="8"/>
      <c r="FJ1923" s="8"/>
      <c r="FK1923" s="8"/>
      <c r="FL1923" s="8"/>
      <c r="FM1923" s="8"/>
      <c r="FN1923" s="8"/>
      <c r="FO1923" s="8"/>
      <c r="FP1923" s="8"/>
      <c r="FQ1923" s="8"/>
      <c r="FR1923" s="8"/>
      <c r="FS1923" s="8"/>
      <c r="FT1923" s="8"/>
      <c r="FU1923" s="8"/>
      <c r="FV1923" s="8"/>
      <c r="FW1923" s="8"/>
      <c r="FX1923" s="8"/>
      <c r="FY1923" s="8"/>
      <c r="FZ1923" s="8"/>
      <c r="GA1923" s="8"/>
      <c r="GB1923" s="8"/>
      <c r="GC1923" s="8"/>
      <c r="GD1923" s="8"/>
      <c r="GE1923" s="8"/>
      <c r="GF1923" s="8"/>
      <c r="GG1923" s="8"/>
      <c r="GH1923" s="8"/>
      <c r="GI1923" s="8"/>
      <c r="GJ1923" s="8"/>
      <c r="GK1923" s="8"/>
      <c r="GL1923" s="8"/>
      <c r="GM1923" s="8"/>
      <c r="GN1923" s="8"/>
      <c r="GO1923" s="8"/>
      <c r="GP1923" s="8"/>
      <c r="GQ1923" s="8"/>
      <c r="GR1923" s="8"/>
      <c r="GS1923" s="8"/>
      <c r="GT1923" s="8"/>
      <c r="GU1923" s="8"/>
      <c r="GV1923" s="8"/>
      <c r="GW1923" s="8"/>
      <c r="GX1923" s="8"/>
    </row>
    <row r="1924">
      <c r="A1924" s="8" t="str">
        <f>IFERROR(__xludf.DUMMYFUNCTION("""COMPUTED_VALUE"""),"110131720161200750")</f>
        <v>110131720161200750</v>
      </c>
      <c r="B1924" s="9" t="str">
        <f>IFERROR(__xludf.DUMMYFUNCTION("""COMPUTED_VALUE"""),"Italy")</f>
        <v>Italy</v>
      </c>
      <c r="C1924" s="9" t="str">
        <f>IFERROR(__xludf.DUMMYFUNCTION("""COMPUTED_VALUE"""),"piedmont")</f>
        <v>piedmont</v>
      </c>
      <c r="D1924" s="9" t="str">
        <f>IFERROR(__xludf.DUMMYFUNCTION("""COMPUTED_VALUE"""),"Giuseppe Mascarello e Figlio, Barolo, Monprivato")</f>
        <v>Giuseppe Mascarello e Figlio, Barolo, Monprivato</v>
      </c>
      <c r="E1924" s="9">
        <f>IFERROR(__xludf.DUMMYFUNCTION("""COMPUTED_VALUE"""),2016.0)</f>
        <v>2016</v>
      </c>
      <c r="F1924" s="9">
        <f>IFERROR(__xludf.DUMMYFUNCTION("""COMPUTED_VALUE"""),750.0)</f>
        <v>750</v>
      </c>
      <c r="G1924" s="9">
        <f>IFERROR(__xludf.DUMMYFUNCTION("""COMPUTED_VALUE"""),12.0)</f>
        <v>12</v>
      </c>
      <c r="H1924" s="10">
        <f>IFERROR(__xludf.DUMMYFUNCTION("""COMPUTED_VALUE"""),1.0)</f>
        <v>1</v>
      </c>
      <c r="I1924" s="11">
        <f>IFERROR(__xludf.DUMMYFUNCTION("""COMPUTED_VALUE"""),2196.0)</f>
        <v>2196</v>
      </c>
      <c r="J1924" s="9" t="str">
        <f>IFERROR(__xludf.DUMMYFUNCTION("""COMPUTED_VALUE"""),"UK")</f>
        <v>UK</v>
      </c>
      <c r="K1924" s="8"/>
      <c r="L1924" s="12"/>
      <c r="M1924" s="13"/>
      <c r="N1924" s="13" t="str">
        <f>IFERROR(__xludf.DUMMYFUNCTION("IF(ISBLANK(M1924),"""",M1924*GOOGLEFINANCE(""USDGBP""))"),"")</f>
        <v/>
      </c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  <c r="FG1924" s="8"/>
      <c r="FH1924" s="8"/>
      <c r="FI1924" s="8"/>
      <c r="FJ1924" s="8"/>
      <c r="FK1924" s="8"/>
      <c r="FL1924" s="8"/>
      <c r="FM1924" s="8"/>
      <c r="FN1924" s="8"/>
      <c r="FO1924" s="8"/>
      <c r="FP1924" s="8"/>
      <c r="FQ1924" s="8"/>
      <c r="FR1924" s="8"/>
      <c r="FS1924" s="8"/>
      <c r="FT1924" s="8"/>
      <c r="FU1924" s="8"/>
      <c r="FV1924" s="8"/>
      <c r="FW1924" s="8"/>
      <c r="FX1924" s="8"/>
      <c r="FY1924" s="8"/>
      <c r="FZ1924" s="8"/>
      <c r="GA1924" s="8"/>
      <c r="GB1924" s="8"/>
      <c r="GC1924" s="8"/>
      <c r="GD1924" s="8"/>
      <c r="GE1924" s="8"/>
      <c r="GF1924" s="8"/>
      <c r="GG1924" s="8"/>
      <c r="GH1924" s="8"/>
      <c r="GI1924" s="8"/>
      <c r="GJ1924" s="8"/>
      <c r="GK1924" s="8"/>
      <c r="GL1924" s="8"/>
      <c r="GM1924" s="8"/>
      <c r="GN1924" s="8"/>
      <c r="GO1924" s="8"/>
      <c r="GP1924" s="8"/>
      <c r="GQ1924" s="8"/>
      <c r="GR1924" s="8"/>
      <c r="GS1924" s="8"/>
      <c r="GT1924" s="8"/>
      <c r="GU1924" s="8"/>
      <c r="GV1924" s="8"/>
      <c r="GW1924" s="8"/>
      <c r="GX1924" s="8"/>
    </row>
    <row r="1925">
      <c r="A1925" s="8" t="str">
        <f>IFERROR(__xludf.DUMMYFUNCTION("""COMPUTED_VALUE"""),"110131720160600750")</f>
        <v>110131720160600750</v>
      </c>
      <c r="B1925" s="9" t="str">
        <f>IFERROR(__xludf.DUMMYFUNCTION("""COMPUTED_VALUE"""),"Italy")</f>
        <v>Italy</v>
      </c>
      <c r="C1925" s="9" t="str">
        <f>IFERROR(__xludf.DUMMYFUNCTION("""COMPUTED_VALUE"""),"piedmont")</f>
        <v>piedmont</v>
      </c>
      <c r="D1925" s="9" t="str">
        <f>IFERROR(__xludf.DUMMYFUNCTION("""COMPUTED_VALUE"""),"Giuseppe Mascarello e Figlio, Barolo, Monprivato")</f>
        <v>Giuseppe Mascarello e Figlio, Barolo, Monprivato</v>
      </c>
      <c r="E1925" s="9">
        <f>IFERROR(__xludf.DUMMYFUNCTION("""COMPUTED_VALUE"""),2016.0)</f>
        <v>2016</v>
      </c>
      <c r="F1925" s="9">
        <f>IFERROR(__xludf.DUMMYFUNCTION("""COMPUTED_VALUE"""),750.0)</f>
        <v>750</v>
      </c>
      <c r="G1925" s="9">
        <f>IFERROR(__xludf.DUMMYFUNCTION("""COMPUTED_VALUE"""),6.0)</f>
        <v>6</v>
      </c>
      <c r="H1925" s="10">
        <f>IFERROR(__xludf.DUMMYFUNCTION("""COMPUTED_VALUE"""),2.0)</f>
        <v>2</v>
      </c>
      <c r="I1925" s="11">
        <f>IFERROR(__xludf.DUMMYFUNCTION("""COMPUTED_VALUE"""),1096.0)</f>
        <v>1096</v>
      </c>
      <c r="J1925" s="9" t="str">
        <f>IFERROR(__xludf.DUMMYFUNCTION("""COMPUTED_VALUE"""),"UK")</f>
        <v>UK</v>
      </c>
      <c r="K1925" s="8"/>
      <c r="L1925" s="12"/>
      <c r="M1925" s="13"/>
      <c r="N1925" s="13" t="str">
        <f>IFERROR(__xludf.DUMMYFUNCTION("IF(ISBLANK(M1925),"""",M1925*GOOGLEFINANCE(""USDGBP""))"),"")</f>
        <v/>
      </c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  <c r="FG1925" s="8"/>
      <c r="FH1925" s="8"/>
      <c r="FI1925" s="8"/>
      <c r="FJ1925" s="8"/>
      <c r="FK1925" s="8"/>
      <c r="FL1925" s="8"/>
      <c r="FM1925" s="8"/>
      <c r="FN1925" s="8"/>
      <c r="FO1925" s="8"/>
      <c r="FP1925" s="8"/>
      <c r="FQ1925" s="8"/>
      <c r="FR1925" s="8"/>
      <c r="FS1925" s="8"/>
      <c r="FT1925" s="8"/>
      <c r="FU1925" s="8"/>
      <c r="FV1925" s="8"/>
      <c r="FW1925" s="8"/>
      <c r="FX1925" s="8"/>
      <c r="FY1925" s="8"/>
      <c r="FZ1925" s="8"/>
      <c r="GA1925" s="8"/>
      <c r="GB1925" s="8"/>
      <c r="GC1925" s="8"/>
      <c r="GD1925" s="8"/>
      <c r="GE1925" s="8"/>
      <c r="GF1925" s="8"/>
      <c r="GG1925" s="8"/>
      <c r="GH1925" s="8"/>
      <c r="GI1925" s="8"/>
      <c r="GJ1925" s="8"/>
      <c r="GK1925" s="8"/>
      <c r="GL1925" s="8"/>
      <c r="GM1925" s="8"/>
      <c r="GN1925" s="8"/>
      <c r="GO1925" s="8"/>
      <c r="GP1925" s="8"/>
      <c r="GQ1925" s="8"/>
      <c r="GR1925" s="8"/>
      <c r="GS1925" s="8"/>
      <c r="GT1925" s="8"/>
      <c r="GU1925" s="8"/>
      <c r="GV1925" s="8"/>
      <c r="GW1925" s="8"/>
      <c r="GX1925" s="8"/>
    </row>
    <row r="1926">
      <c r="A1926" s="8" t="str">
        <f>IFERROR(__xludf.DUMMYFUNCTION("""COMPUTED_VALUE"""),"110131720171200750")</f>
        <v>110131720171200750</v>
      </c>
      <c r="B1926" s="9" t="str">
        <f>IFERROR(__xludf.DUMMYFUNCTION("""COMPUTED_VALUE"""),"Italy")</f>
        <v>Italy</v>
      </c>
      <c r="C1926" s="9" t="str">
        <f>IFERROR(__xludf.DUMMYFUNCTION("""COMPUTED_VALUE"""),"piedmont")</f>
        <v>piedmont</v>
      </c>
      <c r="D1926" s="9" t="str">
        <f>IFERROR(__xludf.DUMMYFUNCTION("""COMPUTED_VALUE"""),"Giuseppe Mascarello e Figlio, Barolo, Monprivato")</f>
        <v>Giuseppe Mascarello e Figlio, Barolo, Monprivato</v>
      </c>
      <c r="E1926" s="9">
        <f>IFERROR(__xludf.DUMMYFUNCTION("""COMPUTED_VALUE"""),2017.0)</f>
        <v>2017</v>
      </c>
      <c r="F1926" s="9">
        <f>IFERROR(__xludf.DUMMYFUNCTION("""COMPUTED_VALUE"""),750.0)</f>
        <v>750</v>
      </c>
      <c r="G1926" s="9">
        <f>IFERROR(__xludf.DUMMYFUNCTION("""COMPUTED_VALUE"""),12.0)</f>
        <v>12</v>
      </c>
      <c r="H1926" s="10">
        <f>IFERROR(__xludf.DUMMYFUNCTION("""COMPUTED_VALUE"""),2.0)</f>
        <v>2</v>
      </c>
      <c r="I1926" s="11">
        <f>IFERROR(__xludf.DUMMYFUNCTION("""COMPUTED_VALUE"""),1601.0)</f>
        <v>1601</v>
      </c>
      <c r="J1926" s="9" t="str">
        <f>IFERROR(__xludf.DUMMYFUNCTION("""COMPUTED_VALUE"""),"UK")</f>
        <v>UK</v>
      </c>
      <c r="K1926" s="8"/>
      <c r="L1926" s="12"/>
      <c r="M1926" s="13"/>
      <c r="N1926" s="13" t="str">
        <f>IFERROR(__xludf.DUMMYFUNCTION("IF(ISBLANK(M1926),"""",M1926*GOOGLEFINANCE(""USDGBP""))"),"")</f>
        <v/>
      </c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  <c r="FG1926" s="8"/>
      <c r="FH1926" s="8"/>
      <c r="FI1926" s="8"/>
      <c r="FJ1926" s="8"/>
      <c r="FK1926" s="8"/>
      <c r="FL1926" s="8"/>
      <c r="FM1926" s="8"/>
      <c r="FN1926" s="8"/>
      <c r="FO1926" s="8"/>
      <c r="FP1926" s="8"/>
      <c r="FQ1926" s="8"/>
      <c r="FR1926" s="8"/>
      <c r="FS1926" s="8"/>
      <c r="FT1926" s="8"/>
      <c r="FU1926" s="8"/>
      <c r="FV1926" s="8"/>
      <c r="FW1926" s="8"/>
      <c r="FX1926" s="8"/>
      <c r="FY1926" s="8"/>
      <c r="FZ1926" s="8"/>
      <c r="GA1926" s="8"/>
      <c r="GB1926" s="8"/>
      <c r="GC1926" s="8"/>
      <c r="GD1926" s="8"/>
      <c r="GE1926" s="8"/>
      <c r="GF1926" s="8"/>
      <c r="GG1926" s="8"/>
      <c r="GH1926" s="8"/>
      <c r="GI1926" s="8"/>
      <c r="GJ1926" s="8"/>
      <c r="GK1926" s="8"/>
      <c r="GL1926" s="8"/>
      <c r="GM1926" s="8"/>
      <c r="GN1926" s="8"/>
      <c r="GO1926" s="8"/>
      <c r="GP1926" s="8"/>
      <c r="GQ1926" s="8"/>
      <c r="GR1926" s="8"/>
      <c r="GS1926" s="8"/>
      <c r="GT1926" s="8"/>
      <c r="GU1926" s="8"/>
      <c r="GV1926" s="8"/>
      <c r="GW1926" s="8"/>
      <c r="GX1926" s="8"/>
    </row>
    <row r="1927">
      <c r="A1927" s="8" t="str">
        <f>IFERROR(__xludf.DUMMYFUNCTION("""COMPUTED_VALUE"""),"110131720170600750")</f>
        <v>110131720170600750</v>
      </c>
      <c r="B1927" s="9" t="str">
        <f>IFERROR(__xludf.DUMMYFUNCTION("""COMPUTED_VALUE"""),"Italy")</f>
        <v>Italy</v>
      </c>
      <c r="C1927" s="9" t="str">
        <f>IFERROR(__xludf.DUMMYFUNCTION("""COMPUTED_VALUE"""),"piedmont")</f>
        <v>piedmont</v>
      </c>
      <c r="D1927" s="9" t="str">
        <f>IFERROR(__xludf.DUMMYFUNCTION("""COMPUTED_VALUE"""),"Giuseppe Mascarello e Figlio, Barolo, Monprivato")</f>
        <v>Giuseppe Mascarello e Figlio, Barolo, Monprivato</v>
      </c>
      <c r="E1927" s="9">
        <f>IFERROR(__xludf.DUMMYFUNCTION("""COMPUTED_VALUE"""),2017.0)</f>
        <v>2017</v>
      </c>
      <c r="F1927" s="9">
        <f>IFERROR(__xludf.DUMMYFUNCTION("""COMPUTED_VALUE"""),750.0)</f>
        <v>750</v>
      </c>
      <c r="G1927" s="9">
        <f>IFERROR(__xludf.DUMMYFUNCTION("""COMPUTED_VALUE"""),6.0)</f>
        <v>6</v>
      </c>
      <c r="H1927" s="10">
        <f>IFERROR(__xludf.DUMMYFUNCTION("""COMPUTED_VALUE"""),4.0)</f>
        <v>4</v>
      </c>
      <c r="I1927" s="11">
        <f>IFERROR(__xludf.DUMMYFUNCTION("""COMPUTED_VALUE"""),800.0)</f>
        <v>800</v>
      </c>
      <c r="J1927" s="9" t="str">
        <f>IFERROR(__xludf.DUMMYFUNCTION("""COMPUTED_VALUE"""),"UK")</f>
        <v>UK</v>
      </c>
      <c r="K1927" s="8"/>
      <c r="L1927" s="12"/>
      <c r="M1927" s="13"/>
      <c r="N1927" s="13" t="str">
        <f>IFERROR(__xludf.DUMMYFUNCTION("IF(ISBLANK(M1927),"""",M1927*GOOGLEFINANCE(""USDGBP""))"),"")</f>
        <v/>
      </c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  <c r="FG1927" s="8"/>
      <c r="FH1927" s="8"/>
      <c r="FI1927" s="8"/>
      <c r="FJ1927" s="8"/>
      <c r="FK1927" s="8"/>
      <c r="FL1927" s="8"/>
      <c r="FM1927" s="8"/>
      <c r="FN1927" s="8"/>
      <c r="FO1927" s="8"/>
      <c r="FP1927" s="8"/>
      <c r="FQ1927" s="8"/>
      <c r="FR1927" s="8"/>
      <c r="FS1927" s="8"/>
      <c r="FT1927" s="8"/>
      <c r="FU1927" s="8"/>
      <c r="FV1927" s="8"/>
      <c r="FW1927" s="8"/>
      <c r="FX1927" s="8"/>
      <c r="FY1927" s="8"/>
      <c r="FZ1927" s="8"/>
      <c r="GA1927" s="8"/>
      <c r="GB1927" s="8"/>
      <c r="GC1927" s="8"/>
      <c r="GD1927" s="8"/>
      <c r="GE1927" s="8"/>
      <c r="GF1927" s="8"/>
      <c r="GG1927" s="8"/>
      <c r="GH1927" s="8"/>
      <c r="GI1927" s="8"/>
      <c r="GJ1927" s="8"/>
      <c r="GK1927" s="8"/>
      <c r="GL1927" s="8"/>
      <c r="GM1927" s="8"/>
      <c r="GN1927" s="8"/>
      <c r="GO1927" s="8"/>
      <c r="GP1927" s="8"/>
      <c r="GQ1927" s="8"/>
      <c r="GR1927" s="8"/>
      <c r="GS1927" s="8"/>
      <c r="GT1927" s="8"/>
      <c r="GU1927" s="8"/>
      <c r="GV1927" s="8"/>
      <c r="GW1927" s="8"/>
      <c r="GX1927" s="8"/>
    </row>
    <row r="1928">
      <c r="A1928" s="8" t="str">
        <f>IFERROR(__xludf.DUMMYFUNCTION("""COMPUTED_VALUE"""),"113369320120600750")</f>
        <v>113369320120600750</v>
      </c>
      <c r="B1928" s="9" t="str">
        <f>IFERROR(__xludf.DUMMYFUNCTION("""COMPUTED_VALUE"""),"Italy")</f>
        <v>Italy</v>
      </c>
      <c r="C1928" s="9" t="str">
        <f>IFERROR(__xludf.DUMMYFUNCTION("""COMPUTED_VALUE"""),"piedmont")</f>
        <v>piedmont</v>
      </c>
      <c r="D1928" s="9" t="str">
        <f>IFERROR(__xludf.DUMMYFUNCTION("""COMPUTED_VALUE"""),"Giuseppe Mascarello e Figlio, Barolo, Monprivato Ca D'Morissio Riserva")</f>
        <v>Giuseppe Mascarello e Figlio, Barolo, Monprivato Ca D'Morissio Riserva</v>
      </c>
      <c r="E1928" s="9">
        <f>IFERROR(__xludf.DUMMYFUNCTION("""COMPUTED_VALUE"""),2012.0)</f>
        <v>2012</v>
      </c>
      <c r="F1928" s="9">
        <f>IFERROR(__xludf.DUMMYFUNCTION("""COMPUTED_VALUE"""),750.0)</f>
        <v>750</v>
      </c>
      <c r="G1928" s="9">
        <f>IFERROR(__xludf.DUMMYFUNCTION("""COMPUTED_VALUE"""),6.0)</f>
        <v>6</v>
      </c>
      <c r="H1928" s="10">
        <f>IFERROR(__xludf.DUMMYFUNCTION("""COMPUTED_VALUE"""),2.0)</f>
        <v>2</v>
      </c>
      <c r="I1928" s="11">
        <f>IFERROR(__xludf.DUMMYFUNCTION("""COMPUTED_VALUE"""),2319.0)</f>
        <v>2319</v>
      </c>
      <c r="J1928" s="9" t="str">
        <f>IFERROR(__xludf.DUMMYFUNCTION("""COMPUTED_VALUE"""),"UK")</f>
        <v>UK</v>
      </c>
      <c r="K1928" s="8"/>
      <c r="L1928" s="12"/>
      <c r="M1928" s="13"/>
      <c r="N1928" s="13" t="str">
        <f>IFERROR(__xludf.DUMMYFUNCTION("IF(ISBLANK(M1928),"""",M1928*GOOGLEFINANCE(""USDGBP""))"),"")</f>
        <v/>
      </c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  <c r="FG1928" s="8"/>
      <c r="FH1928" s="8"/>
      <c r="FI1928" s="8"/>
      <c r="FJ1928" s="8"/>
      <c r="FK1928" s="8"/>
      <c r="FL1928" s="8"/>
      <c r="FM1928" s="8"/>
      <c r="FN1928" s="8"/>
      <c r="FO1928" s="8"/>
      <c r="FP1928" s="8"/>
      <c r="FQ1928" s="8"/>
      <c r="FR1928" s="8"/>
      <c r="FS1928" s="8"/>
      <c r="FT1928" s="8"/>
      <c r="FU1928" s="8"/>
      <c r="FV1928" s="8"/>
      <c r="FW1928" s="8"/>
      <c r="FX1928" s="8"/>
      <c r="FY1928" s="8"/>
      <c r="FZ1928" s="8"/>
      <c r="GA1928" s="8"/>
      <c r="GB1928" s="8"/>
      <c r="GC1928" s="8"/>
      <c r="GD1928" s="8"/>
      <c r="GE1928" s="8"/>
      <c r="GF1928" s="8"/>
      <c r="GG1928" s="8"/>
      <c r="GH1928" s="8"/>
      <c r="GI1928" s="8"/>
      <c r="GJ1928" s="8"/>
      <c r="GK1928" s="8"/>
      <c r="GL1928" s="8"/>
      <c r="GM1928" s="8"/>
      <c r="GN1928" s="8"/>
      <c r="GO1928" s="8"/>
      <c r="GP1928" s="8"/>
      <c r="GQ1928" s="8"/>
      <c r="GR1928" s="8"/>
      <c r="GS1928" s="8"/>
      <c r="GT1928" s="8"/>
      <c r="GU1928" s="8"/>
      <c r="GV1928" s="8"/>
      <c r="GW1928" s="8"/>
      <c r="GX1928" s="8"/>
    </row>
    <row r="1929">
      <c r="A1929" s="8" t="str">
        <f>IFERROR(__xludf.DUMMYFUNCTION("""COMPUTED_VALUE"""),"115727119960600750")</f>
        <v>115727119960600750</v>
      </c>
      <c r="B1929" s="9" t="str">
        <f>IFERROR(__xludf.DUMMYFUNCTION("""COMPUTED_VALUE"""),"Italy")</f>
        <v>Italy</v>
      </c>
      <c r="C1929" s="9" t="str">
        <f>IFERROR(__xludf.DUMMYFUNCTION("""COMPUTED_VALUE"""),"piedmont")</f>
        <v>piedmont</v>
      </c>
      <c r="D1929" s="9" t="str">
        <f>IFERROR(__xludf.DUMMYFUNCTION("""COMPUTED_VALUE"""),"Giuseppe Mascarello e Figlio, Barolo, Riserva")</f>
        <v>Giuseppe Mascarello e Figlio, Barolo, Riserva</v>
      </c>
      <c r="E1929" s="9">
        <f>IFERROR(__xludf.DUMMYFUNCTION("""COMPUTED_VALUE"""),1996.0)</f>
        <v>1996</v>
      </c>
      <c r="F1929" s="9">
        <f>IFERROR(__xludf.DUMMYFUNCTION("""COMPUTED_VALUE"""),750.0)</f>
        <v>750</v>
      </c>
      <c r="G1929" s="9">
        <f>IFERROR(__xludf.DUMMYFUNCTION("""COMPUTED_VALUE"""),6.0)</f>
        <v>6</v>
      </c>
      <c r="H1929" s="10">
        <f>IFERROR(__xludf.DUMMYFUNCTION("""COMPUTED_VALUE"""),1.0)</f>
        <v>1</v>
      </c>
      <c r="I1929" s="11">
        <f>IFERROR(__xludf.DUMMYFUNCTION("""COMPUTED_VALUE"""),4153.0)</f>
        <v>4153</v>
      </c>
      <c r="J1929" s="9" t="str">
        <f>IFERROR(__xludf.DUMMYFUNCTION("""COMPUTED_VALUE"""),"UK")</f>
        <v>UK</v>
      </c>
      <c r="K1929" s="8"/>
      <c r="L1929" s="12"/>
      <c r="M1929" s="13"/>
      <c r="N1929" s="13" t="str">
        <f>IFERROR(__xludf.DUMMYFUNCTION("IF(ISBLANK(M1929),"""",M1929*GOOGLEFINANCE(""USDGBP""))"),"")</f>
        <v/>
      </c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  <c r="FG1929" s="8"/>
      <c r="FH1929" s="8"/>
      <c r="FI1929" s="8"/>
      <c r="FJ1929" s="8"/>
      <c r="FK1929" s="8"/>
      <c r="FL1929" s="8"/>
      <c r="FM1929" s="8"/>
      <c r="FN1929" s="8"/>
      <c r="FO1929" s="8"/>
      <c r="FP1929" s="8"/>
      <c r="FQ1929" s="8"/>
      <c r="FR1929" s="8"/>
      <c r="FS1929" s="8"/>
      <c r="FT1929" s="8"/>
      <c r="FU1929" s="8"/>
      <c r="FV1929" s="8"/>
      <c r="FW1929" s="8"/>
      <c r="FX1929" s="8"/>
      <c r="FY1929" s="8"/>
      <c r="FZ1929" s="8"/>
      <c r="GA1929" s="8"/>
      <c r="GB1929" s="8"/>
      <c r="GC1929" s="8"/>
      <c r="GD1929" s="8"/>
      <c r="GE1929" s="8"/>
      <c r="GF1929" s="8"/>
      <c r="GG1929" s="8"/>
      <c r="GH1929" s="8"/>
      <c r="GI1929" s="8"/>
      <c r="GJ1929" s="8"/>
      <c r="GK1929" s="8"/>
      <c r="GL1929" s="8"/>
      <c r="GM1929" s="8"/>
      <c r="GN1929" s="8"/>
      <c r="GO1929" s="8"/>
      <c r="GP1929" s="8"/>
      <c r="GQ1929" s="8"/>
      <c r="GR1929" s="8"/>
      <c r="GS1929" s="8"/>
      <c r="GT1929" s="8"/>
      <c r="GU1929" s="8"/>
      <c r="GV1929" s="8"/>
      <c r="GW1929" s="8"/>
      <c r="GX1929" s="8"/>
    </row>
    <row r="1930">
      <c r="A1930" s="8" t="str">
        <f>IFERROR(__xludf.DUMMYFUNCTION("""COMPUTED_VALUE"""),"119314320181200750")</f>
        <v>119314320181200750</v>
      </c>
      <c r="B1930" s="9" t="str">
        <f>IFERROR(__xludf.DUMMYFUNCTION("""COMPUTED_VALUE"""),"Italy")</f>
        <v>Italy</v>
      </c>
      <c r="C1930" s="9" t="str">
        <f>IFERROR(__xludf.DUMMYFUNCTION("""COMPUTED_VALUE"""),"piedmont")</f>
        <v>piedmont</v>
      </c>
      <c r="D1930" s="9" t="str">
        <f>IFERROR(__xludf.DUMMYFUNCTION("""COMPUTED_VALUE"""),"Giuseppe Rinaldi, Barbera d'Alba")</f>
        <v>Giuseppe Rinaldi, Barbera d'Alba</v>
      </c>
      <c r="E1930" s="9">
        <f>IFERROR(__xludf.DUMMYFUNCTION("""COMPUTED_VALUE"""),2018.0)</f>
        <v>2018</v>
      </c>
      <c r="F1930" s="9">
        <f>IFERROR(__xludf.DUMMYFUNCTION("""COMPUTED_VALUE"""),750.0)</f>
        <v>750</v>
      </c>
      <c r="G1930" s="9">
        <f>IFERROR(__xludf.DUMMYFUNCTION("""COMPUTED_VALUE"""),12.0)</f>
        <v>12</v>
      </c>
      <c r="H1930" s="10">
        <f>IFERROR(__xludf.DUMMYFUNCTION("""COMPUTED_VALUE"""),2.0)</f>
        <v>2</v>
      </c>
      <c r="I1930" s="11">
        <f>IFERROR(__xludf.DUMMYFUNCTION("""COMPUTED_VALUE"""),677.0)</f>
        <v>677</v>
      </c>
      <c r="J1930" s="9" t="str">
        <f>IFERROR(__xludf.DUMMYFUNCTION("""COMPUTED_VALUE"""),"UK")</f>
        <v>UK</v>
      </c>
      <c r="K1930" s="8"/>
      <c r="L1930" s="12"/>
      <c r="M1930" s="13"/>
      <c r="N1930" s="13" t="str">
        <f>IFERROR(__xludf.DUMMYFUNCTION("IF(ISBLANK(M1930),"""",M1930*GOOGLEFINANCE(""USDGBP""))"),"")</f>
        <v/>
      </c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  <c r="FG1930" s="8"/>
      <c r="FH1930" s="8"/>
      <c r="FI1930" s="8"/>
      <c r="FJ1930" s="8"/>
      <c r="FK1930" s="8"/>
      <c r="FL1930" s="8"/>
      <c r="FM1930" s="8"/>
      <c r="FN1930" s="8"/>
      <c r="FO1930" s="8"/>
      <c r="FP1930" s="8"/>
      <c r="FQ1930" s="8"/>
      <c r="FR1930" s="8"/>
      <c r="FS1930" s="8"/>
      <c r="FT1930" s="8"/>
      <c r="FU1930" s="8"/>
      <c r="FV1930" s="8"/>
      <c r="FW1930" s="8"/>
      <c r="FX1930" s="8"/>
      <c r="FY1930" s="8"/>
      <c r="FZ1930" s="8"/>
      <c r="GA1930" s="8"/>
      <c r="GB1930" s="8"/>
      <c r="GC1930" s="8"/>
      <c r="GD1930" s="8"/>
      <c r="GE1930" s="8"/>
      <c r="GF1930" s="8"/>
      <c r="GG1930" s="8"/>
      <c r="GH1930" s="8"/>
      <c r="GI1930" s="8"/>
      <c r="GJ1930" s="8"/>
      <c r="GK1930" s="8"/>
      <c r="GL1930" s="8"/>
      <c r="GM1930" s="8"/>
      <c r="GN1930" s="8"/>
      <c r="GO1930" s="8"/>
      <c r="GP1930" s="8"/>
      <c r="GQ1930" s="8"/>
      <c r="GR1930" s="8"/>
      <c r="GS1930" s="8"/>
      <c r="GT1930" s="8"/>
      <c r="GU1930" s="8"/>
      <c r="GV1930" s="8"/>
      <c r="GW1930" s="8"/>
      <c r="GX1930" s="8"/>
    </row>
    <row r="1931">
      <c r="A1931" s="8" t="str">
        <f>IFERROR(__xludf.DUMMYFUNCTION("""COMPUTED_VALUE"""),"110419020171200750")</f>
        <v>110419020171200750</v>
      </c>
      <c r="B1931" s="9" t="str">
        <f>IFERROR(__xludf.DUMMYFUNCTION("""COMPUTED_VALUE"""),"Italy")</f>
        <v>Italy</v>
      </c>
      <c r="C1931" s="9" t="str">
        <f>IFERROR(__xludf.DUMMYFUNCTION("""COMPUTED_VALUE"""),"piedmont")</f>
        <v>piedmont</v>
      </c>
      <c r="D1931" s="9" t="str">
        <f>IFERROR(__xludf.DUMMYFUNCTION("""COMPUTED_VALUE"""),"Giuseppe Rinaldi, Barolo, Brunate")</f>
        <v>Giuseppe Rinaldi, Barolo, Brunate</v>
      </c>
      <c r="E1931" s="9">
        <f>IFERROR(__xludf.DUMMYFUNCTION("""COMPUTED_VALUE"""),2017.0)</f>
        <v>2017</v>
      </c>
      <c r="F1931" s="9">
        <f>IFERROR(__xludf.DUMMYFUNCTION("""COMPUTED_VALUE"""),750.0)</f>
        <v>750</v>
      </c>
      <c r="G1931" s="9">
        <f>IFERROR(__xludf.DUMMYFUNCTION("""COMPUTED_VALUE"""),12.0)</f>
        <v>12</v>
      </c>
      <c r="H1931" s="10">
        <f>IFERROR(__xludf.DUMMYFUNCTION("""COMPUTED_VALUE"""),3.0)</f>
        <v>3</v>
      </c>
      <c r="I1931" s="11">
        <f>IFERROR(__xludf.DUMMYFUNCTION("""COMPUTED_VALUE"""),3358.0)</f>
        <v>3358</v>
      </c>
      <c r="J1931" s="9" t="str">
        <f>IFERROR(__xludf.DUMMYFUNCTION("""COMPUTED_VALUE"""),"UK")</f>
        <v>UK</v>
      </c>
      <c r="K1931" s="8"/>
      <c r="L1931" s="12"/>
      <c r="M1931" s="13"/>
      <c r="N1931" s="13" t="str">
        <f>IFERROR(__xludf.DUMMYFUNCTION("IF(ISBLANK(M1931),"""",M1931*GOOGLEFINANCE(""USDGBP""))"),"")</f>
        <v/>
      </c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  <c r="FG1931" s="8"/>
      <c r="FH1931" s="8"/>
      <c r="FI1931" s="8"/>
      <c r="FJ1931" s="8"/>
      <c r="FK1931" s="8"/>
      <c r="FL1931" s="8"/>
      <c r="FM1931" s="8"/>
      <c r="FN1931" s="8"/>
      <c r="FO1931" s="8"/>
      <c r="FP1931" s="8"/>
      <c r="FQ1931" s="8"/>
      <c r="FR1931" s="8"/>
      <c r="FS1931" s="8"/>
      <c r="FT1931" s="8"/>
      <c r="FU1931" s="8"/>
      <c r="FV1931" s="8"/>
      <c r="FW1931" s="8"/>
      <c r="FX1931" s="8"/>
      <c r="FY1931" s="8"/>
      <c r="FZ1931" s="8"/>
      <c r="GA1931" s="8"/>
      <c r="GB1931" s="8"/>
      <c r="GC1931" s="8"/>
      <c r="GD1931" s="8"/>
      <c r="GE1931" s="8"/>
      <c r="GF1931" s="8"/>
      <c r="GG1931" s="8"/>
      <c r="GH1931" s="8"/>
      <c r="GI1931" s="8"/>
      <c r="GJ1931" s="8"/>
      <c r="GK1931" s="8"/>
      <c r="GL1931" s="8"/>
      <c r="GM1931" s="8"/>
      <c r="GN1931" s="8"/>
      <c r="GO1931" s="8"/>
      <c r="GP1931" s="8"/>
      <c r="GQ1931" s="8"/>
      <c r="GR1931" s="8"/>
      <c r="GS1931" s="8"/>
      <c r="GT1931" s="8"/>
      <c r="GU1931" s="8"/>
      <c r="GV1931" s="8"/>
      <c r="GW1931" s="8"/>
      <c r="GX1931" s="8"/>
    </row>
    <row r="1932">
      <c r="A1932" s="8" t="str">
        <f>IFERROR(__xludf.DUMMYFUNCTION("""COMPUTED_VALUE"""),"131946020161200750")</f>
        <v>131946020161200750</v>
      </c>
      <c r="B1932" s="9" t="str">
        <f>IFERROR(__xludf.DUMMYFUNCTION("""COMPUTED_VALUE"""),"Italy")</f>
        <v>Italy</v>
      </c>
      <c r="C1932" s="9" t="str">
        <f>IFERROR(__xludf.DUMMYFUNCTION("""COMPUTED_VALUE"""),"piedmont")</f>
        <v>piedmont</v>
      </c>
      <c r="D1932" s="9" t="str">
        <f>IFERROR(__xludf.DUMMYFUNCTION("""COMPUTED_VALUE"""),"Giuseppe Rinaldi, Barolo, Tre Tine")</f>
        <v>Giuseppe Rinaldi, Barolo, Tre Tine</v>
      </c>
      <c r="E1932" s="9">
        <f>IFERROR(__xludf.DUMMYFUNCTION("""COMPUTED_VALUE"""),2016.0)</f>
        <v>2016</v>
      </c>
      <c r="F1932" s="9">
        <f>IFERROR(__xludf.DUMMYFUNCTION("""COMPUTED_VALUE"""),750.0)</f>
        <v>750</v>
      </c>
      <c r="G1932" s="9">
        <f>IFERROR(__xludf.DUMMYFUNCTION("""COMPUTED_VALUE"""),12.0)</f>
        <v>12</v>
      </c>
      <c r="H1932" s="10">
        <f>IFERROR(__xludf.DUMMYFUNCTION("""COMPUTED_VALUE"""),2.0)</f>
        <v>2</v>
      </c>
      <c r="I1932" s="11">
        <f>IFERROR(__xludf.DUMMYFUNCTION("""COMPUTED_VALUE"""),4416.0)</f>
        <v>4416</v>
      </c>
      <c r="J1932" s="9" t="str">
        <f>IFERROR(__xludf.DUMMYFUNCTION("""COMPUTED_VALUE"""),"UK")</f>
        <v>UK</v>
      </c>
      <c r="K1932" s="8"/>
      <c r="L1932" s="12"/>
      <c r="M1932" s="13"/>
      <c r="N1932" s="13" t="str">
        <f>IFERROR(__xludf.DUMMYFUNCTION("IF(ISBLANK(M1932),"""",M1932*GOOGLEFINANCE(""USDGBP""))"),"")</f>
        <v/>
      </c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  <c r="FG1932" s="8"/>
      <c r="FH1932" s="8"/>
      <c r="FI1932" s="8"/>
      <c r="FJ1932" s="8"/>
      <c r="FK1932" s="8"/>
      <c r="FL1932" s="8"/>
      <c r="FM1932" s="8"/>
      <c r="FN1932" s="8"/>
      <c r="FO1932" s="8"/>
      <c r="FP1932" s="8"/>
      <c r="FQ1932" s="8"/>
      <c r="FR1932" s="8"/>
      <c r="FS1932" s="8"/>
      <c r="FT1932" s="8"/>
      <c r="FU1932" s="8"/>
      <c r="FV1932" s="8"/>
      <c r="FW1932" s="8"/>
      <c r="FX1932" s="8"/>
      <c r="FY1932" s="8"/>
      <c r="FZ1932" s="8"/>
      <c r="GA1932" s="8"/>
      <c r="GB1932" s="8"/>
      <c r="GC1932" s="8"/>
      <c r="GD1932" s="8"/>
      <c r="GE1932" s="8"/>
      <c r="GF1932" s="8"/>
      <c r="GG1932" s="8"/>
      <c r="GH1932" s="8"/>
      <c r="GI1932" s="8"/>
      <c r="GJ1932" s="8"/>
      <c r="GK1932" s="8"/>
      <c r="GL1932" s="8"/>
      <c r="GM1932" s="8"/>
      <c r="GN1932" s="8"/>
      <c r="GO1932" s="8"/>
      <c r="GP1932" s="8"/>
      <c r="GQ1932" s="8"/>
      <c r="GR1932" s="8"/>
      <c r="GS1932" s="8"/>
      <c r="GT1932" s="8"/>
      <c r="GU1932" s="8"/>
      <c r="GV1932" s="8"/>
      <c r="GW1932" s="8"/>
      <c r="GX1932" s="8"/>
    </row>
    <row r="1933">
      <c r="A1933" s="8" t="str">
        <f>IFERROR(__xludf.DUMMYFUNCTION("""COMPUTED_VALUE"""),"131946020170600750")</f>
        <v>131946020170600750</v>
      </c>
      <c r="B1933" s="9" t="str">
        <f>IFERROR(__xludf.DUMMYFUNCTION("""COMPUTED_VALUE"""),"Italy")</f>
        <v>Italy</v>
      </c>
      <c r="C1933" s="9" t="str">
        <f>IFERROR(__xludf.DUMMYFUNCTION("""COMPUTED_VALUE"""),"piedmont")</f>
        <v>piedmont</v>
      </c>
      <c r="D1933" s="9" t="str">
        <f>IFERROR(__xludf.DUMMYFUNCTION("""COMPUTED_VALUE"""),"Giuseppe Rinaldi, Barolo, Tre Tine")</f>
        <v>Giuseppe Rinaldi, Barolo, Tre Tine</v>
      </c>
      <c r="E1933" s="9">
        <f>IFERROR(__xludf.DUMMYFUNCTION("""COMPUTED_VALUE"""),2017.0)</f>
        <v>2017</v>
      </c>
      <c r="F1933" s="9">
        <f>IFERROR(__xludf.DUMMYFUNCTION("""COMPUTED_VALUE"""),750.0)</f>
        <v>750</v>
      </c>
      <c r="G1933" s="9">
        <f>IFERROR(__xludf.DUMMYFUNCTION("""COMPUTED_VALUE"""),6.0)</f>
        <v>6</v>
      </c>
      <c r="H1933" s="10">
        <f>IFERROR(__xludf.DUMMYFUNCTION("""COMPUTED_VALUE"""),2.0)</f>
        <v>2</v>
      </c>
      <c r="I1933" s="11">
        <f>IFERROR(__xludf.DUMMYFUNCTION("""COMPUTED_VALUE"""),1494.0)</f>
        <v>1494</v>
      </c>
      <c r="J1933" s="9" t="str">
        <f>IFERROR(__xludf.DUMMYFUNCTION("""COMPUTED_VALUE"""),"UK")</f>
        <v>UK</v>
      </c>
      <c r="K1933" s="8"/>
      <c r="L1933" s="12"/>
      <c r="M1933" s="13"/>
      <c r="N1933" s="13" t="str">
        <f>IFERROR(__xludf.DUMMYFUNCTION("IF(ISBLANK(M1933),"""",M1933*GOOGLEFINANCE(""USDGBP""))"),"")</f>
        <v/>
      </c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  <c r="FG1933" s="8"/>
      <c r="FH1933" s="8"/>
      <c r="FI1933" s="8"/>
      <c r="FJ1933" s="8"/>
      <c r="FK1933" s="8"/>
      <c r="FL1933" s="8"/>
      <c r="FM1933" s="8"/>
      <c r="FN1933" s="8"/>
      <c r="FO1933" s="8"/>
      <c r="FP1933" s="8"/>
      <c r="FQ1933" s="8"/>
      <c r="FR1933" s="8"/>
      <c r="FS1933" s="8"/>
      <c r="FT1933" s="8"/>
      <c r="FU1933" s="8"/>
      <c r="FV1933" s="8"/>
      <c r="FW1933" s="8"/>
      <c r="FX1933" s="8"/>
      <c r="FY1933" s="8"/>
      <c r="FZ1933" s="8"/>
      <c r="GA1933" s="8"/>
      <c r="GB1933" s="8"/>
      <c r="GC1933" s="8"/>
      <c r="GD1933" s="8"/>
      <c r="GE1933" s="8"/>
      <c r="GF1933" s="8"/>
      <c r="GG1933" s="8"/>
      <c r="GH1933" s="8"/>
      <c r="GI1933" s="8"/>
      <c r="GJ1933" s="8"/>
      <c r="GK1933" s="8"/>
      <c r="GL1933" s="8"/>
      <c r="GM1933" s="8"/>
      <c r="GN1933" s="8"/>
      <c r="GO1933" s="8"/>
      <c r="GP1933" s="8"/>
      <c r="GQ1933" s="8"/>
      <c r="GR1933" s="8"/>
      <c r="GS1933" s="8"/>
      <c r="GT1933" s="8"/>
      <c r="GU1933" s="8"/>
      <c r="GV1933" s="8"/>
      <c r="GW1933" s="8"/>
      <c r="GX1933" s="8"/>
    </row>
    <row r="1934">
      <c r="A1934" s="8" t="str">
        <f>IFERROR(__xludf.DUMMYFUNCTION("""COMPUTED_VALUE"""),"131946020171200750")</f>
        <v>131946020171200750</v>
      </c>
      <c r="B1934" s="9" t="str">
        <f>IFERROR(__xludf.DUMMYFUNCTION("""COMPUTED_VALUE"""),"Italy")</f>
        <v>Italy</v>
      </c>
      <c r="C1934" s="9" t="str">
        <f>IFERROR(__xludf.DUMMYFUNCTION("""COMPUTED_VALUE"""),"piedmont")</f>
        <v>piedmont</v>
      </c>
      <c r="D1934" s="9" t="str">
        <f>IFERROR(__xludf.DUMMYFUNCTION("""COMPUTED_VALUE"""),"Giuseppe Rinaldi, Barolo, Tre Tine")</f>
        <v>Giuseppe Rinaldi, Barolo, Tre Tine</v>
      </c>
      <c r="E1934" s="9">
        <f>IFERROR(__xludf.DUMMYFUNCTION("""COMPUTED_VALUE"""),2017.0)</f>
        <v>2017</v>
      </c>
      <c r="F1934" s="9">
        <f>IFERROR(__xludf.DUMMYFUNCTION("""COMPUTED_VALUE"""),750.0)</f>
        <v>750</v>
      </c>
      <c r="G1934" s="9">
        <f>IFERROR(__xludf.DUMMYFUNCTION("""COMPUTED_VALUE"""),12.0)</f>
        <v>12</v>
      </c>
      <c r="H1934" s="10">
        <f>IFERROR(__xludf.DUMMYFUNCTION("""COMPUTED_VALUE"""),1.0)</f>
        <v>1</v>
      </c>
      <c r="I1934" s="11">
        <f>IFERROR(__xludf.DUMMYFUNCTION("""COMPUTED_VALUE"""),2987.0)</f>
        <v>2987</v>
      </c>
      <c r="J1934" s="9" t="str">
        <f>IFERROR(__xludf.DUMMYFUNCTION("""COMPUTED_VALUE"""),"UK")</f>
        <v>UK</v>
      </c>
      <c r="K1934" s="8"/>
      <c r="L1934" s="12"/>
      <c r="M1934" s="13"/>
      <c r="N1934" s="13" t="str">
        <f>IFERROR(__xludf.DUMMYFUNCTION("IF(ISBLANK(M1934),"""",M1934*GOOGLEFINANCE(""USDGBP""))"),"")</f>
        <v/>
      </c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  <c r="FG1934" s="8"/>
      <c r="FH1934" s="8"/>
      <c r="FI1934" s="8"/>
      <c r="FJ1934" s="8"/>
      <c r="FK1934" s="8"/>
      <c r="FL1934" s="8"/>
      <c r="FM1934" s="8"/>
      <c r="FN1934" s="8"/>
      <c r="FO1934" s="8"/>
      <c r="FP1934" s="8"/>
      <c r="FQ1934" s="8"/>
      <c r="FR1934" s="8"/>
      <c r="FS1934" s="8"/>
      <c r="FT1934" s="8"/>
      <c r="FU1934" s="8"/>
      <c r="FV1934" s="8"/>
      <c r="FW1934" s="8"/>
      <c r="FX1934" s="8"/>
      <c r="FY1934" s="8"/>
      <c r="FZ1934" s="8"/>
      <c r="GA1934" s="8"/>
      <c r="GB1934" s="8"/>
      <c r="GC1934" s="8"/>
      <c r="GD1934" s="8"/>
      <c r="GE1934" s="8"/>
      <c r="GF1934" s="8"/>
      <c r="GG1934" s="8"/>
      <c r="GH1934" s="8"/>
      <c r="GI1934" s="8"/>
      <c r="GJ1934" s="8"/>
      <c r="GK1934" s="8"/>
      <c r="GL1934" s="8"/>
      <c r="GM1934" s="8"/>
      <c r="GN1934" s="8"/>
      <c r="GO1934" s="8"/>
      <c r="GP1934" s="8"/>
      <c r="GQ1934" s="8"/>
      <c r="GR1934" s="8"/>
      <c r="GS1934" s="8"/>
      <c r="GT1934" s="8"/>
      <c r="GU1934" s="8"/>
      <c r="GV1934" s="8"/>
      <c r="GW1934" s="8"/>
      <c r="GX1934" s="8"/>
    </row>
    <row r="1935">
      <c r="A1935" s="8" t="str">
        <f>IFERROR(__xludf.DUMMYFUNCTION("""COMPUTED_VALUE"""),"119315620171200750")</f>
        <v>119315620171200750</v>
      </c>
      <c r="B1935" s="9" t="str">
        <f>IFERROR(__xludf.DUMMYFUNCTION("""COMPUTED_VALUE"""),"Italy")</f>
        <v>Italy</v>
      </c>
      <c r="C1935" s="9" t="str">
        <f>IFERROR(__xludf.DUMMYFUNCTION("""COMPUTED_VALUE"""),"piedmont")</f>
        <v>piedmont</v>
      </c>
      <c r="D1935" s="9" t="str">
        <f>IFERROR(__xludf.DUMMYFUNCTION("""COMPUTED_VALUE"""),"Giuseppe Rinaldi, Dolcetto d'Alba")</f>
        <v>Giuseppe Rinaldi, Dolcetto d'Alba</v>
      </c>
      <c r="E1935" s="9">
        <f>IFERROR(__xludf.DUMMYFUNCTION("""COMPUTED_VALUE"""),2017.0)</f>
        <v>2017</v>
      </c>
      <c r="F1935" s="9">
        <f>IFERROR(__xludf.DUMMYFUNCTION("""COMPUTED_VALUE"""),750.0)</f>
        <v>750</v>
      </c>
      <c r="G1935" s="9">
        <f>IFERROR(__xludf.DUMMYFUNCTION("""COMPUTED_VALUE"""),12.0)</f>
        <v>12</v>
      </c>
      <c r="H1935" s="10">
        <f>IFERROR(__xludf.DUMMYFUNCTION("""COMPUTED_VALUE"""),2.0)</f>
        <v>2</v>
      </c>
      <c r="I1935" s="11">
        <f>IFERROR(__xludf.DUMMYFUNCTION("""COMPUTED_VALUE"""),548.0)</f>
        <v>548</v>
      </c>
      <c r="J1935" s="9" t="str">
        <f>IFERROR(__xludf.DUMMYFUNCTION("""COMPUTED_VALUE"""),"UK")</f>
        <v>UK</v>
      </c>
      <c r="K1935" s="8"/>
      <c r="L1935" s="12"/>
      <c r="M1935" s="13"/>
      <c r="N1935" s="13" t="str">
        <f>IFERROR(__xludf.DUMMYFUNCTION("IF(ISBLANK(M1935),"""",M1935*GOOGLEFINANCE(""USDGBP""))"),"")</f>
        <v/>
      </c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  <c r="FG1935" s="8"/>
      <c r="FH1935" s="8"/>
      <c r="FI1935" s="8"/>
      <c r="FJ1935" s="8"/>
      <c r="FK1935" s="8"/>
      <c r="FL1935" s="8"/>
      <c r="FM1935" s="8"/>
      <c r="FN1935" s="8"/>
      <c r="FO1935" s="8"/>
      <c r="FP1935" s="8"/>
      <c r="FQ1935" s="8"/>
      <c r="FR1935" s="8"/>
      <c r="FS1935" s="8"/>
      <c r="FT1935" s="8"/>
      <c r="FU1935" s="8"/>
      <c r="FV1935" s="8"/>
      <c r="FW1935" s="8"/>
      <c r="FX1935" s="8"/>
      <c r="FY1935" s="8"/>
      <c r="FZ1935" s="8"/>
      <c r="GA1935" s="8"/>
      <c r="GB1935" s="8"/>
      <c r="GC1935" s="8"/>
      <c r="GD1935" s="8"/>
      <c r="GE1935" s="8"/>
      <c r="GF1935" s="8"/>
      <c r="GG1935" s="8"/>
      <c r="GH1935" s="8"/>
      <c r="GI1935" s="8"/>
      <c r="GJ1935" s="8"/>
      <c r="GK1935" s="8"/>
      <c r="GL1935" s="8"/>
      <c r="GM1935" s="8"/>
      <c r="GN1935" s="8"/>
      <c r="GO1935" s="8"/>
      <c r="GP1935" s="8"/>
      <c r="GQ1935" s="8"/>
      <c r="GR1935" s="8"/>
      <c r="GS1935" s="8"/>
      <c r="GT1935" s="8"/>
      <c r="GU1935" s="8"/>
      <c r="GV1935" s="8"/>
      <c r="GW1935" s="8"/>
      <c r="GX1935" s="8"/>
    </row>
    <row r="1936">
      <c r="A1936" s="8" t="str">
        <f>IFERROR(__xludf.DUMMYFUNCTION("""COMPUTED_VALUE"""),"119315620181200750")</f>
        <v>119315620181200750</v>
      </c>
      <c r="B1936" s="9" t="str">
        <f>IFERROR(__xludf.DUMMYFUNCTION("""COMPUTED_VALUE"""),"Italy")</f>
        <v>Italy</v>
      </c>
      <c r="C1936" s="9" t="str">
        <f>IFERROR(__xludf.DUMMYFUNCTION("""COMPUTED_VALUE"""),"piedmont")</f>
        <v>piedmont</v>
      </c>
      <c r="D1936" s="9" t="str">
        <f>IFERROR(__xludf.DUMMYFUNCTION("""COMPUTED_VALUE"""),"Giuseppe Rinaldi, Dolcetto d'Alba")</f>
        <v>Giuseppe Rinaldi, Dolcetto d'Alba</v>
      </c>
      <c r="E1936" s="9">
        <f>IFERROR(__xludf.DUMMYFUNCTION("""COMPUTED_VALUE"""),2018.0)</f>
        <v>2018</v>
      </c>
      <c r="F1936" s="9">
        <f>IFERROR(__xludf.DUMMYFUNCTION("""COMPUTED_VALUE"""),750.0)</f>
        <v>750</v>
      </c>
      <c r="G1936" s="9">
        <f>IFERROR(__xludf.DUMMYFUNCTION("""COMPUTED_VALUE"""),12.0)</f>
        <v>12</v>
      </c>
      <c r="H1936" s="10">
        <f>IFERROR(__xludf.DUMMYFUNCTION("""COMPUTED_VALUE"""),1.0)</f>
        <v>1</v>
      </c>
      <c r="I1936" s="11">
        <f>IFERROR(__xludf.DUMMYFUNCTION("""COMPUTED_VALUE"""),609.0)</f>
        <v>609</v>
      </c>
      <c r="J1936" s="9" t="str">
        <f>IFERROR(__xludf.DUMMYFUNCTION("""COMPUTED_VALUE"""),"UK")</f>
        <v>UK</v>
      </c>
      <c r="K1936" s="8"/>
      <c r="L1936" s="12"/>
      <c r="M1936" s="13"/>
      <c r="N1936" s="13" t="str">
        <f>IFERROR(__xludf.DUMMYFUNCTION("IF(ISBLANK(M1936),"""",M1936*GOOGLEFINANCE(""USDGBP""))"),"")</f>
        <v/>
      </c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  <c r="FG1936" s="8"/>
      <c r="FH1936" s="8"/>
      <c r="FI1936" s="8"/>
      <c r="FJ1936" s="8"/>
      <c r="FK1936" s="8"/>
      <c r="FL1936" s="8"/>
      <c r="FM1936" s="8"/>
      <c r="FN1936" s="8"/>
      <c r="FO1936" s="8"/>
      <c r="FP1936" s="8"/>
      <c r="FQ1936" s="8"/>
      <c r="FR1936" s="8"/>
      <c r="FS1936" s="8"/>
      <c r="FT1936" s="8"/>
      <c r="FU1936" s="8"/>
      <c r="FV1936" s="8"/>
      <c r="FW1936" s="8"/>
      <c r="FX1936" s="8"/>
      <c r="FY1936" s="8"/>
      <c r="FZ1936" s="8"/>
      <c r="GA1936" s="8"/>
      <c r="GB1936" s="8"/>
      <c r="GC1936" s="8"/>
      <c r="GD1936" s="8"/>
      <c r="GE1936" s="8"/>
      <c r="GF1936" s="8"/>
      <c r="GG1936" s="8"/>
      <c r="GH1936" s="8"/>
      <c r="GI1936" s="8"/>
      <c r="GJ1936" s="8"/>
      <c r="GK1936" s="8"/>
      <c r="GL1936" s="8"/>
      <c r="GM1936" s="8"/>
      <c r="GN1936" s="8"/>
      <c r="GO1936" s="8"/>
      <c r="GP1936" s="8"/>
      <c r="GQ1936" s="8"/>
      <c r="GR1936" s="8"/>
      <c r="GS1936" s="8"/>
      <c r="GT1936" s="8"/>
      <c r="GU1936" s="8"/>
      <c r="GV1936" s="8"/>
      <c r="GW1936" s="8"/>
      <c r="GX1936" s="8"/>
    </row>
    <row r="1937">
      <c r="A1937" s="8" t="str">
        <f>IFERROR(__xludf.DUMMYFUNCTION("""COMPUTED_VALUE"""),"119316920181200750")</f>
        <v>119316920181200750</v>
      </c>
      <c r="B1937" s="9" t="str">
        <f>IFERROR(__xludf.DUMMYFUNCTION("""COMPUTED_VALUE"""),"Italy")</f>
        <v>Italy</v>
      </c>
      <c r="C1937" s="9" t="str">
        <f>IFERROR(__xludf.DUMMYFUNCTION("""COMPUTED_VALUE"""),"piedmont")</f>
        <v>piedmont</v>
      </c>
      <c r="D1937" s="9" t="str">
        <f>IFERROR(__xludf.DUMMYFUNCTION("""COMPUTED_VALUE"""),"Giuseppe Rinaldi, Langhe, Freisa")</f>
        <v>Giuseppe Rinaldi, Langhe, Freisa</v>
      </c>
      <c r="E1937" s="9">
        <f>IFERROR(__xludf.DUMMYFUNCTION("""COMPUTED_VALUE"""),2018.0)</f>
        <v>2018</v>
      </c>
      <c r="F1937" s="9">
        <f>IFERROR(__xludf.DUMMYFUNCTION("""COMPUTED_VALUE"""),750.0)</f>
        <v>750</v>
      </c>
      <c r="G1937" s="9">
        <f>IFERROR(__xludf.DUMMYFUNCTION("""COMPUTED_VALUE"""),12.0)</f>
        <v>12</v>
      </c>
      <c r="H1937" s="10">
        <f>IFERROR(__xludf.DUMMYFUNCTION("""COMPUTED_VALUE"""),2.0)</f>
        <v>2</v>
      </c>
      <c r="I1937" s="11">
        <f>IFERROR(__xludf.DUMMYFUNCTION("""COMPUTED_VALUE"""),573.0)</f>
        <v>573</v>
      </c>
      <c r="J1937" s="9" t="str">
        <f>IFERROR(__xludf.DUMMYFUNCTION("""COMPUTED_VALUE"""),"UK")</f>
        <v>UK</v>
      </c>
      <c r="K1937" s="8"/>
      <c r="L1937" s="12"/>
      <c r="M1937" s="13"/>
      <c r="N1937" s="13" t="str">
        <f>IFERROR(__xludf.DUMMYFUNCTION("IF(ISBLANK(M1937),"""",M1937*GOOGLEFINANCE(""USDGBP""))"),"")</f>
        <v/>
      </c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  <c r="FG1937" s="8"/>
      <c r="FH1937" s="8"/>
      <c r="FI1937" s="8"/>
      <c r="FJ1937" s="8"/>
      <c r="FK1937" s="8"/>
      <c r="FL1937" s="8"/>
      <c r="FM1937" s="8"/>
      <c r="FN1937" s="8"/>
      <c r="FO1937" s="8"/>
      <c r="FP1937" s="8"/>
      <c r="FQ1937" s="8"/>
      <c r="FR1937" s="8"/>
      <c r="FS1937" s="8"/>
      <c r="FT1937" s="8"/>
      <c r="FU1937" s="8"/>
      <c r="FV1937" s="8"/>
      <c r="FW1937" s="8"/>
      <c r="FX1937" s="8"/>
      <c r="FY1937" s="8"/>
      <c r="FZ1937" s="8"/>
      <c r="GA1937" s="8"/>
      <c r="GB1937" s="8"/>
      <c r="GC1937" s="8"/>
      <c r="GD1937" s="8"/>
      <c r="GE1937" s="8"/>
      <c r="GF1937" s="8"/>
      <c r="GG1937" s="8"/>
      <c r="GH1937" s="8"/>
      <c r="GI1937" s="8"/>
      <c r="GJ1937" s="8"/>
      <c r="GK1937" s="8"/>
      <c r="GL1937" s="8"/>
      <c r="GM1937" s="8"/>
      <c r="GN1937" s="8"/>
      <c r="GO1937" s="8"/>
      <c r="GP1937" s="8"/>
      <c r="GQ1937" s="8"/>
      <c r="GR1937" s="8"/>
      <c r="GS1937" s="8"/>
      <c r="GT1937" s="8"/>
      <c r="GU1937" s="8"/>
      <c r="GV1937" s="8"/>
      <c r="GW1937" s="8"/>
      <c r="GX1937" s="8"/>
    </row>
    <row r="1938">
      <c r="A1938" s="8" t="str">
        <f>IFERROR(__xludf.DUMMYFUNCTION("""COMPUTED_VALUE"""),"114746520181200750")</f>
        <v>114746520181200750</v>
      </c>
      <c r="B1938" s="9" t="str">
        <f>IFERROR(__xludf.DUMMYFUNCTION("""COMPUTED_VALUE"""),"Italy")</f>
        <v>Italy</v>
      </c>
      <c r="C1938" s="9" t="str">
        <f>IFERROR(__xludf.DUMMYFUNCTION("""COMPUTED_VALUE"""),"piedmont")</f>
        <v>piedmont</v>
      </c>
      <c r="D1938" s="9" t="str">
        <f>IFERROR(__xludf.DUMMYFUNCTION("""COMPUTED_VALUE"""),"Giuseppe Rinaldi, Langhe, Nebbiolo")</f>
        <v>Giuseppe Rinaldi, Langhe, Nebbiolo</v>
      </c>
      <c r="E1938" s="9">
        <f>IFERROR(__xludf.DUMMYFUNCTION("""COMPUTED_VALUE"""),2018.0)</f>
        <v>2018</v>
      </c>
      <c r="F1938" s="9">
        <f>IFERROR(__xludf.DUMMYFUNCTION("""COMPUTED_VALUE"""),750.0)</f>
        <v>750</v>
      </c>
      <c r="G1938" s="9">
        <f>IFERROR(__xludf.DUMMYFUNCTION("""COMPUTED_VALUE"""),12.0)</f>
        <v>12</v>
      </c>
      <c r="H1938" s="10">
        <f>IFERROR(__xludf.DUMMYFUNCTION("""COMPUTED_VALUE"""),1.0)</f>
        <v>1</v>
      </c>
      <c r="I1938" s="11">
        <f>IFERROR(__xludf.DUMMYFUNCTION("""COMPUTED_VALUE"""),1062.0)</f>
        <v>1062</v>
      </c>
      <c r="J1938" s="9" t="str">
        <f>IFERROR(__xludf.DUMMYFUNCTION("""COMPUTED_VALUE"""),"UK")</f>
        <v>UK</v>
      </c>
      <c r="K1938" s="8"/>
      <c r="L1938" s="12"/>
      <c r="M1938" s="13"/>
      <c r="N1938" s="13" t="str">
        <f>IFERROR(__xludf.DUMMYFUNCTION("IF(ISBLANK(M1938),"""",M1938*GOOGLEFINANCE(""USDGBP""))"),"")</f>
        <v/>
      </c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  <c r="FG1938" s="8"/>
      <c r="FH1938" s="8"/>
      <c r="FI1938" s="8"/>
      <c r="FJ1938" s="8"/>
      <c r="FK1938" s="8"/>
      <c r="FL1938" s="8"/>
      <c r="FM1938" s="8"/>
      <c r="FN1938" s="8"/>
      <c r="FO1938" s="8"/>
      <c r="FP1938" s="8"/>
      <c r="FQ1938" s="8"/>
      <c r="FR1938" s="8"/>
      <c r="FS1938" s="8"/>
      <c r="FT1938" s="8"/>
      <c r="FU1938" s="8"/>
      <c r="FV1938" s="8"/>
      <c r="FW1938" s="8"/>
      <c r="FX1938" s="8"/>
      <c r="FY1938" s="8"/>
      <c r="FZ1938" s="8"/>
      <c r="GA1938" s="8"/>
      <c r="GB1938" s="8"/>
      <c r="GC1938" s="8"/>
      <c r="GD1938" s="8"/>
      <c r="GE1938" s="8"/>
      <c r="GF1938" s="8"/>
      <c r="GG1938" s="8"/>
      <c r="GH1938" s="8"/>
      <c r="GI1938" s="8"/>
      <c r="GJ1938" s="8"/>
      <c r="GK1938" s="8"/>
      <c r="GL1938" s="8"/>
      <c r="GM1938" s="8"/>
      <c r="GN1938" s="8"/>
      <c r="GO1938" s="8"/>
      <c r="GP1938" s="8"/>
      <c r="GQ1938" s="8"/>
      <c r="GR1938" s="8"/>
      <c r="GS1938" s="8"/>
      <c r="GT1938" s="8"/>
      <c r="GU1938" s="8"/>
      <c r="GV1938" s="8"/>
      <c r="GW1938" s="8"/>
      <c r="GX1938" s="8"/>
    </row>
    <row r="1939">
      <c r="A1939" s="8" t="str">
        <f>IFERROR(__xludf.DUMMYFUNCTION("""COMPUTED_VALUE"""),"110059620061200750")</f>
        <v>110059620061200750</v>
      </c>
      <c r="B1939" s="9" t="str">
        <f>IFERROR(__xludf.DUMMYFUNCTION("""COMPUTED_VALUE"""),"Italy")</f>
        <v>Italy</v>
      </c>
      <c r="C1939" s="9" t="str">
        <f>IFERROR(__xludf.DUMMYFUNCTION("""COMPUTED_VALUE"""),"piedmont")</f>
        <v>piedmont</v>
      </c>
      <c r="D1939" s="9" t="str">
        <f>IFERROR(__xludf.DUMMYFUNCTION("""COMPUTED_VALUE"""),"La Spinetta, Barbaresco, Gallina Vursu")</f>
        <v>La Spinetta, Barbaresco, Gallina Vursu</v>
      </c>
      <c r="E1939" s="9">
        <f>IFERROR(__xludf.DUMMYFUNCTION("""COMPUTED_VALUE"""),2006.0)</f>
        <v>2006</v>
      </c>
      <c r="F1939" s="9">
        <f>IFERROR(__xludf.DUMMYFUNCTION("""COMPUTED_VALUE"""),750.0)</f>
        <v>750</v>
      </c>
      <c r="G1939" s="9">
        <f>IFERROR(__xludf.DUMMYFUNCTION("""COMPUTED_VALUE"""),12.0)</f>
        <v>12</v>
      </c>
      <c r="H1939" s="10">
        <f>IFERROR(__xludf.DUMMYFUNCTION("""COMPUTED_VALUE"""),1.0)</f>
        <v>1</v>
      </c>
      <c r="I1939" s="11">
        <f>IFERROR(__xludf.DUMMYFUNCTION("""COMPUTED_VALUE"""),1368.0)</f>
        <v>1368</v>
      </c>
      <c r="J1939" s="9" t="str">
        <f>IFERROR(__xludf.DUMMYFUNCTION("""COMPUTED_VALUE"""),"UK")</f>
        <v>UK</v>
      </c>
      <c r="K1939" s="8"/>
      <c r="L1939" s="12"/>
      <c r="M1939" s="13"/>
      <c r="N1939" s="13" t="str">
        <f>IFERROR(__xludf.DUMMYFUNCTION("IF(ISBLANK(M1939),"""",M1939*GOOGLEFINANCE(""USDGBP""))"),"")</f>
        <v/>
      </c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  <c r="FG1939" s="8"/>
      <c r="FH1939" s="8"/>
      <c r="FI1939" s="8"/>
      <c r="FJ1939" s="8"/>
      <c r="FK1939" s="8"/>
      <c r="FL1939" s="8"/>
      <c r="FM1939" s="8"/>
      <c r="FN1939" s="8"/>
      <c r="FO1939" s="8"/>
      <c r="FP1939" s="8"/>
      <c r="FQ1939" s="8"/>
      <c r="FR1939" s="8"/>
      <c r="FS1939" s="8"/>
      <c r="FT1939" s="8"/>
      <c r="FU1939" s="8"/>
      <c r="FV1939" s="8"/>
      <c r="FW1939" s="8"/>
      <c r="FX1939" s="8"/>
      <c r="FY1939" s="8"/>
      <c r="FZ1939" s="8"/>
      <c r="GA1939" s="8"/>
      <c r="GB1939" s="8"/>
      <c r="GC1939" s="8"/>
      <c r="GD1939" s="8"/>
      <c r="GE1939" s="8"/>
      <c r="GF1939" s="8"/>
      <c r="GG1939" s="8"/>
      <c r="GH1939" s="8"/>
      <c r="GI1939" s="8"/>
      <c r="GJ1939" s="8"/>
      <c r="GK1939" s="8"/>
      <c r="GL1939" s="8"/>
      <c r="GM1939" s="8"/>
      <c r="GN1939" s="8"/>
      <c r="GO1939" s="8"/>
      <c r="GP1939" s="8"/>
      <c r="GQ1939" s="8"/>
      <c r="GR1939" s="8"/>
      <c r="GS1939" s="8"/>
      <c r="GT1939" s="8"/>
      <c r="GU1939" s="8"/>
      <c r="GV1939" s="8"/>
      <c r="GW1939" s="8"/>
      <c r="GX1939" s="8"/>
    </row>
    <row r="1940">
      <c r="A1940" s="8" t="str">
        <f>IFERROR(__xludf.DUMMYFUNCTION("""COMPUTED_VALUE"""),"110059620070600750")</f>
        <v>110059620070600750</v>
      </c>
      <c r="B1940" s="9" t="str">
        <f>IFERROR(__xludf.DUMMYFUNCTION("""COMPUTED_VALUE"""),"Italy")</f>
        <v>Italy</v>
      </c>
      <c r="C1940" s="9" t="str">
        <f>IFERROR(__xludf.DUMMYFUNCTION("""COMPUTED_VALUE"""),"piedmont")</f>
        <v>piedmont</v>
      </c>
      <c r="D1940" s="9" t="str">
        <f>IFERROR(__xludf.DUMMYFUNCTION("""COMPUTED_VALUE"""),"La Spinetta, Barbaresco, Gallina Vursu")</f>
        <v>La Spinetta, Barbaresco, Gallina Vursu</v>
      </c>
      <c r="E1940" s="9">
        <f>IFERROR(__xludf.DUMMYFUNCTION("""COMPUTED_VALUE"""),2007.0)</f>
        <v>2007</v>
      </c>
      <c r="F1940" s="9">
        <f>IFERROR(__xludf.DUMMYFUNCTION("""COMPUTED_VALUE"""),750.0)</f>
        <v>750</v>
      </c>
      <c r="G1940" s="9">
        <f>IFERROR(__xludf.DUMMYFUNCTION("""COMPUTED_VALUE"""),6.0)</f>
        <v>6</v>
      </c>
      <c r="H1940" s="10">
        <f>IFERROR(__xludf.DUMMYFUNCTION("""COMPUTED_VALUE"""),3.0)</f>
        <v>3</v>
      </c>
      <c r="I1940" s="11">
        <f>IFERROR(__xludf.DUMMYFUNCTION("""COMPUTED_VALUE"""),672.0)</f>
        <v>672</v>
      </c>
      <c r="J1940" s="9" t="str">
        <f>IFERROR(__xludf.DUMMYFUNCTION("""COMPUTED_VALUE"""),"UK")</f>
        <v>UK</v>
      </c>
      <c r="K1940" s="8"/>
      <c r="L1940" s="12"/>
      <c r="M1940" s="13"/>
      <c r="N1940" s="13" t="str">
        <f>IFERROR(__xludf.DUMMYFUNCTION("IF(ISBLANK(M1940),"""",M1940*GOOGLEFINANCE(""USDGBP""))"),"")</f>
        <v/>
      </c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  <c r="FG1940" s="8"/>
      <c r="FH1940" s="8"/>
      <c r="FI1940" s="8"/>
      <c r="FJ1940" s="8"/>
      <c r="FK1940" s="8"/>
      <c r="FL1940" s="8"/>
      <c r="FM1940" s="8"/>
      <c r="FN1940" s="8"/>
      <c r="FO1940" s="8"/>
      <c r="FP1940" s="8"/>
      <c r="FQ1940" s="8"/>
      <c r="FR1940" s="8"/>
      <c r="FS1940" s="8"/>
      <c r="FT1940" s="8"/>
      <c r="FU1940" s="8"/>
      <c r="FV1940" s="8"/>
      <c r="FW1940" s="8"/>
      <c r="FX1940" s="8"/>
      <c r="FY1940" s="8"/>
      <c r="FZ1940" s="8"/>
      <c r="GA1940" s="8"/>
      <c r="GB1940" s="8"/>
      <c r="GC1940" s="8"/>
      <c r="GD1940" s="8"/>
      <c r="GE1940" s="8"/>
      <c r="GF1940" s="8"/>
      <c r="GG1940" s="8"/>
      <c r="GH1940" s="8"/>
      <c r="GI1940" s="8"/>
      <c r="GJ1940" s="8"/>
      <c r="GK1940" s="8"/>
      <c r="GL1940" s="8"/>
      <c r="GM1940" s="8"/>
      <c r="GN1940" s="8"/>
      <c r="GO1940" s="8"/>
      <c r="GP1940" s="8"/>
      <c r="GQ1940" s="8"/>
      <c r="GR1940" s="8"/>
      <c r="GS1940" s="8"/>
      <c r="GT1940" s="8"/>
      <c r="GU1940" s="8"/>
      <c r="GV1940" s="8"/>
      <c r="GW1940" s="8"/>
      <c r="GX1940" s="8"/>
    </row>
    <row r="1941">
      <c r="A1941" s="8" t="str">
        <f>IFERROR(__xludf.DUMMYFUNCTION("""COMPUTED_VALUE"""),"110059620120600750")</f>
        <v>110059620120600750</v>
      </c>
      <c r="B1941" s="9" t="str">
        <f>IFERROR(__xludf.DUMMYFUNCTION("""COMPUTED_VALUE"""),"Italy")</f>
        <v>Italy</v>
      </c>
      <c r="C1941" s="9" t="str">
        <f>IFERROR(__xludf.DUMMYFUNCTION("""COMPUTED_VALUE"""),"piedmont")</f>
        <v>piedmont</v>
      </c>
      <c r="D1941" s="9" t="str">
        <f>IFERROR(__xludf.DUMMYFUNCTION("""COMPUTED_VALUE"""),"La Spinetta, Barbaresco, Gallina Vursu")</f>
        <v>La Spinetta, Barbaresco, Gallina Vursu</v>
      </c>
      <c r="E1941" s="9">
        <f>IFERROR(__xludf.DUMMYFUNCTION("""COMPUTED_VALUE"""),2012.0)</f>
        <v>2012</v>
      </c>
      <c r="F1941" s="9">
        <f>IFERROR(__xludf.DUMMYFUNCTION("""COMPUTED_VALUE"""),750.0)</f>
        <v>750</v>
      </c>
      <c r="G1941" s="9">
        <f>IFERROR(__xludf.DUMMYFUNCTION("""COMPUTED_VALUE"""),6.0)</f>
        <v>6</v>
      </c>
      <c r="H1941" s="10">
        <f>IFERROR(__xludf.DUMMYFUNCTION("""COMPUTED_VALUE"""),2.0)</f>
        <v>2</v>
      </c>
      <c r="I1941" s="11">
        <f>IFERROR(__xludf.DUMMYFUNCTION("""COMPUTED_VALUE"""),625.0)</f>
        <v>625</v>
      </c>
      <c r="J1941" s="9" t="str">
        <f>IFERROR(__xludf.DUMMYFUNCTION("""COMPUTED_VALUE"""),"UK")</f>
        <v>UK</v>
      </c>
      <c r="K1941" s="8"/>
      <c r="L1941" s="12"/>
      <c r="M1941" s="13"/>
      <c r="N1941" s="13" t="str">
        <f>IFERROR(__xludf.DUMMYFUNCTION("IF(ISBLANK(M1941),"""",M1941*GOOGLEFINANCE(""USDGBP""))"),"")</f>
        <v/>
      </c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  <c r="FG1941" s="8"/>
      <c r="FH1941" s="8"/>
      <c r="FI1941" s="8"/>
      <c r="FJ1941" s="8"/>
      <c r="FK1941" s="8"/>
      <c r="FL1941" s="8"/>
      <c r="FM1941" s="8"/>
      <c r="FN1941" s="8"/>
      <c r="FO1941" s="8"/>
      <c r="FP1941" s="8"/>
      <c r="FQ1941" s="8"/>
      <c r="FR1941" s="8"/>
      <c r="FS1941" s="8"/>
      <c r="FT1941" s="8"/>
      <c r="FU1941" s="8"/>
      <c r="FV1941" s="8"/>
      <c r="FW1941" s="8"/>
      <c r="FX1941" s="8"/>
      <c r="FY1941" s="8"/>
      <c r="FZ1941" s="8"/>
      <c r="GA1941" s="8"/>
      <c r="GB1941" s="8"/>
      <c r="GC1941" s="8"/>
      <c r="GD1941" s="8"/>
      <c r="GE1941" s="8"/>
      <c r="GF1941" s="8"/>
      <c r="GG1941" s="8"/>
      <c r="GH1941" s="8"/>
      <c r="GI1941" s="8"/>
      <c r="GJ1941" s="8"/>
      <c r="GK1941" s="8"/>
      <c r="GL1941" s="8"/>
      <c r="GM1941" s="8"/>
      <c r="GN1941" s="8"/>
      <c r="GO1941" s="8"/>
      <c r="GP1941" s="8"/>
      <c r="GQ1941" s="8"/>
      <c r="GR1941" s="8"/>
      <c r="GS1941" s="8"/>
      <c r="GT1941" s="8"/>
      <c r="GU1941" s="8"/>
      <c r="GV1941" s="8"/>
      <c r="GW1941" s="8"/>
      <c r="GX1941" s="8"/>
    </row>
    <row r="1942">
      <c r="A1942" s="8" t="str">
        <f>IFERROR(__xludf.DUMMYFUNCTION("""COMPUTED_VALUE"""),"110059620141200750")</f>
        <v>110059620141200750</v>
      </c>
      <c r="B1942" s="9" t="str">
        <f>IFERROR(__xludf.DUMMYFUNCTION("""COMPUTED_VALUE"""),"Italy")</f>
        <v>Italy</v>
      </c>
      <c r="C1942" s="9" t="str">
        <f>IFERROR(__xludf.DUMMYFUNCTION("""COMPUTED_VALUE"""),"piedmont")</f>
        <v>piedmont</v>
      </c>
      <c r="D1942" s="9" t="str">
        <f>IFERROR(__xludf.DUMMYFUNCTION("""COMPUTED_VALUE"""),"La Spinetta, Barbaresco, Gallina Vursu")</f>
        <v>La Spinetta, Barbaresco, Gallina Vursu</v>
      </c>
      <c r="E1942" s="9">
        <f>IFERROR(__xludf.DUMMYFUNCTION("""COMPUTED_VALUE"""),2014.0)</f>
        <v>2014</v>
      </c>
      <c r="F1942" s="9">
        <f>IFERROR(__xludf.DUMMYFUNCTION("""COMPUTED_VALUE"""),750.0)</f>
        <v>750</v>
      </c>
      <c r="G1942" s="9">
        <f>IFERROR(__xludf.DUMMYFUNCTION("""COMPUTED_VALUE"""),12.0)</f>
        <v>12</v>
      </c>
      <c r="H1942" s="10">
        <f>IFERROR(__xludf.DUMMYFUNCTION("""COMPUTED_VALUE"""),1.0)</f>
        <v>1</v>
      </c>
      <c r="I1942" s="11">
        <f>IFERROR(__xludf.DUMMYFUNCTION("""COMPUTED_VALUE"""),923.0)</f>
        <v>923</v>
      </c>
      <c r="J1942" s="9" t="str">
        <f>IFERROR(__xludf.DUMMYFUNCTION("""COMPUTED_VALUE"""),"UK")</f>
        <v>UK</v>
      </c>
      <c r="K1942" s="8"/>
      <c r="L1942" s="12"/>
      <c r="M1942" s="13"/>
      <c r="N1942" s="13" t="str">
        <f>IFERROR(__xludf.DUMMYFUNCTION("IF(ISBLANK(M1942),"""",M1942*GOOGLEFINANCE(""USDGBP""))"),"")</f>
        <v/>
      </c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  <c r="FG1942" s="8"/>
      <c r="FH1942" s="8"/>
      <c r="FI1942" s="8"/>
      <c r="FJ1942" s="8"/>
      <c r="FK1942" s="8"/>
      <c r="FL1942" s="8"/>
      <c r="FM1942" s="8"/>
      <c r="FN1942" s="8"/>
      <c r="FO1942" s="8"/>
      <c r="FP1942" s="8"/>
      <c r="FQ1942" s="8"/>
      <c r="FR1942" s="8"/>
      <c r="FS1942" s="8"/>
      <c r="FT1942" s="8"/>
      <c r="FU1942" s="8"/>
      <c r="FV1942" s="8"/>
      <c r="FW1942" s="8"/>
      <c r="FX1942" s="8"/>
      <c r="FY1942" s="8"/>
      <c r="FZ1942" s="8"/>
      <c r="GA1942" s="8"/>
      <c r="GB1942" s="8"/>
      <c r="GC1942" s="8"/>
      <c r="GD1942" s="8"/>
      <c r="GE1942" s="8"/>
      <c r="GF1942" s="8"/>
      <c r="GG1942" s="8"/>
      <c r="GH1942" s="8"/>
      <c r="GI1942" s="8"/>
      <c r="GJ1942" s="8"/>
      <c r="GK1942" s="8"/>
      <c r="GL1942" s="8"/>
      <c r="GM1942" s="8"/>
      <c r="GN1942" s="8"/>
      <c r="GO1942" s="8"/>
      <c r="GP1942" s="8"/>
      <c r="GQ1942" s="8"/>
      <c r="GR1942" s="8"/>
      <c r="GS1942" s="8"/>
      <c r="GT1942" s="8"/>
      <c r="GU1942" s="8"/>
      <c r="GV1942" s="8"/>
      <c r="GW1942" s="8"/>
      <c r="GX1942" s="8"/>
    </row>
    <row r="1943">
      <c r="A1943" s="8" t="str">
        <f>IFERROR(__xludf.DUMMYFUNCTION("""COMPUTED_VALUE"""),"110059620150600750")</f>
        <v>110059620150600750</v>
      </c>
      <c r="B1943" s="9" t="str">
        <f>IFERROR(__xludf.DUMMYFUNCTION("""COMPUTED_VALUE"""),"Italy")</f>
        <v>Italy</v>
      </c>
      <c r="C1943" s="9" t="str">
        <f>IFERROR(__xludf.DUMMYFUNCTION("""COMPUTED_VALUE"""),"piedmont")</f>
        <v>piedmont</v>
      </c>
      <c r="D1943" s="9" t="str">
        <f>IFERROR(__xludf.DUMMYFUNCTION("""COMPUTED_VALUE"""),"La Spinetta, Barbaresco, Gallina Vursu")</f>
        <v>La Spinetta, Barbaresco, Gallina Vursu</v>
      </c>
      <c r="E1943" s="9">
        <f>IFERROR(__xludf.DUMMYFUNCTION("""COMPUTED_VALUE"""),2015.0)</f>
        <v>2015</v>
      </c>
      <c r="F1943" s="9">
        <f>IFERROR(__xludf.DUMMYFUNCTION("""COMPUTED_VALUE"""),750.0)</f>
        <v>750</v>
      </c>
      <c r="G1943" s="9">
        <f>IFERROR(__xludf.DUMMYFUNCTION("""COMPUTED_VALUE"""),6.0)</f>
        <v>6</v>
      </c>
      <c r="H1943" s="10">
        <f>IFERROR(__xludf.DUMMYFUNCTION("""COMPUTED_VALUE"""),4.0)</f>
        <v>4</v>
      </c>
      <c r="I1943" s="11">
        <f>IFERROR(__xludf.DUMMYFUNCTION("""COMPUTED_VALUE"""),963.0)</f>
        <v>963</v>
      </c>
      <c r="J1943" s="9" t="str">
        <f>IFERROR(__xludf.DUMMYFUNCTION("""COMPUTED_VALUE"""),"UK")</f>
        <v>UK</v>
      </c>
      <c r="K1943" s="8"/>
      <c r="L1943" s="12"/>
      <c r="M1943" s="13"/>
      <c r="N1943" s="13" t="str">
        <f>IFERROR(__xludf.DUMMYFUNCTION("IF(ISBLANK(M1943),"""",M1943*GOOGLEFINANCE(""USDGBP""))"),"")</f>
        <v/>
      </c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  <c r="FG1943" s="8"/>
      <c r="FH1943" s="8"/>
      <c r="FI1943" s="8"/>
      <c r="FJ1943" s="8"/>
      <c r="FK1943" s="8"/>
      <c r="FL1943" s="8"/>
      <c r="FM1943" s="8"/>
      <c r="FN1943" s="8"/>
      <c r="FO1943" s="8"/>
      <c r="FP1943" s="8"/>
      <c r="FQ1943" s="8"/>
      <c r="FR1943" s="8"/>
      <c r="FS1943" s="8"/>
      <c r="FT1943" s="8"/>
      <c r="FU1943" s="8"/>
      <c r="FV1943" s="8"/>
      <c r="FW1943" s="8"/>
      <c r="FX1943" s="8"/>
      <c r="FY1943" s="8"/>
      <c r="FZ1943" s="8"/>
      <c r="GA1943" s="8"/>
      <c r="GB1943" s="8"/>
      <c r="GC1943" s="8"/>
      <c r="GD1943" s="8"/>
      <c r="GE1943" s="8"/>
      <c r="GF1943" s="8"/>
      <c r="GG1943" s="8"/>
      <c r="GH1943" s="8"/>
      <c r="GI1943" s="8"/>
      <c r="GJ1943" s="8"/>
      <c r="GK1943" s="8"/>
      <c r="GL1943" s="8"/>
      <c r="GM1943" s="8"/>
      <c r="GN1943" s="8"/>
      <c r="GO1943" s="8"/>
      <c r="GP1943" s="8"/>
      <c r="GQ1943" s="8"/>
      <c r="GR1943" s="8"/>
      <c r="GS1943" s="8"/>
      <c r="GT1943" s="8"/>
      <c r="GU1943" s="8"/>
      <c r="GV1943" s="8"/>
      <c r="GW1943" s="8"/>
      <c r="GX1943" s="8"/>
    </row>
    <row r="1944">
      <c r="A1944" s="8" t="str">
        <f>IFERROR(__xludf.DUMMYFUNCTION("""COMPUTED_VALUE"""),"110059620160600750")</f>
        <v>110059620160600750</v>
      </c>
      <c r="B1944" s="9" t="str">
        <f>IFERROR(__xludf.DUMMYFUNCTION("""COMPUTED_VALUE"""),"Italy")</f>
        <v>Italy</v>
      </c>
      <c r="C1944" s="9" t="str">
        <f>IFERROR(__xludf.DUMMYFUNCTION("""COMPUTED_VALUE"""),"piedmont")</f>
        <v>piedmont</v>
      </c>
      <c r="D1944" s="9" t="str">
        <f>IFERROR(__xludf.DUMMYFUNCTION("""COMPUTED_VALUE"""),"La Spinetta, Barbaresco, Gallina Vursu")</f>
        <v>La Spinetta, Barbaresco, Gallina Vursu</v>
      </c>
      <c r="E1944" s="9">
        <f>IFERROR(__xludf.DUMMYFUNCTION("""COMPUTED_VALUE"""),2016.0)</f>
        <v>2016</v>
      </c>
      <c r="F1944" s="9">
        <f>IFERROR(__xludf.DUMMYFUNCTION("""COMPUTED_VALUE"""),750.0)</f>
        <v>750</v>
      </c>
      <c r="G1944" s="9">
        <f>IFERROR(__xludf.DUMMYFUNCTION("""COMPUTED_VALUE"""),6.0)</f>
        <v>6</v>
      </c>
      <c r="H1944" s="10">
        <f>IFERROR(__xludf.DUMMYFUNCTION("""COMPUTED_VALUE"""),3.0)</f>
        <v>3</v>
      </c>
      <c r="I1944" s="11">
        <f>IFERROR(__xludf.DUMMYFUNCTION("""COMPUTED_VALUE"""),519.0)</f>
        <v>519</v>
      </c>
      <c r="J1944" s="9" t="str">
        <f>IFERROR(__xludf.DUMMYFUNCTION("""COMPUTED_VALUE"""),"UK")</f>
        <v>UK</v>
      </c>
      <c r="K1944" s="8"/>
      <c r="L1944" s="12"/>
      <c r="M1944" s="13"/>
      <c r="N1944" s="13" t="str">
        <f>IFERROR(__xludf.DUMMYFUNCTION("IF(ISBLANK(M1944),"""",M1944*GOOGLEFINANCE(""USDGBP""))"),"")</f>
        <v/>
      </c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  <c r="FG1944" s="8"/>
      <c r="FH1944" s="8"/>
      <c r="FI1944" s="8"/>
      <c r="FJ1944" s="8"/>
      <c r="FK1944" s="8"/>
      <c r="FL1944" s="8"/>
      <c r="FM1944" s="8"/>
      <c r="FN1944" s="8"/>
      <c r="FO1944" s="8"/>
      <c r="FP1944" s="8"/>
      <c r="FQ1944" s="8"/>
      <c r="FR1944" s="8"/>
      <c r="FS1944" s="8"/>
      <c r="FT1944" s="8"/>
      <c r="FU1944" s="8"/>
      <c r="FV1944" s="8"/>
      <c r="FW1944" s="8"/>
      <c r="FX1944" s="8"/>
      <c r="FY1944" s="8"/>
      <c r="FZ1944" s="8"/>
      <c r="GA1944" s="8"/>
      <c r="GB1944" s="8"/>
      <c r="GC1944" s="8"/>
      <c r="GD1944" s="8"/>
      <c r="GE1944" s="8"/>
      <c r="GF1944" s="8"/>
      <c r="GG1944" s="8"/>
      <c r="GH1944" s="8"/>
      <c r="GI1944" s="8"/>
      <c r="GJ1944" s="8"/>
      <c r="GK1944" s="8"/>
      <c r="GL1944" s="8"/>
      <c r="GM1944" s="8"/>
      <c r="GN1944" s="8"/>
      <c r="GO1944" s="8"/>
      <c r="GP1944" s="8"/>
      <c r="GQ1944" s="8"/>
      <c r="GR1944" s="8"/>
      <c r="GS1944" s="8"/>
      <c r="GT1944" s="8"/>
      <c r="GU1944" s="8"/>
      <c r="GV1944" s="8"/>
      <c r="GW1944" s="8"/>
      <c r="GX1944" s="8"/>
    </row>
    <row r="1945">
      <c r="A1945" s="8" t="str">
        <f>IFERROR(__xludf.DUMMYFUNCTION("""COMPUTED_VALUE"""),"110059620170600750")</f>
        <v>110059620170600750</v>
      </c>
      <c r="B1945" s="9" t="str">
        <f>IFERROR(__xludf.DUMMYFUNCTION("""COMPUTED_VALUE"""),"Italy")</f>
        <v>Italy</v>
      </c>
      <c r="C1945" s="9" t="str">
        <f>IFERROR(__xludf.DUMMYFUNCTION("""COMPUTED_VALUE"""),"piedmont")</f>
        <v>piedmont</v>
      </c>
      <c r="D1945" s="9" t="str">
        <f>IFERROR(__xludf.DUMMYFUNCTION("""COMPUTED_VALUE"""),"La Spinetta, Barbaresco, Gallina Vursu")</f>
        <v>La Spinetta, Barbaresco, Gallina Vursu</v>
      </c>
      <c r="E1945" s="9">
        <f>IFERROR(__xludf.DUMMYFUNCTION("""COMPUTED_VALUE"""),2017.0)</f>
        <v>2017</v>
      </c>
      <c r="F1945" s="9">
        <f>IFERROR(__xludf.DUMMYFUNCTION("""COMPUTED_VALUE"""),750.0)</f>
        <v>750</v>
      </c>
      <c r="G1945" s="9">
        <f>IFERROR(__xludf.DUMMYFUNCTION("""COMPUTED_VALUE"""),6.0)</f>
        <v>6</v>
      </c>
      <c r="H1945" s="10">
        <f>IFERROR(__xludf.DUMMYFUNCTION("""COMPUTED_VALUE"""),4.0)</f>
        <v>4</v>
      </c>
      <c r="I1945" s="11">
        <f>IFERROR(__xludf.DUMMYFUNCTION("""COMPUTED_VALUE"""),493.0)</f>
        <v>493</v>
      </c>
      <c r="J1945" s="9" t="str">
        <f>IFERROR(__xludf.DUMMYFUNCTION("""COMPUTED_VALUE"""),"UK")</f>
        <v>UK</v>
      </c>
      <c r="K1945" s="8"/>
      <c r="L1945" s="12"/>
      <c r="M1945" s="13"/>
      <c r="N1945" s="13" t="str">
        <f>IFERROR(__xludf.DUMMYFUNCTION("IF(ISBLANK(M1945),"""",M1945*GOOGLEFINANCE(""USDGBP""))"),"")</f>
        <v/>
      </c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  <c r="FG1945" s="8"/>
      <c r="FH1945" s="8"/>
      <c r="FI1945" s="8"/>
      <c r="FJ1945" s="8"/>
      <c r="FK1945" s="8"/>
      <c r="FL1945" s="8"/>
      <c r="FM1945" s="8"/>
      <c r="FN1945" s="8"/>
      <c r="FO1945" s="8"/>
      <c r="FP1945" s="8"/>
      <c r="FQ1945" s="8"/>
      <c r="FR1945" s="8"/>
      <c r="FS1945" s="8"/>
      <c r="FT1945" s="8"/>
      <c r="FU1945" s="8"/>
      <c r="FV1945" s="8"/>
      <c r="FW1945" s="8"/>
      <c r="FX1945" s="8"/>
      <c r="FY1945" s="8"/>
      <c r="FZ1945" s="8"/>
      <c r="GA1945" s="8"/>
      <c r="GB1945" s="8"/>
      <c r="GC1945" s="8"/>
      <c r="GD1945" s="8"/>
      <c r="GE1945" s="8"/>
      <c r="GF1945" s="8"/>
      <c r="GG1945" s="8"/>
      <c r="GH1945" s="8"/>
      <c r="GI1945" s="8"/>
      <c r="GJ1945" s="8"/>
      <c r="GK1945" s="8"/>
      <c r="GL1945" s="8"/>
      <c r="GM1945" s="8"/>
      <c r="GN1945" s="8"/>
      <c r="GO1945" s="8"/>
      <c r="GP1945" s="8"/>
      <c r="GQ1945" s="8"/>
      <c r="GR1945" s="8"/>
      <c r="GS1945" s="8"/>
      <c r="GT1945" s="8"/>
      <c r="GU1945" s="8"/>
      <c r="GV1945" s="8"/>
      <c r="GW1945" s="8"/>
      <c r="GX1945" s="8"/>
    </row>
    <row r="1946">
      <c r="A1946" s="8" t="str">
        <f>IFERROR(__xludf.DUMMYFUNCTION("""COMPUTED_VALUE"""),"110059620171200750")</f>
        <v>110059620171200750</v>
      </c>
      <c r="B1946" s="9" t="str">
        <f>IFERROR(__xludf.DUMMYFUNCTION("""COMPUTED_VALUE"""),"Italy")</f>
        <v>Italy</v>
      </c>
      <c r="C1946" s="9" t="str">
        <f>IFERROR(__xludf.DUMMYFUNCTION("""COMPUTED_VALUE"""),"piedmont")</f>
        <v>piedmont</v>
      </c>
      <c r="D1946" s="9" t="str">
        <f>IFERROR(__xludf.DUMMYFUNCTION("""COMPUTED_VALUE"""),"La Spinetta, Barbaresco, Gallina Vursu")</f>
        <v>La Spinetta, Barbaresco, Gallina Vursu</v>
      </c>
      <c r="E1946" s="9">
        <f>IFERROR(__xludf.DUMMYFUNCTION("""COMPUTED_VALUE"""),2017.0)</f>
        <v>2017</v>
      </c>
      <c r="F1946" s="9">
        <f>IFERROR(__xludf.DUMMYFUNCTION("""COMPUTED_VALUE"""),750.0)</f>
        <v>750</v>
      </c>
      <c r="G1946" s="9">
        <f>IFERROR(__xludf.DUMMYFUNCTION("""COMPUTED_VALUE"""),12.0)</f>
        <v>12</v>
      </c>
      <c r="H1946" s="10">
        <f>IFERROR(__xludf.DUMMYFUNCTION("""COMPUTED_VALUE"""),3.0)</f>
        <v>3</v>
      </c>
      <c r="I1946" s="11">
        <f>IFERROR(__xludf.DUMMYFUNCTION("""COMPUTED_VALUE"""),985.0)</f>
        <v>985</v>
      </c>
      <c r="J1946" s="9" t="str">
        <f>IFERROR(__xludf.DUMMYFUNCTION("""COMPUTED_VALUE"""),"UK")</f>
        <v>UK</v>
      </c>
      <c r="K1946" s="8"/>
      <c r="L1946" s="12"/>
      <c r="M1946" s="13"/>
      <c r="N1946" s="13" t="str">
        <f>IFERROR(__xludf.DUMMYFUNCTION("IF(ISBLANK(M1946),"""",M1946*GOOGLEFINANCE(""USDGBP""))"),"")</f>
        <v/>
      </c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  <c r="FG1946" s="8"/>
      <c r="FH1946" s="8"/>
      <c r="FI1946" s="8"/>
      <c r="FJ1946" s="8"/>
      <c r="FK1946" s="8"/>
      <c r="FL1946" s="8"/>
      <c r="FM1946" s="8"/>
      <c r="FN1946" s="8"/>
      <c r="FO1946" s="8"/>
      <c r="FP1946" s="8"/>
      <c r="FQ1946" s="8"/>
      <c r="FR1946" s="8"/>
      <c r="FS1946" s="8"/>
      <c r="FT1946" s="8"/>
      <c r="FU1946" s="8"/>
      <c r="FV1946" s="8"/>
      <c r="FW1946" s="8"/>
      <c r="FX1946" s="8"/>
      <c r="FY1946" s="8"/>
      <c r="FZ1946" s="8"/>
      <c r="GA1946" s="8"/>
      <c r="GB1946" s="8"/>
      <c r="GC1946" s="8"/>
      <c r="GD1946" s="8"/>
      <c r="GE1946" s="8"/>
      <c r="GF1946" s="8"/>
      <c r="GG1946" s="8"/>
      <c r="GH1946" s="8"/>
      <c r="GI1946" s="8"/>
      <c r="GJ1946" s="8"/>
      <c r="GK1946" s="8"/>
      <c r="GL1946" s="8"/>
      <c r="GM1946" s="8"/>
      <c r="GN1946" s="8"/>
      <c r="GO1946" s="8"/>
      <c r="GP1946" s="8"/>
      <c r="GQ1946" s="8"/>
      <c r="GR1946" s="8"/>
      <c r="GS1946" s="8"/>
      <c r="GT1946" s="8"/>
      <c r="GU1946" s="8"/>
      <c r="GV1946" s="8"/>
      <c r="GW1946" s="8"/>
      <c r="GX1946" s="8"/>
    </row>
    <row r="1947">
      <c r="A1947" s="8" t="str">
        <f>IFERROR(__xludf.DUMMYFUNCTION("""COMPUTED_VALUE"""),"110059620180600750")</f>
        <v>110059620180600750</v>
      </c>
      <c r="B1947" s="9" t="str">
        <f>IFERROR(__xludf.DUMMYFUNCTION("""COMPUTED_VALUE"""),"Italy")</f>
        <v>Italy</v>
      </c>
      <c r="C1947" s="9" t="str">
        <f>IFERROR(__xludf.DUMMYFUNCTION("""COMPUTED_VALUE"""),"piedmont")</f>
        <v>piedmont</v>
      </c>
      <c r="D1947" s="9" t="str">
        <f>IFERROR(__xludf.DUMMYFUNCTION("""COMPUTED_VALUE"""),"La Spinetta, Barbaresco, Gallina Vursu")</f>
        <v>La Spinetta, Barbaresco, Gallina Vursu</v>
      </c>
      <c r="E1947" s="9">
        <f>IFERROR(__xludf.DUMMYFUNCTION("""COMPUTED_VALUE"""),2018.0)</f>
        <v>2018</v>
      </c>
      <c r="F1947" s="9">
        <f>IFERROR(__xludf.DUMMYFUNCTION("""COMPUTED_VALUE"""),750.0)</f>
        <v>750</v>
      </c>
      <c r="G1947" s="9">
        <f>IFERROR(__xludf.DUMMYFUNCTION("""COMPUTED_VALUE"""),6.0)</f>
        <v>6</v>
      </c>
      <c r="H1947" s="10">
        <f>IFERROR(__xludf.DUMMYFUNCTION("""COMPUTED_VALUE"""),23.0)</f>
        <v>23</v>
      </c>
      <c r="I1947" s="11">
        <f>IFERROR(__xludf.DUMMYFUNCTION("""COMPUTED_VALUE"""),463.0)</f>
        <v>463</v>
      </c>
      <c r="J1947" s="9" t="str">
        <f>IFERROR(__xludf.DUMMYFUNCTION("""COMPUTED_VALUE"""),"UK")</f>
        <v>UK</v>
      </c>
      <c r="K1947" s="8"/>
      <c r="L1947" s="12"/>
      <c r="M1947" s="13"/>
      <c r="N1947" s="13" t="str">
        <f>IFERROR(__xludf.DUMMYFUNCTION("IF(ISBLANK(M1947),"""",M1947*GOOGLEFINANCE(""USDGBP""))"),"")</f>
        <v/>
      </c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  <c r="FG1947" s="8"/>
      <c r="FH1947" s="8"/>
      <c r="FI1947" s="8"/>
      <c r="FJ1947" s="8"/>
      <c r="FK1947" s="8"/>
      <c r="FL1947" s="8"/>
      <c r="FM1947" s="8"/>
      <c r="FN1947" s="8"/>
      <c r="FO1947" s="8"/>
      <c r="FP1947" s="8"/>
      <c r="FQ1947" s="8"/>
      <c r="FR1947" s="8"/>
      <c r="FS1947" s="8"/>
      <c r="FT1947" s="8"/>
      <c r="FU1947" s="8"/>
      <c r="FV1947" s="8"/>
      <c r="FW1947" s="8"/>
      <c r="FX1947" s="8"/>
      <c r="FY1947" s="8"/>
      <c r="FZ1947" s="8"/>
      <c r="GA1947" s="8"/>
      <c r="GB1947" s="8"/>
      <c r="GC1947" s="8"/>
      <c r="GD1947" s="8"/>
      <c r="GE1947" s="8"/>
      <c r="GF1947" s="8"/>
      <c r="GG1947" s="8"/>
      <c r="GH1947" s="8"/>
      <c r="GI1947" s="8"/>
      <c r="GJ1947" s="8"/>
      <c r="GK1947" s="8"/>
      <c r="GL1947" s="8"/>
      <c r="GM1947" s="8"/>
      <c r="GN1947" s="8"/>
      <c r="GO1947" s="8"/>
      <c r="GP1947" s="8"/>
      <c r="GQ1947" s="8"/>
      <c r="GR1947" s="8"/>
      <c r="GS1947" s="8"/>
      <c r="GT1947" s="8"/>
      <c r="GU1947" s="8"/>
      <c r="GV1947" s="8"/>
      <c r="GW1947" s="8"/>
      <c r="GX1947" s="8"/>
    </row>
    <row r="1948">
      <c r="A1948" s="8" t="str">
        <f>IFERROR(__xludf.DUMMYFUNCTION("""COMPUTED_VALUE"""),"126793420010101500")</f>
        <v>126793420010101500</v>
      </c>
      <c r="B1948" s="9" t="str">
        <f>IFERROR(__xludf.DUMMYFUNCTION("""COMPUTED_VALUE"""),"Italy")</f>
        <v>Italy</v>
      </c>
      <c r="C1948" s="9" t="str">
        <f>IFERROR(__xludf.DUMMYFUNCTION("""COMPUTED_VALUE"""),"piedmont")</f>
        <v>piedmont</v>
      </c>
      <c r="D1948" s="9" t="str">
        <f>IFERROR(__xludf.DUMMYFUNCTION("""COMPUTED_VALUE"""),"La Spinetta, Barbaresco, Gallina Vursu Riserva")</f>
        <v>La Spinetta, Barbaresco, Gallina Vursu Riserva</v>
      </c>
      <c r="E1948" s="9">
        <f>IFERROR(__xludf.DUMMYFUNCTION("""COMPUTED_VALUE"""),2001.0)</f>
        <v>2001</v>
      </c>
      <c r="F1948" s="9">
        <f>IFERROR(__xludf.DUMMYFUNCTION("""COMPUTED_VALUE"""),1500.0)</f>
        <v>1500</v>
      </c>
      <c r="G1948" s="9">
        <f>IFERROR(__xludf.DUMMYFUNCTION("""COMPUTED_VALUE"""),1.0)</f>
        <v>1</v>
      </c>
      <c r="H1948" s="10">
        <f>IFERROR(__xludf.DUMMYFUNCTION("""COMPUTED_VALUE"""),1.0)</f>
        <v>1</v>
      </c>
      <c r="I1948" s="11">
        <f>IFERROR(__xludf.DUMMYFUNCTION("""COMPUTED_VALUE"""),742.0)</f>
        <v>742</v>
      </c>
      <c r="J1948" s="9" t="str">
        <f>IFERROR(__xludf.DUMMYFUNCTION("""COMPUTED_VALUE"""),"UK")</f>
        <v>UK</v>
      </c>
      <c r="K1948" s="8"/>
      <c r="L1948" s="12"/>
      <c r="M1948" s="13"/>
      <c r="N1948" s="13" t="str">
        <f>IFERROR(__xludf.DUMMYFUNCTION("IF(ISBLANK(M1948),"""",M1948*GOOGLEFINANCE(""USDGBP""))"),"")</f>
        <v/>
      </c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  <c r="FG1948" s="8"/>
      <c r="FH1948" s="8"/>
      <c r="FI1948" s="8"/>
      <c r="FJ1948" s="8"/>
      <c r="FK1948" s="8"/>
      <c r="FL1948" s="8"/>
      <c r="FM1948" s="8"/>
      <c r="FN1948" s="8"/>
      <c r="FO1948" s="8"/>
      <c r="FP1948" s="8"/>
      <c r="FQ1948" s="8"/>
      <c r="FR1948" s="8"/>
      <c r="FS1948" s="8"/>
      <c r="FT1948" s="8"/>
      <c r="FU1948" s="8"/>
      <c r="FV1948" s="8"/>
      <c r="FW1948" s="8"/>
      <c r="FX1948" s="8"/>
      <c r="FY1948" s="8"/>
      <c r="FZ1948" s="8"/>
      <c r="GA1948" s="8"/>
      <c r="GB1948" s="8"/>
      <c r="GC1948" s="8"/>
      <c r="GD1948" s="8"/>
      <c r="GE1948" s="8"/>
      <c r="GF1948" s="8"/>
      <c r="GG1948" s="8"/>
      <c r="GH1948" s="8"/>
      <c r="GI1948" s="8"/>
      <c r="GJ1948" s="8"/>
      <c r="GK1948" s="8"/>
      <c r="GL1948" s="8"/>
      <c r="GM1948" s="8"/>
      <c r="GN1948" s="8"/>
      <c r="GO1948" s="8"/>
      <c r="GP1948" s="8"/>
      <c r="GQ1948" s="8"/>
      <c r="GR1948" s="8"/>
      <c r="GS1948" s="8"/>
      <c r="GT1948" s="8"/>
      <c r="GU1948" s="8"/>
      <c r="GV1948" s="8"/>
      <c r="GW1948" s="8"/>
      <c r="GX1948" s="8"/>
    </row>
    <row r="1949">
      <c r="A1949" s="8" t="str">
        <f>IFERROR(__xludf.DUMMYFUNCTION("""COMPUTED_VALUE"""),"110060020070600750")</f>
        <v>110060020070600750</v>
      </c>
      <c r="B1949" s="9" t="str">
        <f>IFERROR(__xludf.DUMMYFUNCTION("""COMPUTED_VALUE"""),"Italy")</f>
        <v>Italy</v>
      </c>
      <c r="C1949" s="9" t="str">
        <f>IFERROR(__xludf.DUMMYFUNCTION("""COMPUTED_VALUE"""),"piedmont")</f>
        <v>piedmont</v>
      </c>
      <c r="D1949" s="9" t="str">
        <f>IFERROR(__xludf.DUMMYFUNCTION("""COMPUTED_VALUE"""),"La Spinetta, Barbaresco, Starderi Vursu")</f>
        <v>La Spinetta, Barbaresco, Starderi Vursu</v>
      </c>
      <c r="E1949" s="9">
        <f>IFERROR(__xludf.DUMMYFUNCTION("""COMPUTED_VALUE"""),2007.0)</f>
        <v>2007</v>
      </c>
      <c r="F1949" s="9">
        <f>IFERROR(__xludf.DUMMYFUNCTION("""COMPUTED_VALUE"""),750.0)</f>
        <v>750</v>
      </c>
      <c r="G1949" s="9">
        <f>IFERROR(__xludf.DUMMYFUNCTION("""COMPUTED_VALUE"""),6.0)</f>
        <v>6</v>
      </c>
      <c r="H1949" s="10">
        <f>IFERROR(__xludf.DUMMYFUNCTION("""COMPUTED_VALUE"""),1.0)</f>
        <v>1</v>
      </c>
      <c r="I1949" s="11">
        <f>IFERROR(__xludf.DUMMYFUNCTION("""COMPUTED_VALUE"""),777.0)</f>
        <v>777</v>
      </c>
      <c r="J1949" s="9" t="str">
        <f>IFERROR(__xludf.DUMMYFUNCTION("""COMPUTED_VALUE"""),"UK")</f>
        <v>UK</v>
      </c>
      <c r="K1949" s="8"/>
      <c r="L1949" s="12"/>
      <c r="M1949" s="13"/>
      <c r="N1949" s="13" t="str">
        <f>IFERROR(__xludf.DUMMYFUNCTION("IF(ISBLANK(M1949),"""",M1949*GOOGLEFINANCE(""USDGBP""))"),"")</f>
        <v/>
      </c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  <c r="FG1949" s="8"/>
      <c r="FH1949" s="8"/>
      <c r="FI1949" s="8"/>
      <c r="FJ1949" s="8"/>
      <c r="FK1949" s="8"/>
      <c r="FL1949" s="8"/>
      <c r="FM1949" s="8"/>
      <c r="FN1949" s="8"/>
      <c r="FO1949" s="8"/>
      <c r="FP1949" s="8"/>
      <c r="FQ1949" s="8"/>
      <c r="FR1949" s="8"/>
      <c r="FS1949" s="8"/>
      <c r="FT1949" s="8"/>
      <c r="FU1949" s="8"/>
      <c r="FV1949" s="8"/>
      <c r="FW1949" s="8"/>
      <c r="FX1949" s="8"/>
      <c r="FY1949" s="8"/>
      <c r="FZ1949" s="8"/>
      <c r="GA1949" s="8"/>
      <c r="GB1949" s="8"/>
      <c r="GC1949" s="8"/>
      <c r="GD1949" s="8"/>
      <c r="GE1949" s="8"/>
      <c r="GF1949" s="8"/>
      <c r="GG1949" s="8"/>
      <c r="GH1949" s="8"/>
      <c r="GI1949" s="8"/>
      <c r="GJ1949" s="8"/>
      <c r="GK1949" s="8"/>
      <c r="GL1949" s="8"/>
      <c r="GM1949" s="8"/>
      <c r="GN1949" s="8"/>
      <c r="GO1949" s="8"/>
      <c r="GP1949" s="8"/>
      <c r="GQ1949" s="8"/>
      <c r="GR1949" s="8"/>
      <c r="GS1949" s="8"/>
      <c r="GT1949" s="8"/>
      <c r="GU1949" s="8"/>
      <c r="GV1949" s="8"/>
      <c r="GW1949" s="8"/>
      <c r="GX1949" s="8"/>
    </row>
    <row r="1950">
      <c r="A1950" s="8" t="str">
        <f>IFERROR(__xludf.DUMMYFUNCTION("""COMPUTED_VALUE"""),"110060020080600750")</f>
        <v>110060020080600750</v>
      </c>
      <c r="B1950" s="9" t="str">
        <f>IFERROR(__xludf.DUMMYFUNCTION("""COMPUTED_VALUE"""),"Italy")</f>
        <v>Italy</v>
      </c>
      <c r="C1950" s="9" t="str">
        <f>IFERROR(__xludf.DUMMYFUNCTION("""COMPUTED_VALUE"""),"piedmont")</f>
        <v>piedmont</v>
      </c>
      <c r="D1950" s="9" t="str">
        <f>IFERROR(__xludf.DUMMYFUNCTION("""COMPUTED_VALUE"""),"La Spinetta, Barbaresco, Starderi Vursu")</f>
        <v>La Spinetta, Barbaresco, Starderi Vursu</v>
      </c>
      <c r="E1950" s="9">
        <f>IFERROR(__xludf.DUMMYFUNCTION("""COMPUTED_VALUE"""),2008.0)</f>
        <v>2008</v>
      </c>
      <c r="F1950" s="9">
        <f>IFERROR(__xludf.DUMMYFUNCTION("""COMPUTED_VALUE"""),750.0)</f>
        <v>750</v>
      </c>
      <c r="G1950" s="9">
        <f>IFERROR(__xludf.DUMMYFUNCTION("""COMPUTED_VALUE"""),6.0)</f>
        <v>6</v>
      </c>
      <c r="H1950" s="10">
        <f>IFERROR(__xludf.DUMMYFUNCTION("""COMPUTED_VALUE"""),1.0)</f>
        <v>1</v>
      </c>
      <c r="I1950" s="11">
        <f>IFERROR(__xludf.DUMMYFUNCTION("""COMPUTED_VALUE"""),529.0)</f>
        <v>529</v>
      </c>
      <c r="J1950" s="9" t="str">
        <f>IFERROR(__xludf.DUMMYFUNCTION("""COMPUTED_VALUE"""),"UK")</f>
        <v>UK</v>
      </c>
      <c r="K1950" s="8"/>
      <c r="L1950" s="12"/>
      <c r="M1950" s="13"/>
      <c r="N1950" s="13" t="str">
        <f>IFERROR(__xludf.DUMMYFUNCTION("IF(ISBLANK(M1950),"""",M1950*GOOGLEFINANCE(""USDGBP""))"),"")</f>
        <v/>
      </c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  <c r="FG1950" s="8"/>
      <c r="FH1950" s="8"/>
      <c r="FI1950" s="8"/>
      <c r="FJ1950" s="8"/>
      <c r="FK1950" s="8"/>
      <c r="FL1950" s="8"/>
      <c r="FM1950" s="8"/>
      <c r="FN1950" s="8"/>
      <c r="FO1950" s="8"/>
      <c r="FP1950" s="8"/>
      <c r="FQ1950" s="8"/>
      <c r="FR1950" s="8"/>
      <c r="FS1950" s="8"/>
      <c r="FT1950" s="8"/>
      <c r="FU1950" s="8"/>
      <c r="FV1950" s="8"/>
      <c r="FW1950" s="8"/>
      <c r="FX1950" s="8"/>
      <c r="FY1950" s="8"/>
      <c r="FZ1950" s="8"/>
      <c r="GA1950" s="8"/>
      <c r="GB1950" s="8"/>
      <c r="GC1950" s="8"/>
      <c r="GD1950" s="8"/>
      <c r="GE1950" s="8"/>
      <c r="GF1950" s="8"/>
      <c r="GG1950" s="8"/>
      <c r="GH1950" s="8"/>
      <c r="GI1950" s="8"/>
      <c r="GJ1950" s="8"/>
      <c r="GK1950" s="8"/>
      <c r="GL1950" s="8"/>
      <c r="GM1950" s="8"/>
      <c r="GN1950" s="8"/>
      <c r="GO1950" s="8"/>
      <c r="GP1950" s="8"/>
      <c r="GQ1950" s="8"/>
      <c r="GR1950" s="8"/>
      <c r="GS1950" s="8"/>
      <c r="GT1950" s="8"/>
      <c r="GU1950" s="8"/>
      <c r="GV1950" s="8"/>
      <c r="GW1950" s="8"/>
      <c r="GX1950" s="8"/>
    </row>
    <row r="1951">
      <c r="A1951" s="8" t="str">
        <f>IFERROR(__xludf.DUMMYFUNCTION("""COMPUTED_VALUE"""),"110060020100600750")</f>
        <v>110060020100600750</v>
      </c>
      <c r="B1951" s="9" t="str">
        <f>IFERROR(__xludf.DUMMYFUNCTION("""COMPUTED_VALUE"""),"Italy")</f>
        <v>Italy</v>
      </c>
      <c r="C1951" s="9" t="str">
        <f>IFERROR(__xludf.DUMMYFUNCTION("""COMPUTED_VALUE"""),"piedmont")</f>
        <v>piedmont</v>
      </c>
      <c r="D1951" s="9" t="str">
        <f>IFERROR(__xludf.DUMMYFUNCTION("""COMPUTED_VALUE"""),"La Spinetta, Barbaresco, Starderi Vursu")</f>
        <v>La Spinetta, Barbaresco, Starderi Vursu</v>
      </c>
      <c r="E1951" s="9">
        <f>IFERROR(__xludf.DUMMYFUNCTION("""COMPUTED_VALUE"""),2010.0)</f>
        <v>2010</v>
      </c>
      <c r="F1951" s="9">
        <f>IFERROR(__xludf.DUMMYFUNCTION("""COMPUTED_VALUE"""),750.0)</f>
        <v>750</v>
      </c>
      <c r="G1951" s="9">
        <f>IFERROR(__xludf.DUMMYFUNCTION("""COMPUTED_VALUE"""),6.0)</f>
        <v>6</v>
      </c>
      <c r="H1951" s="10">
        <f>IFERROR(__xludf.DUMMYFUNCTION("""COMPUTED_VALUE"""),4.0)</f>
        <v>4</v>
      </c>
      <c r="I1951" s="11">
        <f>IFERROR(__xludf.DUMMYFUNCTION("""COMPUTED_VALUE"""),1187.0)</f>
        <v>1187</v>
      </c>
      <c r="J1951" s="9" t="str">
        <f>IFERROR(__xludf.DUMMYFUNCTION("""COMPUTED_VALUE"""),"UK")</f>
        <v>UK</v>
      </c>
      <c r="K1951" s="8"/>
      <c r="L1951" s="12"/>
      <c r="M1951" s="13"/>
      <c r="N1951" s="13" t="str">
        <f>IFERROR(__xludf.DUMMYFUNCTION("IF(ISBLANK(M1951),"""",M1951*GOOGLEFINANCE(""USDGBP""))"),"")</f>
        <v/>
      </c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  <c r="FG1951" s="8"/>
      <c r="FH1951" s="8"/>
      <c r="FI1951" s="8"/>
      <c r="FJ1951" s="8"/>
      <c r="FK1951" s="8"/>
      <c r="FL1951" s="8"/>
      <c r="FM1951" s="8"/>
      <c r="FN1951" s="8"/>
      <c r="FO1951" s="8"/>
      <c r="FP1951" s="8"/>
      <c r="FQ1951" s="8"/>
      <c r="FR1951" s="8"/>
      <c r="FS1951" s="8"/>
      <c r="FT1951" s="8"/>
      <c r="FU1951" s="8"/>
      <c r="FV1951" s="8"/>
      <c r="FW1951" s="8"/>
      <c r="FX1951" s="8"/>
      <c r="FY1951" s="8"/>
      <c r="FZ1951" s="8"/>
      <c r="GA1951" s="8"/>
      <c r="GB1951" s="8"/>
      <c r="GC1951" s="8"/>
      <c r="GD1951" s="8"/>
      <c r="GE1951" s="8"/>
      <c r="GF1951" s="8"/>
      <c r="GG1951" s="8"/>
      <c r="GH1951" s="8"/>
      <c r="GI1951" s="8"/>
      <c r="GJ1951" s="8"/>
      <c r="GK1951" s="8"/>
      <c r="GL1951" s="8"/>
      <c r="GM1951" s="8"/>
      <c r="GN1951" s="8"/>
      <c r="GO1951" s="8"/>
      <c r="GP1951" s="8"/>
      <c r="GQ1951" s="8"/>
      <c r="GR1951" s="8"/>
      <c r="GS1951" s="8"/>
      <c r="GT1951" s="8"/>
      <c r="GU1951" s="8"/>
      <c r="GV1951" s="8"/>
      <c r="GW1951" s="8"/>
      <c r="GX1951" s="8"/>
    </row>
    <row r="1952">
      <c r="A1952" s="8" t="str">
        <f>IFERROR(__xludf.DUMMYFUNCTION("""COMPUTED_VALUE"""),"110060020130600750")</f>
        <v>110060020130600750</v>
      </c>
      <c r="B1952" s="9" t="str">
        <f>IFERROR(__xludf.DUMMYFUNCTION("""COMPUTED_VALUE"""),"Italy")</f>
        <v>Italy</v>
      </c>
      <c r="C1952" s="9" t="str">
        <f>IFERROR(__xludf.DUMMYFUNCTION("""COMPUTED_VALUE"""),"piedmont")</f>
        <v>piedmont</v>
      </c>
      <c r="D1952" s="9" t="str">
        <f>IFERROR(__xludf.DUMMYFUNCTION("""COMPUTED_VALUE"""),"La Spinetta, Barbaresco, Starderi Vursu")</f>
        <v>La Spinetta, Barbaresco, Starderi Vursu</v>
      </c>
      <c r="E1952" s="9">
        <f>IFERROR(__xludf.DUMMYFUNCTION("""COMPUTED_VALUE"""),2013.0)</f>
        <v>2013</v>
      </c>
      <c r="F1952" s="9">
        <f>IFERROR(__xludf.DUMMYFUNCTION("""COMPUTED_VALUE"""),750.0)</f>
        <v>750</v>
      </c>
      <c r="G1952" s="9">
        <f>IFERROR(__xludf.DUMMYFUNCTION("""COMPUTED_VALUE"""),6.0)</f>
        <v>6</v>
      </c>
      <c r="H1952" s="10">
        <f>IFERROR(__xludf.DUMMYFUNCTION("""COMPUTED_VALUE"""),1.0)</f>
        <v>1</v>
      </c>
      <c r="I1952" s="11">
        <f>IFERROR(__xludf.DUMMYFUNCTION("""COMPUTED_VALUE"""),590.0)</f>
        <v>590</v>
      </c>
      <c r="J1952" s="9" t="str">
        <f>IFERROR(__xludf.DUMMYFUNCTION("""COMPUTED_VALUE"""),"UK")</f>
        <v>UK</v>
      </c>
      <c r="K1952" s="8"/>
      <c r="L1952" s="12"/>
      <c r="M1952" s="13"/>
      <c r="N1952" s="13" t="str">
        <f>IFERROR(__xludf.DUMMYFUNCTION("IF(ISBLANK(M1952),"""",M1952*GOOGLEFINANCE(""USDGBP""))"),"")</f>
        <v/>
      </c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  <c r="FG1952" s="8"/>
      <c r="FH1952" s="8"/>
      <c r="FI1952" s="8"/>
      <c r="FJ1952" s="8"/>
      <c r="FK1952" s="8"/>
      <c r="FL1952" s="8"/>
      <c r="FM1952" s="8"/>
      <c r="FN1952" s="8"/>
      <c r="FO1952" s="8"/>
      <c r="FP1952" s="8"/>
      <c r="FQ1952" s="8"/>
      <c r="FR1952" s="8"/>
      <c r="FS1952" s="8"/>
      <c r="FT1952" s="8"/>
      <c r="FU1952" s="8"/>
      <c r="FV1952" s="8"/>
      <c r="FW1952" s="8"/>
      <c r="FX1952" s="8"/>
      <c r="FY1952" s="8"/>
      <c r="FZ1952" s="8"/>
      <c r="GA1952" s="8"/>
      <c r="GB1952" s="8"/>
      <c r="GC1952" s="8"/>
      <c r="GD1952" s="8"/>
      <c r="GE1952" s="8"/>
      <c r="GF1952" s="8"/>
      <c r="GG1952" s="8"/>
      <c r="GH1952" s="8"/>
      <c r="GI1952" s="8"/>
      <c r="GJ1952" s="8"/>
      <c r="GK1952" s="8"/>
      <c r="GL1952" s="8"/>
      <c r="GM1952" s="8"/>
      <c r="GN1952" s="8"/>
      <c r="GO1952" s="8"/>
      <c r="GP1952" s="8"/>
      <c r="GQ1952" s="8"/>
      <c r="GR1952" s="8"/>
      <c r="GS1952" s="8"/>
      <c r="GT1952" s="8"/>
      <c r="GU1952" s="8"/>
      <c r="GV1952" s="8"/>
      <c r="GW1952" s="8"/>
      <c r="GX1952" s="8"/>
    </row>
    <row r="1953">
      <c r="A1953" s="8" t="str">
        <f>IFERROR(__xludf.DUMMYFUNCTION("""COMPUTED_VALUE"""),"110060020131200750")</f>
        <v>110060020131200750</v>
      </c>
      <c r="B1953" s="9" t="str">
        <f>IFERROR(__xludf.DUMMYFUNCTION("""COMPUTED_VALUE"""),"Italy")</f>
        <v>Italy</v>
      </c>
      <c r="C1953" s="9" t="str">
        <f>IFERROR(__xludf.DUMMYFUNCTION("""COMPUTED_VALUE"""),"piedmont")</f>
        <v>piedmont</v>
      </c>
      <c r="D1953" s="9" t="str">
        <f>IFERROR(__xludf.DUMMYFUNCTION("""COMPUTED_VALUE"""),"La Spinetta, Barbaresco, Starderi Vursu")</f>
        <v>La Spinetta, Barbaresco, Starderi Vursu</v>
      </c>
      <c r="E1953" s="9">
        <f>IFERROR(__xludf.DUMMYFUNCTION("""COMPUTED_VALUE"""),2013.0)</f>
        <v>2013</v>
      </c>
      <c r="F1953" s="9">
        <f>IFERROR(__xludf.DUMMYFUNCTION("""COMPUTED_VALUE"""),750.0)</f>
        <v>750</v>
      </c>
      <c r="G1953" s="9">
        <f>IFERROR(__xludf.DUMMYFUNCTION("""COMPUTED_VALUE"""),12.0)</f>
        <v>12</v>
      </c>
      <c r="H1953" s="10">
        <f>IFERROR(__xludf.DUMMYFUNCTION("""COMPUTED_VALUE"""),2.0)</f>
        <v>2</v>
      </c>
      <c r="I1953" s="11">
        <f>IFERROR(__xludf.DUMMYFUNCTION("""COMPUTED_VALUE"""),1181.0)</f>
        <v>1181</v>
      </c>
      <c r="J1953" s="9" t="str">
        <f>IFERROR(__xludf.DUMMYFUNCTION("""COMPUTED_VALUE"""),"UK")</f>
        <v>UK</v>
      </c>
      <c r="K1953" s="8"/>
      <c r="L1953" s="12"/>
      <c r="M1953" s="13"/>
      <c r="N1953" s="13" t="str">
        <f>IFERROR(__xludf.DUMMYFUNCTION("IF(ISBLANK(M1953),"""",M1953*GOOGLEFINANCE(""USDGBP""))"),"")</f>
        <v/>
      </c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  <c r="FG1953" s="8"/>
      <c r="FH1953" s="8"/>
      <c r="FI1953" s="8"/>
      <c r="FJ1953" s="8"/>
      <c r="FK1953" s="8"/>
      <c r="FL1953" s="8"/>
      <c r="FM1953" s="8"/>
      <c r="FN1953" s="8"/>
      <c r="FO1953" s="8"/>
      <c r="FP1953" s="8"/>
      <c r="FQ1953" s="8"/>
      <c r="FR1953" s="8"/>
      <c r="FS1953" s="8"/>
      <c r="FT1953" s="8"/>
      <c r="FU1953" s="8"/>
      <c r="FV1953" s="8"/>
      <c r="FW1953" s="8"/>
      <c r="FX1953" s="8"/>
      <c r="FY1953" s="8"/>
      <c r="FZ1953" s="8"/>
      <c r="GA1953" s="8"/>
      <c r="GB1953" s="8"/>
      <c r="GC1953" s="8"/>
      <c r="GD1953" s="8"/>
      <c r="GE1953" s="8"/>
      <c r="GF1953" s="8"/>
      <c r="GG1953" s="8"/>
      <c r="GH1953" s="8"/>
      <c r="GI1953" s="8"/>
      <c r="GJ1953" s="8"/>
      <c r="GK1953" s="8"/>
      <c r="GL1953" s="8"/>
      <c r="GM1953" s="8"/>
      <c r="GN1953" s="8"/>
      <c r="GO1953" s="8"/>
      <c r="GP1953" s="8"/>
      <c r="GQ1953" s="8"/>
      <c r="GR1953" s="8"/>
      <c r="GS1953" s="8"/>
      <c r="GT1953" s="8"/>
      <c r="GU1953" s="8"/>
      <c r="GV1953" s="8"/>
      <c r="GW1953" s="8"/>
      <c r="GX1953" s="8"/>
    </row>
    <row r="1954">
      <c r="A1954" s="8" t="str">
        <f>IFERROR(__xludf.DUMMYFUNCTION("""COMPUTED_VALUE"""),"110060020141200750")</f>
        <v>110060020141200750</v>
      </c>
      <c r="B1954" s="9" t="str">
        <f>IFERROR(__xludf.DUMMYFUNCTION("""COMPUTED_VALUE"""),"Italy")</f>
        <v>Italy</v>
      </c>
      <c r="C1954" s="9" t="str">
        <f>IFERROR(__xludf.DUMMYFUNCTION("""COMPUTED_VALUE"""),"piedmont")</f>
        <v>piedmont</v>
      </c>
      <c r="D1954" s="9" t="str">
        <f>IFERROR(__xludf.DUMMYFUNCTION("""COMPUTED_VALUE"""),"La Spinetta, Barbaresco, Starderi Vursu")</f>
        <v>La Spinetta, Barbaresco, Starderi Vursu</v>
      </c>
      <c r="E1954" s="9">
        <f>IFERROR(__xludf.DUMMYFUNCTION("""COMPUTED_VALUE"""),2014.0)</f>
        <v>2014</v>
      </c>
      <c r="F1954" s="9">
        <f>IFERROR(__xludf.DUMMYFUNCTION("""COMPUTED_VALUE"""),750.0)</f>
        <v>750</v>
      </c>
      <c r="G1954" s="9">
        <f>IFERROR(__xludf.DUMMYFUNCTION("""COMPUTED_VALUE"""),12.0)</f>
        <v>12</v>
      </c>
      <c r="H1954" s="10">
        <f>IFERROR(__xludf.DUMMYFUNCTION("""COMPUTED_VALUE"""),1.0)</f>
        <v>1</v>
      </c>
      <c r="I1954" s="11">
        <f>IFERROR(__xludf.DUMMYFUNCTION("""COMPUTED_VALUE"""),1139.0)</f>
        <v>1139</v>
      </c>
      <c r="J1954" s="9" t="str">
        <f>IFERROR(__xludf.DUMMYFUNCTION("""COMPUTED_VALUE"""),"UK")</f>
        <v>UK</v>
      </c>
      <c r="K1954" s="8"/>
      <c r="L1954" s="12"/>
      <c r="M1954" s="13"/>
      <c r="N1954" s="13" t="str">
        <f>IFERROR(__xludf.DUMMYFUNCTION("IF(ISBLANK(M1954),"""",M1954*GOOGLEFINANCE(""USDGBP""))"),"")</f>
        <v/>
      </c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  <c r="FG1954" s="8"/>
      <c r="FH1954" s="8"/>
      <c r="FI1954" s="8"/>
      <c r="FJ1954" s="8"/>
      <c r="FK1954" s="8"/>
      <c r="FL1954" s="8"/>
      <c r="FM1954" s="8"/>
      <c r="FN1954" s="8"/>
      <c r="FO1954" s="8"/>
      <c r="FP1954" s="8"/>
      <c r="FQ1954" s="8"/>
      <c r="FR1954" s="8"/>
      <c r="FS1954" s="8"/>
      <c r="FT1954" s="8"/>
      <c r="FU1954" s="8"/>
      <c r="FV1954" s="8"/>
      <c r="FW1954" s="8"/>
      <c r="FX1954" s="8"/>
      <c r="FY1954" s="8"/>
      <c r="FZ1954" s="8"/>
      <c r="GA1954" s="8"/>
      <c r="GB1954" s="8"/>
      <c r="GC1954" s="8"/>
      <c r="GD1954" s="8"/>
      <c r="GE1954" s="8"/>
      <c r="GF1954" s="8"/>
      <c r="GG1954" s="8"/>
      <c r="GH1954" s="8"/>
      <c r="GI1954" s="8"/>
      <c r="GJ1954" s="8"/>
      <c r="GK1954" s="8"/>
      <c r="GL1954" s="8"/>
      <c r="GM1954" s="8"/>
      <c r="GN1954" s="8"/>
      <c r="GO1954" s="8"/>
      <c r="GP1954" s="8"/>
      <c r="GQ1954" s="8"/>
      <c r="GR1954" s="8"/>
      <c r="GS1954" s="8"/>
      <c r="GT1954" s="8"/>
      <c r="GU1954" s="8"/>
      <c r="GV1954" s="8"/>
      <c r="GW1954" s="8"/>
      <c r="GX1954" s="8"/>
    </row>
    <row r="1955">
      <c r="A1955" s="8" t="str">
        <f>IFERROR(__xludf.DUMMYFUNCTION("""COMPUTED_VALUE"""),"110060020150600750")</f>
        <v>110060020150600750</v>
      </c>
      <c r="B1955" s="9" t="str">
        <f>IFERROR(__xludf.DUMMYFUNCTION("""COMPUTED_VALUE"""),"Italy")</f>
        <v>Italy</v>
      </c>
      <c r="C1955" s="9" t="str">
        <f>IFERROR(__xludf.DUMMYFUNCTION("""COMPUTED_VALUE"""),"piedmont")</f>
        <v>piedmont</v>
      </c>
      <c r="D1955" s="9" t="str">
        <f>IFERROR(__xludf.DUMMYFUNCTION("""COMPUTED_VALUE"""),"La Spinetta, Barbaresco, Starderi Vursu")</f>
        <v>La Spinetta, Barbaresco, Starderi Vursu</v>
      </c>
      <c r="E1955" s="9">
        <f>IFERROR(__xludf.DUMMYFUNCTION("""COMPUTED_VALUE"""),2015.0)</f>
        <v>2015</v>
      </c>
      <c r="F1955" s="9">
        <f>IFERROR(__xludf.DUMMYFUNCTION("""COMPUTED_VALUE"""),750.0)</f>
        <v>750</v>
      </c>
      <c r="G1955" s="9">
        <f>IFERROR(__xludf.DUMMYFUNCTION("""COMPUTED_VALUE"""),6.0)</f>
        <v>6</v>
      </c>
      <c r="H1955" s="10">
        <f>IFERROR(__xludf.DUMMYFUNCTION("""COMPUTED_VALUE"""),3.0)</f>
        <v>3</v>
      </c>
      <c r="I1955" s="11">
        <f>IFERROR(__xludf.DUMMYFUNCTION("""COMPUTED_VALUE"""),529.0)</f>
        <v>529</v>
      </c>
      <c r="J1955" s="9" t="str">
        <f>IFERROR(__xludf.DUMMYFUNCTION("""COMPUTED_VALUE"""),"UK")</f>
        <v>UK</v>
      </c>
      <c r="K1955" s="8"/>
      <c r="L1955" s="12"/>
      <c r="M1955" s="13"/>
      <c r="N1955" s="13" t="str">
        <f>IFERROR(__xludf.DUMMYFUNCTION("IF(ISBLANK(M1955),"""",M1955*GOOGLEFINANCE(""USDGBP""))"),"")</f>
        <v/>
      </c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  <c r="FG1955" s="8"/>
      <c r="FH1955" s="8"/>
      <c r="FI1955" s="8"/>
      <c r="FJ1955" s="8"/>
      <c r="FK1955" s="8"/>
      <c r="FL1955" s="8"/>
      <c r="FM1955" s="8"/>
      <c r="FN1955" s="8"/>
      <c r="FO1955" s="8"/>
      <c r="FP1955" s="8"/>
      <c r="FQ1955" s="8"/>
      <c r="FR1955" s="8"/>
      <c r="FS1955" s="8"/>
      <c r="FT1955" s="8"/>
      <c r="FU1955" s="8"/>
      <c r="FV1955" s="8"/>
      <c r="FW1955" s="8"/>
      <c r="FX1955" s="8"/>
      <c r="FY1955" s="8"/>
      <c r="FZ1955" s="8"/>
      <c r="GA1955" s="8"/>
      <c r="GB1955" s="8"/>
      <c r="GC1955" s="8"/>
      <c r="GD1955" s="8"/>
      <c r="GE1955" s="8"/>
      <c r="GF1955" s="8"/>
      <c r="GG1955" s="8"/>
      <c r="GH1955" s="8"/>
      <c r="GI1955" s="8"/>
      <c r="GJ1955" s="8"/>
      <c r="GK1955" s="8"/>
      <c r="GL1955" s="8"/>
      <c r="GM1955" s="8"/>
      <c r="GN1955" s="8"/>
      <c r="GO1955" s="8"/>
      <c r="GP1955" s="8"/>
      <c r="GQ1955" s="8"/>
      <c r="GR1955" s="8"/>
      <c r="GS1955" s="8"/>
      <c r="GT1955" s="8"/>
      <c r="GU1955" s="8"/>
      <c r="GV1955" s="8"/>
      <c r="GW1955" s="8"/>
      <c r="GX1955" s="8"/>
    </row>
    <row r="1956">
      <c r="A1956" s="8" t="str">
        <f>IFERROR(__xludf.DUMMYFUNCTION("""COMPUTED_VALUE"""),"110060020151200750")</f>
        <v>110060020151200750</v>
      </c>
      <c r="B1956" s="9" t="str">
        <f>IFERROR(__xludf.DUMMYFUNCTION("""COMPUTED_VALUE"""),"Italy")</f>
        <v>Italy</v>
      </c>
      <c r="C1956" s="9" t="str">
        <f>IFERROR(__xludf.DUMMYFUNCTION("""COMPUTED_VALUE"""),"piedmont")</f>
        <v>piedmont</v>
      </c>
      <c r="D1956" s="9" t="str">
        <f>IFERROR(__xludf.DUMMYFUNCTION("""COMPUTED_VALUE"""),"La Spinetta, Barbaresco, Starderi Vursu")</f>
        <v>La Spinetta, Barbaresco, Starderi Vursu</v>
      </c>
      <c r="E1956" s="9">
        <f>IFERROR(__xludf.DUMMYFUNCTION("""COMPUTED_VALUE"""),2015.0)</f>
        <v>2015</v>
      </c>
      <c r="F1956" s="9">
        <f>IFERROR(__xludf.DUMMYFUNCTION("""COMPUTED_VALUE"""),750.0)</f>
        <v>750</v>
      </c>
      <c r="G1956" s="9">
        <f>IFERROR(__xludf.DUMMYFUNCTION("""COMPUTED_VALUE"""),12.0)</f>
        <v>12</v>
      </c>
      <c r="H1956" s="10">
        <f>IFERROR(__xludf.DUMMYFUNCTION("""COMPUTED_VALUE"""),1.0)</f>
        <v>1</v>
      </c>
      <c r="I1956" s="11">
        <f>IFERROR(__xludf.DUMMYFUNCTION("""COMPUTED_VALUE"""),1055.0)</f>
        <v>1055</v>
      </c>
      <c r="J1956" s="9" t="str">
        <f>IFERROR(__xludf.DUMMYFUNCTION("""COMPUTED_VALUE"""),"UK")</f>
        <v>UK</v>
      </c>
      <c r="K1956" s="8"/>
      <c r="L1956" s="12"/>
      <c r="M1956" s="13"/>
      <c r="N1956" s="13" t="str">
        <f>IFERROR(__xludf.DUMMYFUNCTION("IF(ISBLANK(M1956),"""",M1956*GOOGLEFINANCE(""USDGBP""))"),"")</f>
        <v/>
      </c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  <c r="FG1956" s="8"/>
      <c r="FH1956" s="8"/>
      <c r="FI1956" s="8"/>
      <c r="FJ1956" s="8"/>
      <c r="FK1956" s="8"/>
      <c r="FL1956" s="8"/>
      <c r="FM1956" s="8"/>
      <c r="FN1956" s="8"/>
      <c r="FO1956" s="8"/>
      <c r="FP1956" s="8"/>
      <c r="FQ1956" s="8"/>
      <c r="FR1956" s="8"/>
      <c r="FS1956" s="8"/>
      <c r="FT1956" s="8"/>
      <c r="FU1956" s="8"/>
      <c r="FV1956" s="8"/>
      <c r="FW1956" s="8"/>
      <c r="FX1956" s="8"/>
      <c r="FY1956" s="8"/>
      <c r="FZ1956" s="8"/>
      <c r="GA1956" s="8"/>
      <c r="GB1956" s="8"/>
      <c r="GC1956" s="8"/>
      <c r="GD1956" s="8"/>
      <c r="GE1956" s="8"/>
      <c r="GF1956" s="8"/>
      <c r="GG1956" s="8"/>
      <c r="GH1956" s="8"/>
      <c r="GI1956" s="8"/>
      <c r="GJ1956" s="8"/>
      <c r="GK1956" s="8"/>
      <c r="GL1956" s="8"/>
      <c r="GM1956" s="8"/>
      <c r="GN1956" s="8"/>
      <c r="GO1956" s="8"/>
      <c r="GP1956" s="8"/>
      <c r="GQ1956" s="8"/>
      <c r="GR1956" s="8"/>
      <c r="GS1956" s="8"/>
      <c r="GT1956" s="8"/>
      <c r="GU1956" s="8"/>
      <c r="GV1956" s="8"/>
      <c r="GW1956" s="8"/>
      <c r="GX1956" s="8"/>
    </row>
    <row r="1957">
      <c r="A1957" s="8" t="str">
        <f>IFERROR(__xludf.DUMMYFUNCTION("""COMPUTED_VALUE"""),"110060020160600750")</f>
        <v>110060020160600750</v>
      </c>
      <c r="B1957" s="9" t="str">
        <f>IFERROR(__xludf.DUMMYFUNCTION("""COMPUTED_VALUE"""),"Italy")</f>
        <v>Italy</v>
      </c>
      <c r="C1957" s="9" t="str">
        <f>IFERROR(__xludf.DUMMYFUNCTION("""COMPUTED_VALUE"""),"piedmont")</f>
        <v>piedmont</v>
      </c>
      <c r="D1957" s="9" t="str">
        <f>IFERROR(__xludf.DUMMYFUNCTION("""COMPUTED_VALUE"""),"La Spinetta, Barbaresco, Starderi Vursu")</f>
        <v>La Spinetta, Barbaresco, Starderi Vursu</v>
      </c>
      <c r="E1957" s="9">
        <f>IFERROR(__xludf.DUMMYFUNCTION("""COMPUTED_VALUE"""),2016.0)</f>
        <v>2016</v>
      </c>
      <c r="F1957" s="9">
        <f>IFERROR(__xludf.DUMMYFUNCTION("""COMPUTED_VALUE"""),750.0)</f>
        <v>750</v>
      </c>
      <c r="G1957" s="9">
        <f>IFERROR(__xludf.DUMMYFUNCTION("""COMPUTED_VALUE"""),6.0)</f>
        <v>6</v>
      </c>
      <c r="H1957" s="10">
        <f>IFERROR(__xludf.DUMMYFUNCTION("""COMPUTED_VALUE"""),1.0)</f>
        <v>1</v>
      </c>
      <c r="I1957" s="11">
        <f>IFERROR(__xludf.DUMMYFUNCTION("""COMPUTED_VALUE"""),463.0)</f>
        <v>463</v>
      </c>
      <c r="J1957" s="9" t="str">
        <f>IFERROR(__xludf.DUMMYFUNCTION("""COMPUTED_VALUE"""),"UK")</f>
        <v>UK</v>
      </c>
      <c r="K1957" s="8"/>
      <c r="L1957" s="12"/>
      <c r="M1957" s="13"/>
      <c r="N1957" s="13" t="str">
        <f>IFERROR(__xludf.DUMMYFUNCTION("IF(ISBLANK(M1957),"""",M1957*GOOGLEFINANCE(""USDGBP""))"),"")</f>
        <v/>
      </c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  <c r="FG1957" s="8"/>
      <c r="FH1957" s="8"/>
      <c r="FI1957" s="8"/>
      <c r="FJ1957" s="8"/>
      <c r="FK1957" s="8"/>
      <c r="FL1957" s="8"/>
      <c r="FM1957" s="8"/>
      <c r="FN1957" s="8"/>
      <c r="FO1957" s="8"/>
      <c r="FP1957" s="8"/>
      <c r="FQ1957" s="8"/>
      <c r="FR1957" s="8"/>
      <c r="FS1957" s="8"/>
      <c r="FT1957" s="8"/>
      <c r="FU1957" s="8"/>
      <c r="FV1957" s="8"/>
      <c r="FW1957" s="8"/>
      <c r="FX1957" s="8"/>
      <c r="FY1957" s="8"/>
      <c r="FZ1957" s="8"/>
      <c r="GA1957" s="8"/>
      <c r="GB1957" s="8"/>
      <c r="GC1957" s="8"/>
      <c r="GD1957" s="8"/>
      <c r="GE1957" s="8"/>
      <c r="GF1957" s="8"/>
      <c r="GG1957" s="8"/>
      <c r="GH1957" s="8"/>
      <c r="GI1957" s="8"/>
      <c r="GJ1957" s="8"/>
      <c r="GK1957" s="8"/>
      <c r="GL1957" s="8"/>
      <c r="GM1957" s="8"/>
      <c r="GN1957" s="8"/>
      <c r="GO1957" s="8"/>
      <c r="GP1957" s="8"/>
      <c r="GQ1957" s="8"/>
      <c r="GR1957" s="8"/>
      <c r="GS1957" s="8"/>
      <c r="GT1957" s="8"/>
      <c r="GU1957" s="8"/>
      <c r="GV1957" s="8"/>
      <c r="GW1957" s="8"/>
      <c r="GX1957" s="8"/>
    </row>
    <row r="1958">
      <c r="A1958" s="8" t="str">
        <f>IFERROR(__xludf.DUMMYFUNCTION("""COMPUTED_VALUE"""),"110060020161200750")</f>
        <v>110060020161200750</v>
      </c>
      <c r="B1958" s="9" t="str">
        <f>IFERROR(__xludf.DUMMYFUNCTION("""COMPUTED_VALUE"""),"Italy")</f>
        <v>Italy</v>
      </c>
      <c r="C1958" s="9" t="str">
        <f>IFERROR(__xludf.DUMMYFUNCTION("""COMPUTED_VALUE"""),"piedmont")</f>
        <v>piedmont</v>
      </c>
      <c r="D1958" s="9" t="str">
        <f>IFERROR(__xludf.DUMMYFUNCTION("""COMPUTED_VALUE"""),"La Spinetta, Barbaresco, Starderi Vursu")</f>
        <v>La Spinetta, Barbaresco, Starderi Vursu</v>
      </c>
      <c r="E1958" s="9">
        <f>IFERROR(__xludf.DUMMYFUNCTION("""COMPUTED_VALUE"""),2016.0)</f>
        <v>2016</v>
      </c>
      <c r="F1958" s="9">
        <f>IFERROR(__xludf.DUMMYFUNCTION("""COMPUTED_VALUE"""),750.0)</f>
        <v>750</v>
      </c>
      <c r="G1958" s="9">
        <f>IFERROR(__xludf.DUMMYFUNCTION("""COMPUTED_VALUE"""),12.0)</f>
        <v>12</v>
      </c>
      <c r="H1958" s="10">
        <f>IFERROR(__xludf.DUMMYFUNCTION("""COMPUTED_VALUE"""),1.0)</f>
        <v>1</v>
      </c>
      <c r="I1958" s="11">
        <f>IFERROR(__xludf.DUMMYFUNCTION("""COMPUTED_VALUE"""),1081.0)</f>
        <v>1081</v>
      </c>
      <c r="J1958" s="9" t="str">
        <f>IFERROR(__xludf.DUMMYFUNCTION("""COMPUTED_VALUE"""),"UK")</f>
        <v>UK</v>
      </c>
      <c r="K1958" s="8"/>
      <c r="L1958" s="12"/>
      <c r="M1958" s="13"/>
      <c r="N1958" s="13" t="str">
        <f>IFERROR(__xludf.DUMMYFUNCTION("IF(ISBLANK(M1958),"""",M1958*GOOGLEFINANCE(""USDGBP""))"),"")</f>
        <v/>
      </c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  <c r="FG1958" s="8"/>
      <c r="FH1958" s="8"/>
      <c r="FI1958" s="8"/>
      <c r="FJ1958" s="8"/>
      <c r="FK1958" s="8"/>
      <c r="FL1958" s="8"/>
      <c r="FM1958" s="8"/>
      <c r="FN1958" s="8"/>
      <c r="FO1958" s="8"/>
      <c r="FP1958" s="8"/>
      <c r="FQ1958" s="8"/>
      <c r="FR1958" s="8"/>
      <c r="FS1958" s="8"/>
      <c r="FT1958" s="8"/>
      <c r="FU1958" s="8"/>
      <c r="FV1958" s="8"/>
      <c r="FW1958" s="8"/>
      <c r="FX1958" s="8"/>
      <c r="FY1958" s="8"/>
      <c r="FZ1958" s="8"/>
      <c r="GA1958" s="8"/>
      <c r="GB1958" s="8"/>
      <c r="GC1958" s="8"/>
      <c r="GD1958" s="8"/>
      <c r="GE1958" s="8"/>
      <c r="GF1958" s="8"/>
      <c r="GG1958" s="8"/>
      <c r="GH1958" s="8"/>
      <c r="GI1958" s="8"/>
      <c r="GJ1958" s="8"/>
      <c r="GK1958" s="8"/>
      <c r="GL1958" s="8"/>
      <c r="GM1958" s="8"/>
      <c r="GN1958" s="8"/>
      <c r="GO1958" s="8"/>
      <c r="GP1958" s="8"/>
      <c r="GQ1958" s="8"/>
      <c r="GR1958" s="8"/>
      <c r="GS1958" s="8"/>
      <c r="GT1958" s="8"/>
      <c r="GU1958" s="8"/>
      <c r="GV1958" s="8"/>
      <c r="GW1958" s="8"/>
      <c r="GX1958" s="8"/>
    </row>
    <row r="1959">
      <c r="A1959" s="8" t="str">
        <f>IFERROR(__xludf.DUMMYFUNCTION("""COMPUTED_VALUE"""),"110060020171200750")</f>
        <v>110060020171200750</v>
      </c>
      <c r="B1959" s="9" t="str">
        <f>IFERROR(__xludf.DUMMYFUNCTION("""COMPUTED_VALUE"""),"Italy")</f>
        <v>Italy</v>
      </c>
      <c r="C1959" s="9" t="str">
        <f>IFERROR(__xludf.DUMMYFUNCTION("""COMPUTED_VALUE"""),"piedmont")</f>
        <v>piedmont</v>
      </c>
      <c r="D1959" s="9" t="str">
        <f>IFERROR(__xludf.DUMMYFUNCTION("""COMPUTED_VALUE"""),"La Spinetta, Barbaresco, Starderi Vursu")</f>
        <v>La Spinetta, Barbaresco, Starderi Vursu</v>
      </c>
      <c r="E1959" s="9">
        <f>IFERROR(__xludf.DUMMYFUNCTION("""COMPUTED_VALUE"""),2017.0)</f>
        <v>2017</v>
      </c>
      <c r="F1959" s="9">
        <f>IFERROR(__xludf.DUMMYFUNCTION("""COMPUTED_VALUE"""),750.0)</f>
        <v>750</v>
      </c>
      <c r="G1959" s="9">
        <f>IFERROR(__xludf.DUMMYFUNCTION("""COMPUTED_VALUE"""),12.0)</f>
        <v>12</v>
      </c>
      <c r="H1959" s="10">
        <f>IFERROR(__xludf.DUMMYFUNCTION("""COMPUTED_VALUE"""),1.0)</f>
        <v>1</v>
      </c>
      <c r="I1959" s="11">
        <f>IFERROR(__xludf.DUMMYFUNCTION("""COMPUTED_VALUE"""),672.0)</f>
        <v>672</v>
      </c>
      <c r="J1959" s="9" t="str">
        <f>IFERROR(__xludf.DUMMYFUNCTION("""COMPUTED_VALUE"""),"UK")</f>
        <v>UK</v>
      </c>
      <c r="K1959" s="8"/>
      <c r="L1959" s="12"/>
      <c r="M1959" s="13"/>
      <c r="N1959" s="13" t="str">
        <f>IFERROR(__xludf.DUMMYFUNCTION("IF(ISBLANK(M1959),"""",M1959*GOOGLEFINANCE(""USDGBP""))"),"")</f>
        <v/>
      </c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  <c r="FG1959" s="8"/>
      <c r="FH1959" s="8"/>
      <c r="FI1959" s="8"/>
      <c r="FJ1959" s="8"/>
      <c r="FK1959" s="8"/>
      <c r="FL1959" s="8"/>
      <c r="FM1959" s="8"/>
      <c r="FN1959" s="8"/>
      <c r="FO1959" s="8"/>
      <c r="FP1959" s="8"/>
      <c r="FQ1959" s="8"/>
      <c r="FR1959" s="8"/>
      <c r="FS1959" s="8"/>
      <c r="FT1959" s="8"/>
      <c r="FU1959" s="8"/>
      <c r="FV1959" s="8"/>
      <c r="FW1959" s="8"/>
      <c r="FX1959" s="8"/>
      <c r="FY1959" s="8"/>
      <c r="FZ1959" s="8"/>
      <c r="GA1959" s="8"/>
      <c r="GB1959" s="8"/>
      <c r="GC1959" s="8"/>
      <c r="GD1959" s="8"/>
      <c r="GE1959" s="8"/>
      <c r="GF1959" s="8"/>
      <c r="GG1959" s="8"/>
      <c r="GH1959" s="8"/>
      <c r="GI1959" s="8"/>
      <c r="GJ1959" s="8"/>
      <c r="GK1959" s="8"/>
      <c r="GL1959" s="8"/>
      <c r="GM1959" s="8"/>
      <c r="GN1959" s="8"/>
      <c r="GO1959" s="8"/>
      <c r="GP1959" s="8"/>
      <c r="GQ1959" s="8"/>
      <c r="GR1959" s="8"/>
      <c r="GS1959" s="8"/>
      <c r="GT1959" s="8"/>
      <c r="GU1959" s="8"/>
      <c r="GV1959" s="8"/>
      <c r="GW1959" s="8"/>
      <c r="GX1959" s="8"/>
    </row>
    <row r="1960">
      <c r="A1960" s="8" t="str">
        <f>IFERROR(__xludf.DUMMYFUNCTION("""COMPUTED_VALUE"""),"110060020170600750")</f>
        <v>110060020170600750</v>
      </c>
      <c r="B1960" s="9" t="str">
        <f>IFERROR(__xludf.DUMMYFUNCTION("""COMPUTED_VALUE"""),"Italy")</f>
        <v>Italy</v>
      </c>
      <c r="C1960" s="9" t="str">
        <f>IFERROR(__xludf.DUMMYFUNCTION("""COMPUTED_VALUE"""),"piedmont")</f>
        <v>piedmont</v>
      </c>
      <c r="D1960" s="9" t="str">
        <f>IFERROR(__xludf.DUMMYFUNCTION("""COMPUTED_VALUE"""),"La Spinetta, Barbaresco, Starderi Vursu")</f>
        <v>La Spinetta, Barbaresco, Starderi Vursu</v>
      </c>
      <c r="E1960" s="9">
        <f>IFERROR(__xludf.DUMMYFUNCTION("""COMPUTED_VALUE"""),2017.0)</f>
        <v>2017</v>
      </c>
      <c r="F1960" s="9">
        <f>IFERROR(__xludf.DUMMYFUNCTION("""COMPUTED_VALUE"""),750.0)</f>
        <v>750</v>
      </c>
      <c r="G1960" s="9">
        <f>IFERROR(__xludf.DUMMYFUNCTION("""COMPUTED_VALUE"""),6.0)</f>
        <v>6</v>
      </c>
      <c r="H1960" s="10">
        <f>IFERROR(__xludf.DUMMYFUNCTION("""COMPUTED_VALUE"""),17.0)</f>
        <v>17</v>
      </c>
      <c r="I1960" s="11">
        <f>IFERROR(__xludf.DUMMYFUNCTION("""COMPUTED_VALUE"""),336.0)</f>
        <v>336</v>
      </c>
      <c r="J1960" s="9" t="str">
        <f>IFERROR(__xludf.DUMMYFUNCTION("""COMPUTED_VALUE"""),"UK")</f>
        <v>UK</v>
      </c>
      <c r="K1960" s="8"/>
      <c r="L1960" s="12"/>
      <c r="M1960" s="13"/>
      <c r="N1960" s="13" t="str">
        <f>IFERROR(__xludf.DUMMYFUNCTION("IF(ISBLANK(M1960),"""",M1960*GOOGLEFINANCE(""USDGBP""))"),"")</f>
        <v/>
      </c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  <c r="FG1960" s="8"/>
      <c r="FH1960" s="8"/>
      <c r="FI1960" s="8"/>
      <c r="FJ1960" s="8"/>
      <c r="FK1960" s="8"/>
      <c r="FL1960" s="8"/>
      <c r="FM1960" s="8"/>
      <c r="FN1960" s="8"/>
      <c r="FO1960" s="8"/>
      <c r="FP1960" s="8"/>
      <c r="FQ1960" s="8"/>
      <c r="FR1960" s="8"/>
      <c r="FS1960" s="8"/>
      <c r="FT1960" s="8"/>
      <c r="FU1960" s="8"/>
      <c r="FV1960" s="8"/>
      <c r="FW1960" s="8"/>
      <c r="FX1960" s="8"/>
      <c r="FY1960" s="8"/>
      <c r="FZ1960" s="8"/>
      <c r="GA1960" s="8"/>
      <c r="GB1960" s="8"/>
      <c r="GC1960" s="8"/>
      <c r="GD1960" s="8"/>
      <c r="GE1960" s="8"/>
      <c r="GF1960" s="8"/>
      <c r="GG1960" s="8"/>
      <c r="GH1960" s="8"/>
      <c r="GI1960" s="8"/>
      <c r="GJ1960" s="8"/>
      <c r="GK1960" s="8"/>
      <c r="GL1960" s="8"/>
      <c r="GM1960" s="8"/>
      <c r="GN1960" s="8"/>
      <c r="GO1960" s="8"/>
      <c r="GP1960" s="8"/>
      <c r="GQ1960" s="8"/>
      <c r="GR1960" s="8"/>
      <c r="GS1960" s="8"/>
      <c r="GT1960" s="8"/>
      <c r="GU1960" s="8"/>
      <c r="GV1960" s="8"/>
      <c r="GW1960" s="8"/>
      <c r="GX1960" s="8"/>
    </row>
    <row r="1961">
      <c r="A1961" s="8" t="str">
        <f>IFERROR(__xludf.DUMMYFUNCTION("""COMPUTED_VALUE"""),"110060020180600750")</f>
        <v>110060020180600750</v>
      </c>
      <c r="B1961" s="9" t="str">
        <f>IFERROR(__xludf.DUMMYFUNCTION("""COMPUTED_VALUE"""),"Italy")</f>
        <v>Italy</v>
      </c>
      <c r="C1961" s="9" t="str">
        <f>IFERROR(__xludf.DUMMYFUNCTION("""COMPUTED_VALUE"""),"piedmont")</f>
        <v>piedmont</v>
      </c>
      <c r="D1961" s="9" t="str">
        <f>IFERROR(__xludf.DUMMYFUNCTION("""COMPUTED_VALUE"""),"La Spinetta, Barbaresco, Starderi Vursu")</f>
        <v>La Spinetta, Barbaresco, Starderi Vursu</v>
      </c>
      <c r="E1961" s="9">
        <f>IFERROR(__xludf.DUMMYFUNCTION("""COMPUTED_VALUE"""),2018.0)</f>
        <v>2018</v>
      </c>
      <c r="F1961" s="9">
        <f>IFERROR(__xludf.DUMMYFUNCTION("""COMPUTED_VALUE"""),750.0)</f>
        <v>750</v>
      </c>
      <c r="G1961" s="9">
        <f>IFERROR(__xludf.DUMMYFUNCTION("""COMPUTED_VALUE"""),6.0)</f>
        <v>6</v>
      </c>
      <c r="H1961" s="10">
        <f>IFERROR(__xludf.DUMMYFUNCTION("""COMPUTED_VALUE"""),19.0)</f>
        <v>19</v>
      </c>
      <c r="I1961" s="11">
        <f>IFERROR(__xludf.DUMMYFUNCTION("""COMPUTED_VALUE"""),382.0)</f>
        <v>382</v>
      </c>
      <c r="J1961" s="9" t="str">
        <f>IFERROR(__xludf.DUMMYFUNCTION("""COMPUTED_VALUE"""),"UK")</f>
        <v>UK</v>
      </c>
      <c r="K1961" s="8"/>
      <c r="L1961" s="12"/>
      <c r="M1961" s="13"/>
      <c r="N1961" s="13" t="str">
        <f>IFERROR(__xludf.DUMMYFUNCTION("IF(ISBLANK(M1961),"""",M1961*GOOGLEFINANCE(""USDGBP""))"),"")</f>
        <v/>
      </c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  <c r="FG1961" s="8"/>
      <c r="FH1961" s="8"/>
      <c r="FI1961" s="8"/>
      <c r="FJ1961" s="8"/>
      <c r="FK1961" s="8"/>
      <c r="FL1961" s="8"/>
      <c r="FM1961" s="8"/>
      <c r="FN1961" s="8"/>
      <c r="FO1961" s="8"/>
      <c r="FP1961" s="8"/>
      <c r="FQ1961" s="8"/>
      <c r="FR1961" s="8"/>
      <c r="FS1961" s="8"/>
      <c r="FT1961" s="8"/>
      <c r="FU1961" s="8"/>
      <c r="FV1961" s="8"/>
      <c r="FW1961" s="8"/>
      <c r="FX1961" s="8"/>
      <c r="FY1961" s="8"/>
      <c r="FZ1961" s="8"/>
      <c r="GA1961" s="8"/>
      <c r="GB1961" s="8"/>
      <c r="GC1961" s="8"/>
      <c r="GD1961" s="8"/>
      <c r="GE1961" s="8"/>
      <c r="GF1961" s="8"/>
      <c r="GG1961" s="8"/>
      <c r="GH1961" s="8"/>
      <c r="GI1961" s="8"/>
      <c r="GJ1961" s="8"/>
      <c r="GK1961" s="8"/>
      <c r="GL1961" s="8"/>
      <c r="GM1961" s="8"/>
      <c r="GN1961" s="8"/>
      <c r="GO1961" s="8"/>
      <c r="GP1961" s="8"/>
      <c r="GQ1961" s="8"/>
      <c r="GR1961" s="8"/>
      <c r="GS1961" s="8"/>
      <c r="GT1961" s="8"/>
      <c r="GU1961" s="8"/>
      <c r="GV1961" s="8"/>
      <c r="GW1961" s="8"/>
      <c r="GX1961" s="8"/>
    </row>
    <row r="1962">
      <c r="A1962" s="8" t="str">
        <f>IFERROR(__xludf.DUMMYFUNCTION("""COMPUTED_VALUE"""),"110061320060600750")</f>
        <v>110061320060600750</v>
      </c>
      <c r="B1962" s="9" t="str">
        <f>IFERROR(__xludf.DUMMYFUNCTION("""COMPUTED_VALUE"""),"Italy")</f>
        <v>Italy</v>
      </c>
      <c r="C1962" s="9" t="str">
        <f>IFERROR(__xludf.DUMMYFUNCTION("""COMPUTED_VALUE"""),"piedmont")</f>
        <v>piedmont</v>
      </c>
      <c r="D1962" s="9" t="str">
        <f>IFERROR(__xludf.DUMMYFUNCTION("""COMPUTED_VALUE"""),"La Spinetta, Barbaresco, Valeirano Vursu")</f>
        <v>La Spinetta, Barbaresco, Valeirano Vursu</v>
      </c>
      <c r="E1962" s="9">
        <f>IFERROR(__xludf.DUMMYFUNCTION("""COMPUTED_VALUE"""),2006.0)</f>
        <v>2006</v>
      </c>
      <c r="F1962" s="9">
        <f>IFERROR(__xludf.DUMMYFUNCTION("""COMPUTED_VALUE"""),750.0)</f>
        <v>750</v>
      </c>
      <c r="G1962" s="9">
        <f>IFERROR(__xludf.DUMMYFUNCTION("""COMPUTED_VALUE"""),6.0)</f>
        <v>6</v>
      </c>
      <c r="H1962" s="10">
        <f>IFERROR(__xludf.DUMMYFUNCTION("""COMPUTED_VALUE"""),2.0)</f>
        <v>2</v>
      </c>
      <c r="I1962" s="11">
        <f>IFERROR(__xludf.DUMMYFUNCTION("""COMPUTED_VALUE"""),646.0)</f>
        <v>646</v>
      </c>
      <c r="J1962" s="9" t="str">
        <f>IFERROR(__xludf.DUMMYFUNCTION("""COMPUTED_VALUE"""),"UK")</f>
        <v>UK</v>
      </c>
      <c r="K1962" s="8"/>
      <c r="L1962" s="12"/>
      <c r="M1962" s="13"/>
      <c r="N1962" s="13" t="str">
        <f>IFERROR(__xludf.DUMMYFUNCTION("IF(ISBLANK(M1962),"""",M1962*GOOGLEFINANCE(""USDGBP""))"),"")</f>
        <v/>
      </c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  <c r="FG1962" s="8"/>
      <c r="FH1962" s="8"/>
      <c r="FI1962" s="8"/>
      <c r="FJ1962" s="8"/>
      <c r="FK1962" s="8"/>
      <c r="FL1962" s="8"/>
      <c r="FM1962" s="8"/>
      <c r="FN1962" s="8"/>
      <c r="FO1962" s="8"/>
      <c r="FP1962" s="8"/>
      <c r="FQ1962" s="8"/>
      <c r="FR1962" s="8"/>
      <c r="FS1962" s="8"/>
      <c r="FT1962" s="8"/>
      <c r="FU1962" s="8"/>
      <c r="FV1962" s="8"/>
      <c r="FW1962" s="8"/>
      <c r="FX1962" s="8"/>
      <c r="FY1962" s="8"/>
      <c r="FZ1962" s="8"/>
      <c r="GA1962" s="8"/>
      <c r="GB1962" s="8"/>
      <c r="GC1962" s="8"/>
      <c r="GD1962" s="8"/>
      <c r="GE1962" s="8"/>
      <c r="GF1962" s="8"/>
      <c r="GG1962" s="8"/>
      <c r="GH1962" s="8"/>
      <c r="GI1962" s="8"/>
      <c r="GJ1962" s="8"/>
      <c r="GK1962" s="8"/>
      <c r="GL1962" s="8"/>
      <c r="GM1962" s="8"/>
      <c r="GN1962" s="8"/>
      <c r="GO1962" s="8"/>
      <c r="GP1962" s="8"/>
      <c r="GQ1962" s="8"/>
      <c r="GR1962" s="8"/>
      <c r="GS1962" s="8"/>
      <c r="GT1962" s="8"/>
      <c r="GU1962" s="8"/>
      <c r="GV1962" s="8"/>
      <c r="GW1962" s="8"/>
      <c r="GX1962" s="8"/>
    </row>
    <row r="1963">
      <c r="A1963" s="8" t="str">
        <f>IFERROR(__xludf.DUMMYFUNCTION("""COMPUTED_VALUE"""),"110061320070600750")</f>
        <v>110061320070600750</v>
      </c>
      <c r="B1963" s="9" t="str">
        <f>IFERROR(__xludf.DUMMYFUNCTION("""COMPUTED_VALUE"""),"Italy")</f>
        <v>Italy</v>
      </c>
      <c r="C1963" s="9" t="str">
        <f>IFERROR(__xludf.DUMMYFUNCTION("""COMPUTED_VALUE"""),"piedmont")</f>
        <v>piedmont</v>
      </c>
      <c r="D1963" s="9" t="str">
        <f>IFERROR(__xludf.DUMMYFUNCTION("""COMPUTED_VALUE"""),"La Spinetta, Barbaresco, Valeirano Vursu")</f>
        <v>La Spinetta, Barbaresco, Valeirano Vursu</v>
      </c>
      <c r="E1963" s="9">
        <f>IFERROR(__xludf.DUMMYFUNCTION("""COMPUTED_VALUE"""),2007.0)</f>
        <v>2007</v>
      </c>
      <c r="F1963" s="9">
        <f>IFERROR(__xludf.DUMMYFUNCTION("""COMPUTED_VALUE"""),750.0)</f>
        <v>750</v>
      </c>
      <c r="G1963" s="9">
        <f>IFERROR(__xludf.DUMMYFUNCTION("""COMPUTED_VALUE"""),6.0)</f>
        <v>6</v>
      </c>
      <c r="H1963" s="10">
        <f>IFERROR(__xludf.DUMMYFUNCTION("""COMPUTED_VALUE"""),1.0)</f>
        <v>1</v>
      </c>
      <c r="I1963" s="11">
        <f>IFERROR(__xludf.DUMMYFUNCTION("""COMPUTED_VALUE"""),716.0)</f>
        <v>716</v>
      </c>
      <c r="J1963" s="9" t="str">
        <f>IFERROR(__xludf.DUMMYFUNCTION("""COMPUTED_VALUE"""),"UK")</f>
        <v>UK</v>
      </c>
      <c r="K1963" s="8"/>
      <c r="L1963" s="12"/>
      <c r="M1963" s="13"/>
      <c r="N1963" s="13" t="str">
        <f>IFERROR(__xludf.DUMMYFUNCTION("IF(ISBLANK(M1963),"""",M1963*GOOGLEFINANCE(""USDGBP""))"),"")</f>
        <v/>
      </c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  <c r="FG1963" s="8"/>
      <c r="FH1963" s="8"/>
      <c r="FI1963" s="8"/>
      <c r="FJ1963" s="8"/>
      <c r="FK1963" s="8"/>
      <c r="FL1963" s="8"/>
      <c r="FM1963" s="8"/>
      <c r="FN1963" s="8"/>
      <c r="FO1963" s="8"/>
      <c r="FP1963" s="8"/>
      <c r="FQ1963" s="8"/>
      <c r="FR1963" s="8"/>
      <c r="FS1963" s="8"/>
      <c r="FT1963" s="8"/>
      <c r="FU1963" s="8"/>
      <c r="FV1963" s="8"/>
      <c r="FW1963" s="8"/>
      <c r="FX1963" s="8"/>
      <c r="FY1963" s="8"/>
      <c r="FZ1963" s="8"/>
      <c r="GA1963" s="8"/>
      <c r="GB1963" s="8"/>
      <c r="GC1963" s="8"/>
      <c r="GD1963" s="8"/>
      <c r="GE1963" s="8"/>
      <c r="GF1963" s="8"/>
      <c r="GG1963" s="8"/>
      <c r="GH1963" s="8"/>
      <c r="GI1963" s="8"/>
      <c r="GJ1963" s="8"/>
      <c r="GK1963" s="8"/>
      <c r="GL1963" s="8"/>
      <c r="GM1963" s="8"/>
      <c r="GN1963" s="8"/>
      <c r="GO1963" s="8"/>
      <c r="GP1963" s="8"/>
      <c r="GQ1963" s="8"/>
      <c r="GR1963" s="8"/>
      <c r="GS1963" s="8"/>
      <c r="GT1963" s="8"/>
      <c r="GU1963" s="8"/>
      <c r="GV1963" s="8"/>
      <c r="GW1963" s="8"/>
      <c r="GX1963" s="8"/>
    </row>
    <row r="1964">
      <c r="A1964" s="8" t="str">
        <f>IFERROR(__xludf.DUMMYFUNCTION("""COMPUTED_VALUE"""),"110061320090600750")</f>
        <v>110061320090600750</v>
      </c>
      <c r="B1964" s="9" t="str">
        <f>IFERROR(__xludf.DUMMYFUNCTION("""COMPUTED_VALUE"""),"Italy")</f>
        <v>Italy</v>
      </c>
      <c r="C1964" s="9" t="str">
        <f>IFERROR(__xludf.DUMMYFUNCTION("""COMPUTED_VALUE"""),"piedmont")</f>
        <v>piedmont</v>
      </c>
      <c r="D1964" s="9" t="str">
        <f>IFERROR(__xludf.DUMMYFUNCTION("""COMPUTED_VALUE"""),"La Spinetta, Barbaresco, Valeirano Vursu")</f>
        <v>La Spinetta, Barbaresco, Valeirano Vursu</v>
      </c>
      <c r="E1964" s="9">
        <f>IFERROR(__xludf.DUMMYFUNCTION("""COMPUTED_VALUE"""),2009.0)</f>
        <v>2009</v>
      </c>
      <c r="F1964" s="9">
        <f>IFERROR(__xludf.DUMMYFUNCTION("""COMPUTED_VALUE"""),750.0)</f>
        <v>750</v>
      </c>
      <c r="G1964" s="9">
        <f>IFERROR(__xludf.DUMMYFUNCTION("""COMPUTED_VALUE"""),6.0)</f>
        <v>6</v>
      </c>
      <c r="H1964" s="10">
        <f>IFERROR(__xludf.DUMMYFUNCTION("""COMPUTED_VALUE"""),1.0)</f>
        <v>1</v>
      </c>
      <c r="I1964" s="11">
        <f>IFERROR(__xludf.DUMMYFUNCTION("""COMPUTED_VALUE"""),632.0)</f>
        <v>632</v>
      </c>
      <c r="J1964" s="9" t="str">
        <f>IFERROR(__xludf.DUMMYFUNCTION("""COMPUTED_VALUE"""),"UK")</f>
        <v>UK</v>
      </c>
      <c r="K1964" s="8"/>
      <c r="L1964" s="12"/>
      <c r="M1964" s="13"/>
      <c r="N1964" s="13" t="str">
        <f>IFERROR(__xludf.DUMMYFUNCTION("IF(ISBLANK(M1964),"""",M1964*GOOGLEFINANCE(""USDGBP""))"),"")</f>
        <v/>
      </c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  <c r="FG1964" s="8"/>
      <c r="FH1964" s="8"/>
      <c r="FI1964" s="8"/>
      <c r="FJ1964" s="8"/>
      <c r="FK1964" s="8"/>
      <c r="FL1964" s="8"/>
      <c r="FM1964" s="8"/>
      <c r="FN1964" s="8"/>
      <c r="FO1964" s="8"/>
      <c r="FP1964" s="8"/>
      <c r="FQ1964" s="8"/>
      <c r="FR1964" s="8"/>
      <c r="FS1964" s="8"/>
      <c r="FT1964" s="8"/>
      <c r="FU1964" s="8"/>
      <c r="FV1964" s="8"/>
      <c r="FW1964" s="8"/>
      <c r="FX1964" s="8"/>
      <c r="FY1964" s="8"/>
      <c r="FZ1964" s="8"/>
      <c r="GA1964" s="8"/>
      <c r="GB1964" s="8"/>
      <c r="GC1964" s="8"/>
      <c r="GD1964" s="8"/>
      <c r="GE1964" s="8"/>
      <c r="GF1964" s="8"/>
      <c r="GG1964" s="8"/>
      <c r="GH1964" s="8"/>
      <c r="GI1964" s="8"/>
      <c r="GJ1964" s="8"/>
      <c r="GK1964" s="8"/>
      <c r="GL1964" s="8"/>
      <c r="GM1964" s="8"/>
      <c r="GN1964" s="8"/>
      <c r="GO1964" s="8"/>
      <c r="GP1964" s="8"/>
      <c r="GQ1964" s="8"/>
      <c r="GR1964" s="8"/>
      <c r="GS1964" s="8"/>
      <c r="GT1964" s="8"/>
      <c r="GU1964" s="8"/>
      <c r="GV1964" s="8"/>
      <c r="GW1964" s="8"/>
      <c r="GX1964" s="8"/>
    </row>
    <row r="1965">
      <c r="A1965" s="8" t="str">
        <f>IFERROR(__xludf.DUMMYFUNCTION("""COMPUTED_VALUE"""),"110061320100600750")</f>
        <v>110061320100600750</v>
      </c>
      <c r="B1965" s="9" t="str">
        <f>IFERROR(__xludf.DUMMYFUNCTION("""COMPUTED_VALUE"""),"Italy")</f>
        <v>Italy</v>
      </c>
      <c r="C1965" s="9" t="str">
        <f>IFERROR(__xludf.DUMMYFUNCTION("""COMPUTED_VALUE"""),"piedmont")</f>
        <v>piedmont</v>
      </c>
      <c r="D1965" s="9" t="str">
        <f>IFERROR(__xludf.DUMMYFUNCTION("""COMPUTED_VALUE"""),"La Spinetta, Barbaresco, Valeirano Vursu")</f>
        <v>La Spinetta, Barbaresco, Valeirano Vursu</v>
      </c>
      <c r="E1965" s="9">
        <f>IFERROR(__xludf.DUMMYFUNCTION("""COMPUTED_VALUE"""),2010.0)</f>
        <v>2010</v>
      </c>
      <c r="F1965" s="9">
        <f>IFERROR(__xludf.DUMMYFUNCTION("""COMPUTED_VALUE"""),750.0)</f>
        <v>750</v>
      </c>
      <c r="G1965" s="9">
        <f>IFERROR(__xludf.DUMMYFUNCTION("""COMPUTED_VALUE"""),6.0)</f>
        <v>6</v>
      </c>
      <c r="H1965" s="10">
        <f>IFERROR(__xludf.DUMMYFUNCTION("""COMPUTED_VALUE"""),4.0)</f>
        <v>4</v>
      </c>
      <c r="I1965" s="11">
        <f>IFERROR(__xludf.DUMMYFUNCTION("""COMPUTED_VALUE"""),1063.0)</f>
        <v>1063</v>
      </c>
      <c r="J1965" s="9" t="str">
        <f>IFERROR(__xludf.DUMMYFUNCTION("""COMPUTED_VALUE"""),"UK")</f>
        <v>UK</v>
      </c>
      <c r="K1965" s="8"/>
      <c r="L1965" s="12"/>
      <c r="M1965" s="13"/>
      <c r="N1965" s="13" t="str">
        <f>IFERROR(__xludf.DUMMYFUNCTION("IF(ISBLANK(M1965),"""",M1965*GOOGLEFINANCE(""USDGBP""))"),"")</f>
        <v/>
      </c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  <c r="FG1965" s="8"/>
      <c r="FH1965" s="8"/>
      <c r="FI1965" s="8"/>
      <c r="FJ1965" s="8"/>
      <c r="FK1965" s="8"/>
      <c r="FL1965" s="8"/>
      <c r="FM1965" s="8"/>
      <c r="FN1965" s="8"/>
      <c r="FO1965" s="8"/>
      <c r="FP1965" s="8"/>
      <c r="FQ1965" s="8"/>
      <c r="FR1965" s="8"/>
      <c r="FS1965" s="8"/>
      <c r="FT1965" s="8"/>
      <c r="FU1965" s="8"/>
      <c r="FV1965" s="8"/>
      <c r="FW1965" s="8"/>
      <c r="FX1965" s="8"/>
      <c r="FY1965" s="8"/>
      <c r="FZ1965" s="8"/>
      <c r="GA1965" s="8"/>
      <c r="GB1965" s="8"/>
      <c r="GC1965" s="8"/>
      <c r="GD1965" s="8"/>
      <c r="GE1965" s="8"/>
      <c r="GF1965" s="8"/>
      <c r="GG1965" s="8"/>
      <c r="GH1965" s="8"/>
      <c r="GI1965" s="8"/>
      <c r="GJ1965" s="8"/>
      <c r="GK1965" s="8"/>
      <c r="GL1965" s="8"/>
      <c r="GM1965" s="8"/>
      <c r="GN1965" s="8"/>
      <c r="GO1965" s="8"/>
      <c r="GP1965" s="8"/>
      <c r="GQ1965" s="8"/>
      <c r="GR1965" s="8"/>
      <c r="GS1965" s="8"/>
      <c r="GT1965" s="8"/>
      <c r="GU1965" s="8"/>
      <c r="GV1965" s="8"/>
      <c r="GW1965" s="8"/>
      <c r="GX1965" s="8"/>
    </row>
    <row r="1966">
      <c r="A1966" s="8" t="str">
        <f>IFERROR(__xludf.DUMMYFUNCTION("""COMPUTED_VALUE"""),"110061320140600750")</f>
        <v>110061320140600750</v>
      </c>
      <c r="B1966" s="9" t="str">
        <f>IFERROR(__xludf.DUMMYFUNCTION("""COMPUTED_VALUE"""),"Italy")</f>
        <v>Italy</v>
      </c>
      <c r="C1966" s="9" t="str">
        <f>IFERROR(__xludf.DUMMYFUNCTION("""COMPUTED_VALUE"""),"piedmont")</f>
        <v>piedmont</v>
      </c>
      <c r="D1966" s="9" t="str">
        <f>IFERROR(__xludf.DUMMYFUNCTION("""COMPUTED_VALUE"""),"La Spinetta, Barbaresco, Valeirano Vursu")</f>
        <v>La Spinetta, Barbaresco, Valeirano Vursu</v>
      </c>
      <c r="E1966" s="9">
        <f>IFERROR(__xludf.DUMMYFUNCTION("""COMPUTED_VALUE"""),2014.0)</f>
        <v>2014</v>
      </c>
      <c r="F1966" s="9">
        <f>IFERROR(__xludf.DUMMYFUNCTION("""COMPUTED_VALUE"""),750.0)</f>
        <v>750</v>
      </c>
      <c r="G1966" s="9">
        <f>IFERROR(__xludf.DUMMYFUNCTION("""COMPUTED_VALUE"""),6.0)</f>
        <v>6</v>
      </c>
      <c r="H1966" s="10">
        <f>IFERROR(__xludf.DUMMYFUNCTION("""COMPUTED_VALUE"""),5.0)</f>
        <v>5</v>
      </c>
      <c r="I1966" s="11">
        <f>IFERROR(__xludf.DUMMYFUNCTION("""COMPUTED_VALUE"""),451.0)</f>
        <v>451</v>
      </c>
      <c r="J1966" s="9" t="str">
        <f>IFERROR(__xludf.DUMMYFUNCTION("""COMPUTED_VALUE"""),"UK")</f>
        <v>UK</v>
      </c>
      <c r="K1966" s="8"/>
      <c r="L1966" s="12"/>
      <c r="M1966" s="13"/>
      <c r="N1966" s="13" t="str">
        <f>IFERROR(__xludf.DUMMYFUNCTION("IF(ISBLANK(M1966),"""",M1966*GOOGLEFINANCE(""USDGBP""))"),"")</f>
        <v/>
      </c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  <c r="FG1966" s="8"/>
      <c r="FH1966" s="8"/>
      <c r="FI1966" s="8"/>
      <c r="FJ1966" s="8"/>
      <c r="FK1966" s="8"/>
      <c r="FL1966" s="8"/>
      <c r="FM1966" s="8"/>
      <c r="FN1966" s="8"/>
      <c r="FO1966" s="8"/>
      <c r="FP1966" s="8"/>
      <c r="FQ1966" s="8"/>
      <c r="FR1966" s="8"/>
      <c r="FS1966" s="8"/>
      <c r="FT1966" s="8"/>
      <c r="FU1966" s="8"/>
      <c r="FV1966" s="8"/>
      <c r="FW1966" s="8"/>
      <c r="FX1966" s="8"/>
      <c r="FY1966" s="8"/>
      <c r="FZ1966" s="8"/>
      <c r="GA1966" s="8"/>
      <c r="GB1966" s="8"/>
      <c r="GC1966" s="8"/>
      <c r="GD1966" s="8"/>
      <c r="GE1966" s="8"/>
      <c r="GF1966" s="8"/>
      <c r="GG1966" s="8"/>
      <c r="GH1966" s="8"/>
      <c r="GI1966" s="8"/>
      <c r="GJ1966" s="8"/>
      <c r="GK1966" s="8"/>
      <c r="GL1966" s="8"/>
      <c r="GM1966" s="8"/>
      <c r="GN1966" s="8"/>
      <c r="GO1966" s="8"/>
      <c r="GP1966" s="8"/>
      <c r="GQ1966" s="8"/>
      <c r="GR1966" s="8"/>
      <c r="GS1966" s="8"/>
      <c r="GT1966" s="8"/>
      <c r="GU1966" s="8"/>
      <c r="GV1966" s="8"/>
      <c r="GW1966" s="8"/>
      <c r="GX1966" s="8"/>
    </row>
    <row r="1967">
      <c r="A1967" s="8" t="str">
        <f>IFERROR(__xludf.DUMMYFUNCTION("""COMPUTED_VALUE"""),"110061320150600750")</f>
        <v>110061320150600750</v>
      </c>
      <c r="B1967" s="9" t="str">
        <f>IFERROR(__xludf.DUMMYFUNCTION("""COMPUTED_VALUE"""),"Italy")</f>
        <v>Italy</v>
      </c>
      <c r="C1967" s="9" t="str">
        <f>IFERROR(__xludf.DUMMYFUNCTION("""COMPUTED_VALUE"""),"piedmont")</f>
        <v>piedmont</v>
      </c>
      <c r="D1967" s="9" t="str">
        <f>IFERROR(__xludf.DUMMYFUNCTION("""COMPUTED_VALUE"""),"La Spinetta, Barbaresco, Valeirano Vursu")</f>
        <v>La Spinetta, Barbaresco, Valeirano Vursu</v>
      </c>
      <c r="E1967" s="9">
        <f>IFERROR(__xludf.DUMMYFUNCTION("""COMPUTED_VALUE"""),2015.0)</f>
        <v>2015</v>
      </c>
      <c r="F1967" s="9">
        <f>IFERROR(__xludf.DUMMYFUNCTION("""COMPUTED_VALUE"""),750.0)</f>
        <v>750</v>
      </c>
      <c r="G1967" s="9">
        <f>IFERROR(__xludf.DUMMYFUNCTION("""COMPUTED_VALUE"""),6.0)</f>
        <v>6</v>
      </c>
      <c r="H1967" s="10">
        <f>IFERROR(__xludf.DUMMYFUNCTION("""COMPUTED_VALUE"""),1.0)</f>
        <v>1</v>
      </c>
      <c r="I1967" s="11">
        <f>IFERROR(__xludf.DUMMYFUNCTION("""COMPUTED_VALUE"""),580.0)</f>
        <v>580</v>
      </c>
      <c r="J1967" s="9" t="str">
        <f>IFERROR(__xludf.DUMMYFUNCTION("""COMPUTED_VALUE"""),"UK")</f>
        <v>UK</v>
      </c>
      <c r="K1967" s="8"/>
      <c r="L1967" s="12"/>
      <c r="M1967" s="13"/>
      <c r="N1967" s="13" t="str">
        <f>IFERROR(__xludf.DUMMYFUNCTION("IF(ISBLANK(M1967),"""",M1967*GOOGLEFINANCE(""USDGBP""))"),"")</f>
        <v/>
      </c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  <c r="FG1967" s="8"/>
      <c r="FH1967" s="8"/>
      <c r="FI1967" s="8"/>
      <c r="FJ1967" s="8"/>
      <c r="FK1967" s="8"/>
      <c r="FL1967" s="8"/>
      <c r="FM1967" s="8"/>
      <c r="FN1967" s="8"/>
      <c r="FO1967" s="8"/>
      <c r="FP1967" s="8"/>
      <c r="FQ1967" s="8"/>
      <c r="FR1967" s="8"/>
      <c r="FS1967" s="8"/>
      <c r="FT1967" s="8"/>
      <c r="FU1967" s="8"/>
      <c r="FV1967" s="8"/>
      <c r="FW1967" s="8"/>
      <c r="FX1967" s="8"/>
      <c r="FY1967" s="8"/>
      <c r="FZ1967" s="8"/>
      <c r="GA1967" s="8"/>
      <c r="GB1967" s="8"/>
      <c r="GC1967" s="8"/>
      <c r="GD1967" s="8"/>
      <c r="GE1967" s="8"/>
      <c r="GF1967" s="8"/>
      <c r="GG1967" s="8"/>
      <c r="GH1967" s="8"/>
      <c r="GI1967" s="8"/>
      <c r="GJ1967" s="8"/>
      <c r="GK1967" s="8"/>
      <c r="GL1967" s="8"/>
      <c r="GM1967" s="8"/>
      <c r="GN1967" s="8"/>
      <c r="GO1967" s="8"/>
      <c r="GP1967" s="8"/>
      <c r="GQ1967" s="8"/>
      <c r="GR1967" s="8"/>
      <c r="GS1967" s="8"/>
      <c r="GT1967" s="8"/>
      <c r="GU1967" s="8"/>
      <c r="GV1967" s="8"/>
      <c r="GW1967" s="8"/>
      <c r="GX1967" s="8"/>
    </row>
    <row r="1968">
      <c r="A1968" s="8" t="str">
        <f>IFERROR(__xludf.DUMMYFUNCTION("""COMPUTED_VALUE"""),"110061320151200750")</f>
        <v>110061320151200750</v>
      </c>
      <c r="B1968" s="9" t="str">
        <f>IFERROR(__xludf.DUMMYFUNCTION("""COMPUTED_VALUE"""),"Italy")</f>
        <v>Italy</v>
      </c>
      <c r="C1968" s="9" t="str">
        <f>IFERROR(__xludf.DUMMYFUNCTION("""COMPUTED_VALUE"""),"piedmont")</f>
        <v>piedmont</v>
      </c>
      <c r="D1968" s="9" t="str">
        <f>IFERROR(__xludf.DUMMYFUNCTION("""COMPUTED_VALUE"""),"La Spinetta, Barbaresco, Valeirano Vursu")</f>
        <v>La Spinetta, Barbaresco, Valeirano Vursu</v>
      </c>
      <c r="E1968" s="9">
        <f>IFERROR(__xludf.DUMMYFUNCTION("""COMPUTED_VALUE"""),2015.0)</f>
        <v>2015</v>
      </c>
      <c r="F1968" s="9">
        <f>IFERROR(__xludf.DUMMYFUNCTION("""COMPUTED_VALUE"""),750.0)</f>
        <v>750</v>
      </c>
      <c r="G1968" s="9">
        <f>IFERROR(__xludf.DUMMYFUNCTION("""COMPUTED_VALUE"""),12.0)</f>
        <v>12</v>
      </c>
      <c r="H1968" s="10">
        <f>IFERROR(__xludf.DUMMYFUNCTION("""COMPUTED_VALUE"""),1.0)</f>
        <v>1</v>
      </c>
      <c r="I1968" s="11">
        <f>IFERROR(__xludf.DUMMYFUNCTION("""COMPUTED_VALUE"""),1160.0)</f>
        <v>1160</v>
      </c>
      <c r="J1968" s="9" t="str">
        <f>IFERROR(__xludf.DUMMYFUNCTION("""COMPUTED_VALUE"""),"UK")</f>
        <v>UK</v>
      </c>
      <c r="K1968" s="8"/>
      <c r="L1968" s="12"/>
      <c r="M1968" s="13"/>
      <c r="N1968" s="13" t="str">
        <f>IFERROR(__xludf.DUMMYFUNCTION("IF(ISBLANK(M1968),"""",M1968*GOOGLEFINANCE(""USDGBP""))"),"")</f>
        <v/>
      </c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  <c r="FG1968" s="8"/>
      <c r="FH1968" s="8"/>
      <c r="FI1968" s="8"/>
      <c r="FJ1968" s="8"/>
      <c r="FK1968" s="8"/>
      <c r="FL1968" s="8"/>
      <c r="FM1968" s="8"/>
      <c r="FN1968" s="8"/>
      <c r="FO1968" s="8"/>
      <c r="FP1968" s="8"/>
      <c r="FQ1968" s="8"/>
      <c r="FR1968" s="8"/>
      <c r="FS1968" s="8"/>
      <c r="FT1968" s="8"/>
      <c r="FU1968" s="8"/>
      <c r="FV1968" s="8"/>
      <c r="FW1968" s="8"/>
      <c r="FX1968" s="8"/>
      <c r="FY1968" s="8"/>
      <c r="FZ1968" s="8"/>
      <c r="GA1968" s="8"/>
      <c r="GB1968" s="8"/>
      <c r="GC1968" s="8"/>
      <c r="GD1968" s="8"/>
      <c r="GE1968" s="8"/>
      <c r="GF1968" s="8"/>
      <c r="GG1968" s="8"/>
      <c r="GH1968" s="8"/>
      <c r="GI1968" s="8"/>
      <c r="GJ1968" s="8"/>
      <c r="GK1968" s="8"/>
      <c r="GL1968" s="8"/>
      <c r="GM1968" s="8"/>
      <c r="GN1968" s="8"/>
      <c r="GO1968" s="8"/>
      <c r="GP1968" s="8"/>
      <c r="GQ1968" s="8"/>
      <c r="GR1968" s="8"/>
      <c r="GS1968" s="8"/>
      <c r="GT1968" s="8"/>
      <c r="GU1968" s="8"/>
      <c r="GV1968" s="8"/>
      <c r="GW1968" s="8"/>
      <c r="GX1968" s="8"/>
    </row>
    <row r="1969">
      <c r="A1969" s="8" t="str">
        <f>IFERROR(__xludf.DUMMYFUNCTION("""COMPUTED_VALUE"""),"110061320161200750")</f>
        <v>110061320161200750</v>
      </c>
      <c r="B1969" s="9" t="str">
        <f>IFERROR(__xludf.DUMMYFUNCTION("""COMPUTED_VALUE"""),"Italy")</f>
        <v>Italy</v>
      </c>
      <c r="C1969" s="9" t="str">
        <f>IFERROR(__xludf.DUMMYFUNCTION("""COMPUTED_VALUE"""),"piedmont")</f>
        <v>piedmont</v>
      </c>
      <c r="D1969" s="9" t="str">
        <f>IFERROR(__xludf.DUMMYFUNCTION("""COMPUTED_VALUE"""),"La Spinetta, Barbaresco, Valeirano Vursu")</f>
        <v>La Spinetta, Barbaresco, Valeirano Vursu</v>
      </c>
      <c r="E1969" s="9">
        <f>IFERROR(__xludf.DUMMYFUNCTION("""COMPUTED_VALUE"""),2016.0)</f>
        <v>2016</v>
      </c>
      <c r="F1969" s="9">
        <f>IFERROR(__xludf.DUMMYFUNCTION("""COMPUTED_VALUE"""),750.0)</f>
        <v>750</v>
      </c>
      <c r="G1969" s="9">
        <f>IFERROR(__xludf.DUMMYFUNCTION("""COMPUTED_VALUE"""),12.0)</f>
        <v>12</v>
      </c>
      <c r="H1969" s="10">
        <f>IFERROR(__xludf.DUMMYFUNCTION("""COMPUTED_VALUE"""),1.0)</f>
        <v>1</v>
      </c>
      <c r="I1969" s="11">
        <f>IFERROR(__xludf.DUMMYFUNCTION("""COMPUTED_VALUE"""),1088.0)</f>
        <v>1088</v>
      </c>
      <c r="J1969" s="9" t="str">
        <f>IFERROR(__xludf.DUMMYFUNCTION("""COMPUTED_VALUE"""),"UK")</f>
        <v>UK</v>
      </c>
      <c r="K1969" s="8"/>
      <c r="L1969" s="12"/>
      <c r="M1969" s="13"/>
      <c r="N1969" s="13" t="str">
        <f>IFERROR(__xludf.DUMMYFUNCTION("IF(ISBLANK(M1969),"""",M1969*GOOGLEFINANCE(""USDGBP""))"),"")</f>
        <v/>
      </c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  <c r="FG1969" s="8"/>
      <c r="FH1969" s="8"/>
      <c r="FI1969" s="8"/>
      <c r="FJ1969" s="8"/>
      <c r="FK1969" s="8"/>
      <c r="FL1969" s="8"/>
      <c r="FM1969" s="8"/>
      <c r="FN1969" s="8"/>
      <c r="FO1969" s="8"/>
      <c r="FP1969" s="8"/>
      <c r="FQ1969" s="8"/>
      <c r="FR1969" s="8"/>
      <c r="FS1969" s="8"/>
      <c r="FT1969" s="8"/>
      <c r="FU1969" s="8"/>
      <c r="FV1969" s="8"/>
      <c r="FW1969" s="8"/>
      <c r="FX1969" s="8"/>
      <c r="FY1969" s="8"/>
      <c r="FZ1969" s="8"/>
      <c r="GA1969" s="8"/>
      <c r="GB1969" s="8"/>
      <c r="GC1969" s="8"/>
      <c r="GD1969" s="8"/>
      <c r="GE1969" s="8"/>
      <c r="GF1969" s="8"/>
      <c r="GG1969" s="8"/>
      <c r="GH1969" s="8"/>
      <c r="GI1969" s="8"/>
      <c r="GJ1969" s="8"/>
      <c r="GK1969" s="8"/>
      <c r="GL1969" s="8"/>
      <c r="GM1969" s="8"/>
      <c r="GN1969" s="8"/>
      <c r="GO1969" s="8"/>
      <c r="GP1969" s="8"/>
      <c r="GQ1969" s="8"/>
      <c r="GR1969" s="8"/>
      <c r="GS1969" s="8"/>
      <c r="GT1969" s="8"/>
      <c r="GU1969" s="8"/>
      <c r="GV1969" s="8"/>
      <c r="GW1969" s="8"/>
      <c r="GX1969" s="8"/>
    </row>
    <row r="1970">
      <c r="A1970" s="8" t="str">
        <f>IFERROR(__xludf.DUMMYFUNCTION("""COMPUTED_VALUE"""),"110061320170600750")</f>
        <v>110061320170600750</v>
      </c>
      <c r="B1970" s="9" t="str">
        <f>IFERROR(__xludf.DUMMYFUNCTION("""COMPUTED_VALUE"""),"Italy")</f>
        <v>Italy</v>
      </c>
      <c r="C1970" s="9" t="str">
        <f>IFERROR(__xludf.DUMMYFUNCTION("""COMPUTED_VALUE"""),"piedmont")</f>
        <v>piedmont</v>
      </c>
      <c r="D1970" s="9" t="str">
        <f>IFERROR(__xludf.DUMMYFUNCTION("""COMPUTED_VALUE"""),"La Spinetta, Barbaresco, Valeirano Vursu")</f>
        <v>La Spinetta, Barbaresco, Valeirano Vursu</v>
      </c>
      <c r="E1970" s="9">
        <f>IFERROR(__xludf.DUMMYFUNCTION("""COMPUTED_VALUE"""),2017.0)</f>
        <v>2017</v>
      </c>
      <c r="F1970" s="9">
        <f>IFERROR(__xludf.DUMMYFUNCTION("""COMPUTED_VALUE"""),750.0)</f>
        <v>750</v>
      </c>
      <c r="G1970" s="9">
        <f>IFERROR(__xludf.DUMMYFUNCTION("""COMPUTED_VALUE"""),6.0)</f>
        <v>6</v>
      </c>
      <c r="H1970" s="10">
        <f>IFERROR(__xludf.DUMMYFUNCTION("""COMPUTED_VALUE"""),2.0)</f>
        <v>2</v>
      </c>
      <c r="I1970" s="11">
        <f>IFERROR(__xludf.DUMMYFUNCTION("""COMPUTED_VALUE"""),458.0)</f>
        <v>458</v>
      </c>
      <c r="J1970" s="9" t="str">
        <f>IFERROR(__xludf.DUMMYFUNCTION("""COMPUTED_VALUE"""),"UK")</f>
        <v>UK</v>
      </c>
      <c r="K1970" s="8"/>
      <c r="L1970" s="12"/>
      <c r="M1970" s="13"/>
      <c r="N1970" s="13" t="str">
        <f>IFERROR(__xludf.DUMMYFUNCTION("IF(ISBLANK(M1970),"""",M1970*GOOGLEFINANCE(""USDGBP""))"),"")</f>
        <v/>
      </c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  <c r="FG1970" s="8"/>
      <c r="FH1970" s="8"/>
      <c r="FI1970" s="8"/>
      <c r="FJ1970" s="8"/>
      <c r="FK1970" s="8"/>
      <c r="FL1970" s="8"/>
      <c r="FM1970" s="8"/>
      <c r="FN1970" s="8"/>
      <c r="FO1970" s="8"/>
      <c r="FP1970" s="8"/>
      <c r="FQ1970" s="8"/>
      <c r="FR1970" s="8"/>
      <c r="FS1970" s="8"/>
      <c r="FT1970" s="8"/>
      <c r="FU1970" s="8"/>
      <c r="FV1970" s="8"/>
      <c r="FW1970" s="8"/>
      <c r="FX1970" s="8"/>
      <c r="FY1970" s="8"/>
      <c r="FZ1970" s="8"/>
      <c r="GA1970" s="8"/>
      <c r="GB1970" s="8"/>
      <c r="GC1970" s="8"/>
      <c r="GD1970" s="8"/>
      <c r="GE1970" s="8"/>
      <c r="GF1970" s="8"/>
      <c r="GG1970" s="8"/>
      <c r="GH1970" s="8"/>
      <c r="GI1970" s="8"/>
      <c r="GJ1970" s="8"/>
      <c r="GK1970" s="8"/>
      <c r="GL1970" s="8"/>
      <c r="GM1970" s="8"/>
      <c r="GN1970" s="8"/>
      <c r="GO1970" s="8"/>
      <c r="GP1970" s="8"/>
      <c r="GQ1970" s="8"/>
      <c r="GR1970" s="8"/>
      <c r="GS1970" s="8"/>
      <c r="GT1970" s="8"/>
      <c r="GU1970" s="8"/>
      <c r="GV1970" s="8"/>
      <c r="GW1970" s="8"/>
      <c r="GX1970" s="8"/>
    </row>
    <row r="1971">
      <c r="A1971" s="8" t="str">
        <f>IFERROR(__xludf.DUMMYFUNCTION("""COMPUTED_VALUE"""),"110061320180600750")</f>
        <v>110061320180600750</v>
      </c>
      <c r="B1971" s="9" t="str">
        <f>IFERROR(__xludf.DUMMYFUNCTION("""COMPUTED_VALUE"""),"Italy")</f>
        <v>Italy</v>
      </c>
      <c r="C1971" s="9" t="str">
        <f>IFERROR(__xludf.DUMMYFUNCTION("""COMPUTED_VALUE"""),"piedmont")</f>
        <v>piedmont</v>
      </c>
      <c r="D1971" s="9" t="str">
        <f>IFERROR(__xludf.DUMMYFUNCTION("""COMPUTED_VALUE"""),"La Spinetta, Barbaresco, Valeirano Vursu")</f>
        <v>La Spinetta, Barbaresco, Valeirano Vursu</v>
      </c>
      <c r="E1971" s="9">
        <f>IFERROR(__xludf.DUMMYFUNCTION("""COMPUTED_VALUE"""),2018.0)</f>
        <v>2018</v>
      </c>
      <c r="F1971" s="9">
        <f>IFERROR(__xludf.DUMMYFUNCTION("""COMPUTED_VALUE"""),750.0)</f>
        <v>750</v>
      </c>
      <c r="G1971" s="9">
        <f>IFERROR(__xludf.DUMMYFUNCTION("""COMPUTED_VALUE"""),6.0)</f>
        <v>6</v>
      </c>
      <c r="H1971" s="10">
        <f>IFERROR(__xludf.DUMMYFUNCTION("""COMPUTED_VALUE"""),6.0)</f>
        <v>6</v>
      </c>
      <c r="I1971" s="11">
        <f>IFERROR(__xludf.DUMMYFUNCTION("""COMPUTED_VALUE"""),265.0)</f>
        <v>265</v>
      </c>
      <c r="J1971" s="9" t="str">
        <f>IFERROR(__xludf.DUMMYFUNCTION("""COMPUTED_VALUE"""),"UK")</f>
        <v>UK</v>
      </c>
      <c r="K1971" s="8"/>
      <c r="L1971" s="12"/>
      <c r="M1971" s="13"/>
      <c r="N1971" s="13" t="str">
        <f>IFERROR(__xludf.DUMMYFUNCTION("IF(ISBLANK(M1971),"""",M1971*GOOGLEFINANCE(""USDGBP""))"),"")</f>
        <v/>
      </c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  <c r="FG1971" s="8"/>
      <c r="FH1971" s="8"/>
      <c r="FI1971" s="8"/>
      <c r="FJ1971" s="8"/>
      <c r="FK1971" s="8"/>
      <c r="FL1971" s="8"/>
      <c r="FM1971" s="8"/>
      <c r="FN1971" s="8"/>
      <c r="FO1971" s="8"/>
      <c r="FP1971" s="8"/>
      <c r="FQ1971" s="8"/>
      <c r="FR1971" s="8"/>
      <c r="FS1971" s="8"/>
      <c r="FT1971" s="8"/>
      <c r="FU1971" s="8"/>
      <c r="FV1971" s="8"/>
      <c r="FW1971" s="8"/>
      <c r="FX1971" s="8"/>
      <c r="FY1971" s="8"/>
      <c r="FZ1971" s="8"/>
      <c r="GA1971" s="8"/>
      <c r="GB1971" s="8"/>
      <c r="GC1971" s="8"/>
      <c r="GD1971" s="8"/>
      <c r="GE1971" s="8"/>
      <c r="GF1971" s="8"/>
      <c r="GG1971" s="8"/>
      <c r="GH1971" s="8"/>
      <c r="GI1971" s="8"/>
      <c r="GJ1971" s="8"/>
      <c r="GK1971" s="8"/>
      <c r="GL1971" s="8"/>
      <c r="GM1971" s="8"/>
      <c r="GN1971" s="8"/>
      <c r="GO1971" s="8"/>
      <c r="GP1971" s="8"/>
      <c r="GQ1971" s="8"/>
      <c r="GR1971" s="8"/>
      <c r="GS1971" s="8"/>
      <c r="GT1971" s="8"/>
      <c r="GU1971" s="8"/>
      <c r="GV1971" s="8"/>
      <c r="GW1971" s="8"/>
      <c r="GX1971" s="8"/>
    </row>
    <row r="1972">
      <c r="A1972" s="8" t="str">
        <f>IFERROR(__xludf.DUMMYFUNCTION("""COMPUTED_VALUE"""),"110065520030600750")</f>
        <v>110065520030600750</v>
      </c>
      <c r="B1972" s="9" t="str">
        <f>IFERROR(__xludf.DUMMYFUNCTION("""COMPUTED_VALUE"""),"Italy")</f>
        <v>Italy</v>
      </c>
      <c r="C1972" s="9" t="str">
        <f>IFERROR(__xludf.DUMMYFUNCTION("""COMPUTED_VALUE"""),"piedmont")</f>
        <v>piedmont</v>
      </c>
      <c r="D1972" s="9" t="str">
        <f>IFERROR(__xludf.DUMMYFUNCTION("""COMPUTED_VALUE"""),"La Spinetta, Barolo, Campe")</f>
        <v>La Spinetta, Barolo, Campe</v>
      </c>
      <c r="E1972" s="9">
        <f>IFERROR(__xludf.DUMMYFUNCTION("""COMPUTED_VALUE"""),2003.0)</f>
        <v>2003</v>
      </c>
      <c r="F1972" s="9">
        <f>IFERROR(__xludf.DUMMYFUNCTION("""COMPUTED_VALUE"""),750.0)</f>
        <v>750</v>
      </c>
      <c r="G1972" s="9">
        <f>IFERROR(__xludf.DUMMYFUNCTION("""COMPUTED_VALUE"""),6.0)</f>
        <v>6</v>
      </c>
      <c r="H1972" s="10">
        <f>IFERROR(__xludf.DUMMYFUNCTION("""COMPUTED_VALUE"""),2.0)</f>
        <v>2</v>
      </c>
      <c r="I1972" s="11">
        <f>IFERROR(__xludf.DUMMYFUNCTION("""COMPUTED_VALUE"""),742.0)</f>
        <v>742</v>
      </c>
      <c r="J1972" s="9" t="str">
        <f>IFERROR(__xludf.DUMMYFUNCTION("""COMPUTED_VALUE"""),"UK")</f>
        <v>UK</v>
      </c>
      <c r="K1972" s="8"/>
      <c r="L1972" s="12"/>
      <c r="M1972" s="13"/>
      <c r="N1972" s="13" t="str">
        <f>IFERROR(__xludf.DUMMYFUNCTION("IF(ISBLANK(M1972),"""",M1972*GOOGLEFINANCE(""USDGBP""))"),"")</f>
        <v/>
      </c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  <c r="FG1972" s="8"/>
      <c r="FH1972" s="8"/>
      <c r="FI1972" s="8"/>
      <c r="FJ1972" s="8"/>
      <c r="FK1972" s="8"/>
      <c r="FL1972" s="8"/>
      <c r="FM1972" s="8"/>
      <c r="FN1972" s="8"/>
      <c r="FO1972" s="8"/>
      <c r="FP1972" s="8"/>
      <c r="FQ1972" s="8"/>
      <c r="FR1972" s="8"/>
      <c r="FS1972" s="8"/>
      <c r="FT1972" s="8"/>
      <c r="FU1972" s="8"/>
      <c r="FV1972" s="8"/>
      <c r="FW1972" s="8"/>
      <c r="FX1972" s="8"/>
      <c r="FY1972" s="8"/>
      <c r="FZ1972" s="8"/>
      <c r="GA1972" s="8"/>
      <c r="GB1972" s="8"/>
      <c r="GC1972" s="8"/>
      <c r="GD1972" s="8"/>
      <c r="GE1972" s="8"/>
      <c r="GF1972" s="8"/>
      <c r="GG1972" s="8"/>
      <c r="GH1972" s="8"/>
      <c r="GI1972" s="8"/>
      <c r="GJ1972" s="8"/>
      <c r="GK1972" s="8"/>
      <c r="GL1972" s="8"/>
      <c r="GM1972" s="8"/>
      <c r="GN1972" s="8"/>
      <c r="GO1972" s="8"/>
      <c r="GP1972" s="8"/>
      <c r="GQ1972" s="8"/>
      <c r="GR1972" s="8"/>
      <c r="GS1972" s="8"/>
      <c r="GT1972" s="8"/>
      <c r="GU1972" s="8"/>
      <c r="GV1972" s="8"/>
      <c r="GW1972" s="8"/>
      <c r="GX1972" s="8"/>
    </row>
    <row r="1973">
      <c r="A1973" s="8" t="str">
        <f>IFERROR(__xludf.DUMMYFUNCTION("""COMPUTED_VALUE"""),"110065520070600750")</f>
        <v>110065520070600750</v>
      </c>
      <c r="B1973" s="9" t="str">
        <f>IFERROR(__xludf.DUMMYFUNCTION("""COMPUTED_VALUE"""),"Italy")</f>
        <v>Italy</v>
      </c>
      <c r="C1973" s="9" t="str">
        <f>IFERROR(__xludf.DUMMYFUNCTION("""COMPUTED_VALUE"""),"piedmont")</f>
        <v>piedmont</v>
      </c>
      <c r="D1973" s="9" t="str">
        <f>IFERROR(__xludf.DUMMYFUNCTION("""COMPUTED_VALUE"""),"La Spinetta, Barolo, Campe")</f>
        <v>La Spinetta, Barolo, Campe</v>
      </c>
      <c r="E1973" s="9">
        <f>IFERROR(__xludf.DUMMYFUNCTION("""COMPUTED_VALUE"""),2007.0)</f>
        <v>2007</v>
      </c>
      <c r="F1973" s="9">
        <f>IFERROR(__xludf.DUMMYFUNCTION("""COMPUTED_VALUE"""),750.0)</f>
        <v>750</v>
      </c>
      <c r="G1973" s="9">
        <f>IFERROR(__xludf.DUMMYFUNCTION("""COMPUTED_VALUE"""),6.0)</f>
        <v>6</v>
      </c>
      <c r="H1973" s="10">
        <f>IFERROR(__xludf.DUMMYFUNCTION("""COMPUTED_VALUE"""),1.0)</f>
        <v>1</v>
      </c>
      <c r="I1973" s="11">
        <f>IFERROR(__xludf.DUMMYFUNCTION("""COMPUTED_VALUE"""),589.0)</f>
        <v>589</v>
      </c>
      <c r="J1973" s="9" t="str">
        <f>IFERROR(__xludf.DUMMYFUNCTION("""COMPUTED_VALUE"""),"UK")</f>
        <v>UK</v>
      </c>
      <c r="K1973" s="8"/>
      <c r="L1973" s="12"/>
      <c r="M1973" s="13"/>
      <c r="N1973" s="13" t="str">
        <f>IFERROR(__xludf.DUMMYFUNCTION("IF(ISBLANK(M1973),"""",M1973*GOOGLEFINANCE(""USDGBP""))"),"")</f>
        <v/>
      </c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  <c r="FG1973" s="8"/>
      <c r="FH1973" s="8"/>
      <c r="FI1973" s="8"/>
      <c r="FJ1973" s="8"/>
      <c r="FK1973" s="8"/>
      <c r="FL1973" s="8"/>
      <c r="FM1973" s="8"/>
      <c r="FN1973" s="8"/>
      <c r="FO1973" s="8"/>
      <c r="FP1973" s="8"/>
      <c r="FQ1973" s="8"/>
      <c r="FR1973" s="8"/>
      <c r="FS1973" s="8"/>
      <c r="FT1973" s="8"/>
      <c r="FU1973" s="8"/>
      <c r="FV1973" s="8"/>
      <c r="FW1973" s="8"/>
      <c r="FX1973" s="8"/>
      <c r="FY1973" s="8"/>
      <c r="FZ1973" s="8"/>
      <c r="GA1973" s="8"/>
      <c r="GB1973" s="8"/>
      <c r="GC1973" s="8"/>
      <c r="GD1973" s="8"/>
      <c r="GE1973" s="8"/>
      <c r="GF1973" s="8"/>
      <c r="GG1973" s="8"/>
      <c r="GH1973" s="8"/>
      <c r="GI1973" s="8"/>
      <c r="GJ1973" s="8"/>
      <c r="GK1973" s="8"/>
      <c r="GL1973" s="8"/>
      <c r="GM1973" s="8"/>
      <c r="GN1973" s="8"/>
      <c r="GO1973" s="8"/>
      <c r="GP1973" s="8"/>
      <c r="GQ1973" s="8"/>
      <c r="GR1973" s="8"/>
      <c r="GS1973" s="8"/>
      <c r="GT1973" s="8"/>
      <c r="GU1973" s="8"/>
      <c r="GV1973" s="8"/>
      <c r="GW1973" s="8"/>
      <c r="GX1973" s="8"/>
    </row>
    <row r="1974">
      <c r="A1974" s="8" t="str">
        <f>IFERROR(__xludf.DUMMYFUNCTION("""COMPUTED_VALUE"""),"110065520130600750")</f>
        <v>110065520130600750</v>
      </c>
      <c r="B1974" s="9" t="str">
        <f>IFERROR(__xludf.DUMMYFUNCTION("""COMPUTED_VALUE"""),"Italy")</f>
        <v>Italy</v>
      </c>
      <c r="C1974" s="9" t="str">
        <f>IFERROR(__xludf.DUMMYFUNCTION("""COMPUTED_VALUE"""),"piedmont")</f>
        <v>piedmont</v>
      </c>
      <c r="D1974" s="9" t="str">
        <f>IFERROR(__xludf.DUMMYFUNCTION("""COMPUTED_VALUE"""),"La Spinetta, Barolo, Campe")</f>
        <v>La Spinetta, Barolo, Campe</v>
      </c>
      <c r="E1974" s="9">
        <f>IFERROR(__xludf.DUMMYFUNCTION("""COMPUTED_VALUE"""),2013.0)</f>
        <v>2013</v>
      </c>
      <c r="F1974" s="9">
        <f>IFERROR(__xludf.DUMMYFUNCTION("""COMPUTED_VALUE"""),750.0)</f>
        <v>750</v>
      </c>
      <c r="G1974" s="9">
        <f>IFERROR(__xludf.DUMMYFUNCTION("""COMPUTED_VALUE"""),6.0)</f>
        <v>6</v>
      </c>
      <c r="H1974" s="10">
        <f>IFERROR(__xludf.DUMMYFUNCTION("""COMPUTED_VALUE"""),1.0)</f>
        <v>1</v>
      </c>
      <c r="I1974" s="11">
        <f>IFERROR(__xludf.DUMMYFUNCTION("""COMPUTED_VALUE"""),655.0)</f>
        <v>655</v>
      </c>
      <c r="J1974" s="9" t="str">
        <f>IFERROR(__xludf.DUMMYFUNCTION("""COMPUTED_VALUE"""),"UK")</f>
        <v>UK</v>
      </c>
      <c r="K1974" s="8"/>
      <c r="L1974" s="12"/>
      <c r="M1974" s="13"/>
      <c r="N1974" s="13" t="str">
        <f>IFERROR(__xludf.DUMMYFUNCTION("IF(ISBLANK(M1974),"""",M1974*GOOGLEFINANCE(""USDGBP""))"),"")</f>
        <v/>
      </c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  <c r="FG1974" s="8"/>
      <c r="FH1974" s="8"/>
      <c r="FI1974" s="8"/>
      <c r="FJ1974" s="8"/>
      <c r="FK1974" s="8"/>
      <c r="FL1974" s="8"/>
      <c r="FM1974" s="8"/>
      <c r="FN1974" s="8"/>
      <c r="FO1974" s="8"/>
      <c r="FP1974" s="8"/>
      <c r="FQ1974" s="8"/>
      <c r="FR1974" s="8"/>
      <c r="FS1974" s="8"/>
      <c r="FT1974" s="8"/>
      <c r="FU1974" s="8"/>
      <c r="FV1974" s="8"/>
      <c r="FW1974" s="8"/>
      <c r="FX1974" s="8"/>
      <c r="FY1974" s="8"/>
      <c r="FZ1974" s="8"/>
      <c r="GA1974" s="8"/>
      <c r="GB1974" s="8"/>
      <c r="GC1974" s="8"/>
      <c r="GD1974" s="8"/>
      <c r="GE1974" s="8"/>
      <c r="GF1974" s="8"/>
      <c r="GG1974" s="8"/>
      <c r="GH1974" s="8"/>
      <c r="GI1974" s="8"/>
      <c r="GJ1974" s="8"/>
      <c r="GK1974" s="8"/>
      <c r="GL1974" s="8"/>
      <c r="GM1974" s="8"/>
      <c r="GN1974" s="8"/>
      <c r="GO1974" s="8"/>
      <c r="GP1974" s="8"/>
      <c r="GQ1974" s="8"/>
      <c r="GR1974" s="8"/>
      <c r="GS1974" s="8"/>
      <c r="GT1974" s="8"/>
      <c r="GU1974" s="8"/>
      <c r="GV1974" s="8"/>
      <c r="GW1974" s="8"/>
      <c r="GX1974" s="8"/>
    </row>
    <row r="1975">
      <c r="A1975" s="8" t="str">
        <f>IFERROR(__xludf.DUMMYFUNCTION("""COMPUTED_VALUE"""),"110065520141200750")</f>
        <v>110065520141200750</v>
      </c>
      <c r="B1975" s="9" t="str">
        <f>IFERROR(__xludf.DUMMYFUNCTION("""COMPUTED_VALUE"""),"Italy")</f>
        <v>Italy</v>
      </c>
      <c r="C1975" s="9" t="str">
        <f>IFERROR(__xludf.DUMMYFUNCTION("""COMPUTED_VALUE"""),"piedmont")</f>
        <v>piedmont</v>
      </c>
      <c r="D1975" s="9" t="str">
        <f>IFERROR(__xludf.DUMMYFUNCTION("""COMPUTED_VALUE"""),"La Spinetta, Barolo, Campe")</f>
        <v>La Spinetta, Barolo, Campe</v>
      </c>
      <c r="E1975" s="9">
        <f>IFERROR(__xludf.DUMMYFUNCTION("""COMPUTED_VALUE"""),2014.0)</f>
        <v>2014</v>
      </c>
      <c r="F1975" s="9">
        <f>IFERROR(__xludf.DUMMYFUNCTION("""COMPUTED_VALUE"""),750.0)</f>
        <v>750</v>
      </c>
      <c r="G1975" s="9">
        <f>IFERROR(__xludf.DUMMYFUNCTION("""COMPUTED_VALUE"""),12.0)</f>
        <v>12</v>
      </c>
      <c r="H1975" s="10">
        <f>IFERROR(__xludf.DUMMYFUNCTION("""COMPUTED_VALUE"""),2.0)</f>
        <v>2</v>
      </c>
      <c r="I1975" s="11">
        <f>IFERROR(__xludf.DUMMYFUNCTION("""COMPUTED_VALUE"""),1086.0)</f>
        <v>1086</v>
      </c>
      <c r="J1975" s="9" t="str">
        <f>IFERROR(__xludf.DUMMYFUNCTION("""COMPUTED_VALUE"""),"UK")</f>
        <v>UK</v>
      </c>
      <c r="K1975" s="8"/>
      <c r="L1975" s="12"/>
      <c r="M1975" s="13"/>
      <c r="N1975" s="13" t="str">
        <f>IFERROR(__xludf.DUMMYFUNCTION("IF(ISBLANK(M1975),"""",M1975*GOOGLEFINANCE(""USDGBP""))"),"")</f>
        <v/>
      </c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  <c r="FG1975" s="8"/>
      <c r="FH1975" s="8"/>
      <c r="FI1975" s="8"/>
      <c r="FJ1975" s="8"/>
      <c r="FK1975" s="8"/>
      <c r="FL1975" s="8"/>
      <c r="FM1975" s="8"/>
      <c r="FN1975" s="8"/>
      <c r="FO1975" s="8"/>
      <c r="FP1975" s="8"/>
      <c r="FQ1975" s="8"/>
      <c r="FR1975" s="8"/>
      <c r="FS1975" s="8"/>
      <c r="FT1975" s="8"/>
      <c r="FU1975" s="8"/>
      <c r="FV1975" s="8"/>
      <c r="FW1975" s="8"/>
      <c r="FX1975" s="8"/>
      <c r="FY1975" s="8"/>
      <c r="FZ1975" s="8"/>
      <c r="GA1975" s="8"/>
      <c r="GB1975" s="8"/>
      <c r="GC1975" s="8"/>
      <c r="GD1975" s="8"/>
      <c r="GE1975" s="8"/>
      <c r="GF1975" s="8"/>
      <c r="GG1975" s="8"/>
      <c r="GH1975" s="8"/>
      <c r="GI1975" s="8"/>
      <c r="GJ1975" s="8"/>
      <c r="GK1975" s="8"/>
      <c r="GL1975" s="8"/>
      <c r="GM1975" s="8"/>
      <c r="GN1975" s="8"/>
      <c r="GO1975" s="8"/>
      <c r="GP1975" s="8"/>
      <c r="GQ1975" s="8"/>
      <c r="GR1975" s="8"/>
      <c r="GS1975" s="8"/>
      <c r="GT1975" s="8"/>
      <c r="GU1975" s="8"/>
      <c r="GV1975" s="8"/>
      <c r="GW1975" s="8"/>
      <c r="GX1975" s="8"/>
    </row>
    <row r="1976">
      <c r="A1976" s="8" t="str">
        <f>IFERROR(__xludf.DUMMYFUNCTION("""COMPUTED_VALUE"""),"110065520170600750")</f>
        <v>110065520170600750</v>
      </c>
      <c r="B1976" s="9" t="str">
        <f>IFERROR(__xludf.DUMMYFUNCTION("""COMPUTED_VALUE"""),"Italy")</f>
        <v>Italy</v>
      </c>
      <c r="C1976" s="9" t="str">
        <f>IFERROR(__xludf.DUMMYFUNCTION("""COMPUTED_VALUE"""),"piedmont")</f>
        <v>piedmont</v>
      </c>
      <c r="D1976" s="9" t="str">
        <f>IFERROR(__xludf.DUMMYFUNCTION("""COMPUTED_VALUE"""),"La Spinetta, Barolo, Campe")</f>
        <v>La Spinetta, Barolo, Campe</v>
      </c>
      <c r="E1976" s="9">
        <f>IFERROR(__xludf.DUMMYFUNCTION("""COMPUTED_VALUE"""),2017.0)</f>
        <v>2017</v>
      </c>
      <c r="F1976" s="9">
        <f>IFERROR(__xludf.DUMMYFUNCTION("""COMPUTED_VALUE"""),750.0)</f>
        <v>750</v>
      </c>
      <c r="G1976" s="9">
        <f>IFERROR(__xludf.DUMMYFUNCTION("""COMPUTED_VALUE"""),6.0)</f>
        <v>6</v>
      </c>
      <c r="H1976" s="10">
        <f>IFERROR(__xludf.DUMMYFUNCTION("""COMPUTED_VALUE"""),20.0)</f>
        <v>20</v>
      </c>
      <c r="I1976" s="11">
        <f>IFERROR(__xludf.DUMMYFUNCTION("""COMPUTED_VALUE"""),522.0)</f>
        <v>522</v>
      </c>
      <c r="J1976" s="9" t="str">
        <f>IFERROR(__xludf.DUMMYFUNCTION("""COMPUTED_VALUE"""),"UK")</f>
        <v>UK</v>
      </c>
      <c r="K1976" s="8"/>
      <c r="L1976" s="12"/>
      <c r="M1976" s="13"/>
      <c r="N1976" s="13" t="str">
        <f>IFERROR(__xludf.DUMMYFUNCTION("IF(ISBLANK(M1976),"""",M1976*GOOGLEFINANCE(""USDGBP""))"),"")</f>
        <v/>
      </c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  <c r="FG1976" s="8"/>
      <c r="FH1976" s="8"/>
      <c r="FI1976" s="8"/>
      <c r="FJ1976" s="8"/>
      <c r="FK1976" s="8"/>
      <c r="FL1976" s="8"/>
      <c r="FM1976" s="8"/>
      <c r="FN1976" s="8"/>
      <c r="FO1976" s="8"/>
      <c r="FP1976" s="8"/>
      <c r="FQ1976" s="8"/>
      <c r="FR1976" s="8"/>
      <c r="FS1976" s="8"/>
      <c r="FT1976" s="8"/>
      <c r="FU1976" s="8"/>
      <c r="FV1976" s="8"/>
      <c r="FW1976" s="8"/>
      <c r="FX1976" s="8"/>
      <c r="FY1976" s="8"/>
      <c r="FZ1976" s="8"/>
      <c r="GA1976" s="8"/>
      <c r="GB1976" s="8"/>
      <c r="GC1976" s="8"/>
      <c r="GD1976" s="8"/>
      <c r="GE1976" s="8"/>
      <c r="GF1976" s="8"/>
      <c r="GG1976" s="8"/>
      <c r="GH1976" s="8"/>
      <c r="GI1976" s="8"/>
      <c r="GJ1976" s="8"/>
      <c r="GK1976" s="8"/>
      <c r="GL1976" s="8"/>
      <c r="GM1976" s="8"/>
      <c r="GN1976" s="8"/>
      <c r="GO1976" s="8"/>
      <c r="GP1976" s="8"/>
      <c r="GQ1976" s="8"/>
      <c r="GR1976" s="8"/>
      <c r="GS1976" s="8"/>
      <c r="GT1976" s="8"/>
      <c r="GU1976" s="8"/>
      <c r="GV1976" s="8"/>
      <c r="GW1976" s="8"/>
      <c r="GX1976" s="8"/>
    </row>
    <row r="1977">
      <c r="A1977" s="8" t="str">
        <f>IFERROR(__xludf.DUMMYFUNCTION("""COMPUTED_VALUE"""),"110065520180600750")</f>
        <v>110065520180600750</v>
      </c>
      <c r="B1977" s="9" t="str">
        <f>IFERROR(__xludf.DUMMYFUNCTION("""COMPUTED_VALUE"""),"Italy")</f>
        <v>Italy</v>
      </c>
      <c r="C1977" s="9" t="str">
        <f>IFERROR(__xludf.DUMMYFUNCTION("""COMPUTED_VALUE"""),"piedmont")</f>
        <v>piedmont</v>
      </c>
      <c r="D1977" s="9" t="str">
        <f>IFERROR(__xludf.DUMMYFUNCTION("""COMPUTED_VALUE"""),"La Spinetta, Barolo, Campe")</f>
        <v>La Spinetta, Barolo, Campe</v>
      </c>
      <c r="E1977" s="9">
        <f>IFERROR(__xludf.DUMMYFUNCTION("""COMPUTED_VALUE"""),2018.0)</f>
        <v>2018</v>
      </c>
      <c r="F1977" s="9">
        <f>IFERROR(__xludf.DUMMYFUNCTION("""COMPUTED_VALUE"""),750.0)</f>
        <v>750</v>
      </c>
      <c r="G1977" s="9">
        <f>IFERROR(__xludf.DUMMYFUNCTION("""COMPUTED_VALUE"""),6.0)</f>
        <v>6</v>
      </c>
      <c r="H1977" s="10">
        <f>IFERROR(__xludf.DUMMYFUNCTION("""COMPUTED_VALUE"""),1.0)</f>
        <v>1</v>
      </c>
      <c r="I1977" s="11">
        <f>IFERROR(__xludf.DUMMYFUNCTION("""COMPUTED_VALUE"""),590.0)</f>
        <v>590</v>
      </c>
      <c r="J1977" s="9" t="str">
        <f>IFERROR(__xludf.DUMMYFUNCTION("""COMPUTED_VALUE"""),"UK")</f>
        <v>UK</v>
      </c>
      <c r="K1977" s="8"/>
      <c r="L1977" s="12"/>
      <c r="M1977" s="13"/>
      <c r="N1977" s="13" t="str">
        <f>IFERROR(__xludf.DUMMYFUNCTION("IF(ISBLANK(M1977),"""",M1977*GOOGLEFINANCE(""USDGBP""))"),"")</f>
        <v/>
      </c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  <c r="FG1977" s="8"/>
      <c r="FH1977" s="8"/>
      <c r="FI1977" s="8"/>
      <c r="FJ1977" s="8"/>
      <c r="FK1977" s="8"/>
      <c r="FL1977" s="8"/>
      <c r="FM1977" s="8"/>
      <c r="FN1977" s="8"/>
      <c r="FO1977" s="8"/>
      <c r="FP1977" s="8"/>
      <c r="FQ1977" s="8"/>
      <c r="FR1977" s="8"/>
      <c r="FS1977" s="8"/>
      <c r="FT1977" s="8"/>
      <c r="FU1977" s="8"/>
      <c r="FV1977" s="8"/>
      <c r="FW1977" s="8"/>
      <c r="FX1977" s="8"/>
      <c r="FY1977" s="8"/>
      <c r="FZ1977" s="8"/>
      <c r="GA1977" s="8"/>
      <c r="GB1977" s="8"/>
      <c r="GC1977" s="8"/>
      <c r="GD1977" s="8"/>
      <c r="GE1977" s="8"/>
      <c r="GF1977" s="8"/>
      <c r="GG1977" s="8"/>
      <c r="GH1977" s="8"/>
      <c r="GI1977" s="8"/>
      <c r="GJ1977" s="8"/>
      <c r="GK1977" s="8"/>
      <c r="GL1977" s="8"/>
      <c r="GM1977" s="8"/>
      <c r="GN1977" s="8"/>
      <c r="GO1977" s="8"/>
      <c r="GP1977" s="8"/>
      <c r="GQ1977" s="8"/>
      <c r="GR1977" s="8"/>
      <c r="GS1977" s="8"/>
      <c r="GT1977" s="8"/>
      <c r="GU1977" s="8"/>
      <c r="GV1977" s="8"/>
      <c r="GW1977" s="8"/>
      <c r="GX1977" s="8"/>
    </row>
    <row r="1978">
      <c r="A1978" s="8" t="str">
        <f>IFERROR(__xludf.DUMMYFUNCTION("""COMPUTED_VALUE"""),"120253520040101500")</f>
        <v>120253520040101500</v>
      </c>
      <c r="B1978" s="9" t="str">
        <f>IFERROR(__xludf.DUMMYFUNCTION("""COMPUTED_VALUE"""),"Italy")</f>
        <v>Italy</v>
      </c>
      <c r="C1978" s="9" t="str">
        <f>IFERROR(__xludf.DUMMYFUNCTION("""COMPUTED_VALUE"""),"piedmont")</f>
        <v>piedmont</v>
      </c>
      <c r="D1978" s="9" t="str">
        <f>IFERROR(__xludf.DUMMYFUNCTION("""COMPUTED_VALUE"""),"La Spinetta, Barolo, Campe Riserva Vursu")</f>
        <v>La Spinetta, Barolo, Campe Riserva Vursu</v>
      </c>
      <c r="E1978" s="9">
        <f>IFERROR(__xludf.DUMMYFUNCTION("""COMPUTED_VALUE"""),2004.0)</f>
        <v>2004</v>
      </c>
      <c r="F1978" s="9">
        <f>IFERROR(__xludf.DUMMYFUNCTION("""COMPUTED_VALUE"""),1500.0)</f>
        <v>1500</v>
      </c>
      <c r="G1978" s="9">
        <f>IFERROR(__xludf.DUMMYFUNCTION("""COMPUTED_VALUE"""),1.0)</f>
        <v>1</v>
      </c>
      <c r="H1978" s="10">
        <f>IFERROR(__xludf.DUMMYFUNCTION("""COMPUTED_VALUE"""),2.0)</f>
        <v>2</v>
      </c>
      <c r="I1978" s="11">
        <f>IFERROR(__xludf.DUMMYFUNCTION("""COMPUTED_VALUE"""),728.0)</f>
        <v>728</v>
      </c>
      <c r="J1978" s="9" t="str">
        <f>IFERROR(__xludf.DUMMYFUNCTION("""COMPUTED_VALUE"""),"UK")</f>
        <v>UK</v>
      </c>
      <c r="K1978" s="8"/>
      <c r="L1978" s="12"/>
      <c r="M1978" s="13"/>
      <c r="N1978" s="13" t="str">
        <f>IFERROR(__xludf.DUMMYFUNCTION("IF(ISBLANK(M1978),"""",M1978*GOOGLEFINANCE(""USDGBP""))"),"")</f>
        <v/>
      </c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  <c r="FG1978" s="8"/>
      <c r="FH1978" s="8"/>
      <c r="FI1978" s="8"/>
      <c r="FJ1978" s="8"/>
      <c r="FK1978" s="8"/>
      <c r="FL1978" s="8"/>
      <c r="FM1978" s="8"/>
      <c r="FN1978" s="8"/>
      <c r="FO1978" s="8"/>
      <c r="FP1978" s="8"/>
      <c r="FQ1978" s="8"/>
      <c r="FR1978" s="8"/>
      <c r="FS1978" s="8"/>
      <c r="FT1978" s="8"/>
      <c r="FU1978" s="8"/>
      <c r="FV1978" s="8"/>
      <c r="FW1978" s="8"/>
      <c r="FX1978" s="8"/>
      <c r="FY1978" s="8"/>
      <c r="FZ1978" s="8"/>
      <c r="GA1978" s="8"/>
      <c r="GB1978" s="8"/>
      <c r="GC1978" s="8"/>
      <c r="GD1978" s="8"/>
      <c r="GE1978" s="8"/>
      <c r="GF1978" s="8"/>
      <c r="GG1978" s="8"/>
      <c r="GH1978" s="8"/>
      <c r="GI1978" s="8"/>
      <c r="GJ1978" s="8"/>
      <c r="GK1978" s="8"/>
      <c r="GL1978" s="8"/>
      <c r="GM1978" s="8"/>
      <c r="GN1978" s="8"/>
      <c r="GO1978" s="8"/>
      <c r="GP1978" s="8"/>
      <c r="GQ1978" s="8"/>
      <c r="GR1978" s="8"/>
      <c r="GS1978" s="8"/>
      <c r="GT1978" s="8"/>
      <c r="GU1978" s="8"/>
      <c r="GV1978" s="8"/>
      <c r="GW1978" s="8"/>
      <c r="GX1978" s="8"/>
    </row>
    <row r="1979">
      <c r="A1979" s="8" t="str">
        <f>IFERROR(__xludf.DUMMYFUNCTION("""COMPUTED_VALUE"""),"120253520070101500")</f>
        <v>120253520070101500</v>
      </c>
      <c r="B1979" s="9" t="str">
        <f>IFERROR(__xludf.DUMMYFUNCTION("""COMPUTED_VALUE"""),"Italy")</f>
        <v>Italy</v>
      </c>
      <c r="C1979" s="9" t="str">
        <f>IFERROR(__xludf.DUMMYFUNCTION("""COMPUTED_VALUE"""),"piedmont")</f>
        <v>piedmont</v>
      </c>
      <c r="D1979" s="9" t="str">
        <f>IFERROR(__xludf.DUMMYFUNCTION("""COMPUTED_VALUE"""),"La Spinetta, Barolo, Campe Riserva Vursu")</f>
        <v>La Spinetta, Barolo, Campe Riserva Vursu</v>
      </c>
      <c r="E1979" s="9">
        <f>IFERROR(__xludf.DUMMYFUNCTION("""COMPUTED_VALUE"""),2007.0)</f>
        <v>2007</v>
      </c>
      <c r="F1979" s="9">
        <f>IFERROR(__xludf.DUMMYFUNCTION("""COMPUTED_VALUE"""),1500.0)</f>
        <v>1500</v>
      </c>
      <c r="G1979" s="9">
        <f>IFERROR(__xludf.DUMMYFUNCTION("""COMPUTED_VALUE"""),1.0)</f>
        <v>1</v>
      </c>
      <c r="H1979" s="10">
        <f>IFERROR(__xludf.DUMMYFUNCTION("""COMPUTED_VALUE"""),1.0)</f>
        <v>1</v>
      </c>
      <c r="I1979" s="11">
        <f>IFERROR(__xludf.DUMMYFUNCTION("""COMPUTED_VALUE"""),552.0)</f>
        <v>552</v>
      </c>
      <c r="J1979" s="9" t="str">
        <f>IFERROR(__xludf.DUMMYFUNCTION("""COMPUTED_VALUE"""),"UK")</f>
        <v>UK</v>
      </c>
      <c r="K1979" s="8"/>
      <c r="L1979" s="12"/>
      <c r="M1979" s="13"/>
      <c r="N1979" s="13" t="str">
        <f>IFERROR(__xludf.DUMMYFUNCTION("IF(ISBLANK(M1979),"""",M1979*GOOGLEFINANCE(""USDGBP""))"),"")</f>
        <v/>
      </c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  <c r="FG1979" s="8"/>
      <c r="FH1979" s="8"/>
      <c r="FI1979" s="8"/>
      <c r="FJ1979" s="8"/>
      <c r="FK1979" s="8"/>
      <c r="FL1979" s="8"/>
      <c r="FM1979" s="8"/>
      <c r="FN1979" s="8"/>
      <c r="FO1979" s="8"/>
      <c r="FP1979" s="8"/>
      <c r="FQ1979" s="8"/>
      <c r="FR1979" s="8"/>
      <c r="FS1979" s="8"/>
      <c r="FT1979" s="8"/>
      <c r="FU1979" s="8"/>
      <c r="FV1979" s="8"/>
      <c r="FW1979" s="8"/>
      <c r="FX1979" s="8"/>
      <c r="FY1979" s="8"/>
      <c r="FZ1979" s="8"/>
      <c r="GA1979" s="8"/>
      <c r="GB1979" s="8"/>
      <c r="GC1979" s="8"/>
      <c r="GD1979" s="8"/>
      <c r="GE1979" s="8"/>
      <c r="GF1979" s="8"/>
      <c r="GG1979" s="8"/>
      <c r="GH1979" s="8"/>
      <c r="GI1979" s="8"/>
      <c r="GJ1979" s="8"/>
      <c r="GK1979" s="8"/>
      <c r="GL1979" s="8"/>
      <c r="GM1979" s="8"/>
      <c r="GN1979" s="8"/>
      <c r="GO1979" s="8"/>
      <c r="GP1979" s="8"/>
      <c r="GQ1979" s="8"/>
      <c r="GR1979" s="8"/>
      <c r="GS1979" s="8"/>
      <c r="GT1979" s="8"/>
      <c r="GU1979" s="8"/>
      <c r="GV1979" s="8"/>
      <c r="GW1979" s="8"/>
      <c r="GX1979" s="8"/>
    </row>
    <row r="1980">
      <c r="A1980" s="8" t="str">
        <f>IFERROR(__xludf.DUMMYFUNCTION("""COMPUTED_VALUE"""),"120253520080101500")</f>
        <v>120253520080101500</v>
      </c>
      <c r="B1980" s="9" t="str">
        <f>IFERROR(__xludf.DUMMYFUNCTION("""COMPUTED_VALUE"""),"Italy")</f>
        <v>Italy</v>
      </c>
      <c r="C1980" s="9" t="str">
        <f>IFERROR(__xludf.DUMMYFUNCTION("""COMPUTED_VALUE"""),"piedmont")</f>
        <v>piedmont</v>
      </c>
      <c r="D1980" s="9" t="str">
        <f>IFERROR(__xludf.DUMMYFUNCTION("""COMPUTED_VALUE"""),"La Spinetta, Barolo, Campe Riserva Vursu")</f>
        <v>La Spinetta, Barolo, Campe Riserva Vursu</v>
      </c>
      <c r="E1980" s="9">
        <f>IFERROR(__xludf.DUMMYFUNCTION("""COMPUTED_VALUE"""),2008.0)</f>
        <v>2008</v>
      </c>
      <c r="F1980" s="9">
        <f>IFERROR(__xludf.DUMMYFUNCTION("""COMPUTED_VALUE"""),1500.0)</f>
        <v>1500</v>
      </c>
      <c r="G1980" s="9">
        <f>IFERROR(__xludf.DUMMYFUNCTION("""COMPUTED_VALUE"""),1.0)</f>
        <v>1</v>
      </c>
      <c r="H1980" s="10">
        <f>IFERROR(__xludf.DUMMYFUNCTION("""COMPUTED_VALUE"""),2.0)</f>
        <v>2</v>
      </c>
      <c r="I1980" s="11">
        <f>IFERROR(__xludf.DUMMYFUNCTION("""COMPUTED_VALUE"""),560.0)</f>
        <v>560</v>
      </c>
      <c r="J1980" s="9" t="str">
        <f>IFERROR(__xludf.DUMMYFUNCTION("""COMPUTED_VALUE"""),"UK")</f>
        <v>UK</v>
      </c>
      <c r="K1980" s="8"/>
      <c r="L1980" s="12"/>
      <c r="M1980" s="13"/>
      <c r="N1980" s="13" t="str">
        <f>IFERROR(__xludf.DUMMYFUNCTION("IF(ISBLANK(M1980),"""",M1980*GOOGLEFINANCE(""USDGBP""))"),"")</f>
        <v/>
      </c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  <c r="FG1980" s="8"/>
      <c r="FH1980" s="8"/>
      <c r="FI1980" s="8"/>
      <c r="FJ1980" s="8"/>
      <c r="FK1980" s="8"/>
      <c r="FL1980" s="8"/>
      <c r="FM1980" s="8"/>
      <c r="FN1980" s="8"/>
      <c r="FO1980" s="8"/>
      <c r="FP1980" s="8"/>
      <c r="FQ1980" s="8"/>
      <c r="FR1980" s="8"/>
      <c r="FS1980" s="8"/>
      <c r="FT1980" s="8"/>
      <c r="FU1980" s="8"/>
      <c r="FV1980" s="8"/>
      <c r="FW1980" s="8"/>
      <c r="FX1980" s="8"/>
      <c r="FY1980" s="8"/>
      <c r="FZ1980" s="8"/>
      <c r="GA1980" s="8"/>
      <c r="GB1980" s="8"/>
      <c r="GC1980" s="8"/>
      <c r="GD1980" s="8"/>
      <c r="GE1980" s="8"/>
      <c r="GF1980" s="8"/>
      <c r="GG1980" s="8"/>
      <c r="GH1980" s="8"/>
      <c r="GI1980" s="8"/>
      <c r="GJ1980" s="8"/>
      <c r="GK1980" s="8"/>
      <c r="GL1980" s="8"/>
      <c r="GM1980" s="8"/>
      <c r="GN1980" s="8"/>
      <c r="GO1980" s="8"/>
      <c r="GP1980" s="8"/>
      <c r="GQ1980" s="8"/>
      <c r="GR1980" s="8"/>
      <c r="GS1980" s="8"/>
      <c r="GT1980" s="8"/>
      <c r="GU1980" s="8"/>
      <c r="GV1980" s="8"/>
      <c r="GW1980" s="8"/>
      <c r="GX1980" s="8"/>
    </row>
    <row r="1981">
      <c r="A1981" s="8" t="str">
        <f>IFERROR(__xludf.DUMMYFUNCTION("""COMPUTED_VALUE"""),"147658920100600750")</f>
        <v>147658920100600750</v>
      </c>
      <c r="B1981" s="9" t="str">
        <f>IFERROR(__xludf.DUMMYFUNCTION("""COMPUTED_VALUE"""),"Italy")</f>
        <v>Italy</v>
      </c>
      <c r="C1981" s="9" t="str">
        <f>IFERROR(__xludf.DUMMYFUNCTION("""COMPUTED_VALUE"""),"piedmont")</f>
        <v>piedmont</v>
      </c>
      <c r="D1981" s="9" t="str">
        <f>IFERROR(__xludf.DUMMYFUNCTION("""COMPUTED_VALUE"""),"Luciano Sandrone, Barolo, Aleste")</f>
        <v>Luciano Sandrone, Barolo, Aleste</v>
      </c>
      <c r="E1981" s="9">
        <f>IFERROR(__xludf.DUMMYFUNCTION("""COMPUTED_VALUE"""),2010.0)</f>
        <v>2010</v>
      </c>
      <c r="F1981" s="9">
        <f>IFERROR(__xludf.DUMMYFUNCTION("""COMPUTED_VALUE"""),750.0)</f>
        <v>750</v>
      </c>
      <c r="G1981" s="9">
        <f>IFERROR(__xludf.DUMMYFUNCTION("""COMPUTED_VALUE"""),6.0)</f>
        <v>6</v>
      </c>
      <c r="H1981" s="10">
        <f>IFERROR(__xludf.DUMMYFUNCTION("""COMPUTED_VALUE"""),1.0)</f>
        <v>1</v>
      </c>
      <c r="I1981" s="11">
        <f>IFERROR(__xludf.DUMMYFUNCTION("""COMPUTED_VALUE"""),1058.0)</f>
        <v>1058</v>
      </c>
      <c r="J1981" s="9" t="str">
        <f>IFERROR(__xludf.DUMMYFUNCTION("""COMPUTED_VALUE"""),"UK")</f>
        <v>UK</v>
      </c>
      <c r="K1981" s="8"/>
      <c r="L1981" s="12"/>
      <c r="M1981" s="13"/>
      <c r="N1981" s="13" t="str">
        <f>IFERROR(__xludf.DUMMYFUNCTION("IF(ISBLANK(M1981),"""",M1981*GOOGLEFINANCE(""USDGBP""))"),"")</f>
        <v/>
      </c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  <c r="FG1981" s="8"/>
      <c r="FH1981" s="8"/>
      <c r="FI1981" s="8"/>
      <c r="FJ1981" s="8"/>
      <c r="FK1981" s="8"/>
      <c r="FL1981" s="8"/>
      <c r="FM1981" s="8"/>
      <c r="FN1981" s="8"/>
      <c r="FO1981" s="8"/>
      <c r="FP1981" s="8"/>
      <c r="FQ1981" s="8"/>
      <c r="FR1981" s="8"/>
      <c r="FS1981" s="8"/>
      <c r="FT1981" s="8"/>
      <c r="FU1981" s="8"/>
      <c r="FV1981" s="8"/>
      <c r="FW1981" s="8"/>
      <c r="FX1981" s="8"/>
      <c r="FY1981" s="8"/>
      <c r="FZ1981" s="8"/>
      <c r="GA1981" s="8"/>
      <c r="GB1981" s="8"/>
      <c r="GC1981" s="8"/>
      <c r="GD1981" s="8"/>
      <c r="GE1981" s="8"/>
      <c r="GF1981" s="8"/>
      <c r="GG1981" s="8"/>
      <c r="GH1981" s="8"/>
      <c r="GI1981" s="8"/>
      <c r="GJ1981" s="8"/>
      <c r="GK1981" s="8"/>
      <c r="GL1981" s="8"/>
      <c r="GM1981" s="8"/>
      <c r="GN1981" s="8"/>
      <c r="GO1981" s="8"/>
      <c r="GP1981" s="8"/>
      <c r="GQ1981" s="8"/>
      <c r="GR1981" s="8"/>
      <c r="GS1981" s="8"/>
      <c r="GT1981" s="8"/>
      <c r="GU1981" s="8"/>
      <c r="GV1981" s="8"/>
      <c r="GW1981" s="8"/>
      <c r="GX1981" s="8"/>
    </row>
    <row r="1982">
      <c r="A1982" s="8" t="str">
        <f>IFERROR(__xludf.DUMMYFUNCTION("""COMPUTED_VALUE"""),"147658920110600750")</f>
        <v>147658920110600750</v>
      </c>
      <c r="B1982" s="9" t="str">
        <f>IFERROR(__xludf.DUMMYFUNCTION("""COMPUTED_VALUE"""),"Italy")</f>
        <v>Italy</v>
      </c>
      <c r="C1982" s="9" t="str">
        <f>IFERROR(__xludf.DUMMYFUNCTION("""COMPUTED_VALUE"""),"piedmont")</f>
        <v>piedmont</v>
      </c>
      <c r="D1982" s="9" t="str">
        <f>IFERROR(__xludf.DUMMYFUNCTION("""COMPUTED_VALUE"""),"Luciano Sandrone, Barolo, Aleste")</f>
        <v>Luciano Sandrone, Barolo, Aleste</v>
      </c>
      <c r="E1982" s="9">
        <f>IFERROR(__xludf.DUMMYFUNCTION("""COMPUTED_VALUE"""),2011.0)</f>
        <v>2011</v>
      </c>
      <c r="F1982" s="9">
        <f>IFERROR(__xludf.DUMMYFUNCTION("""COMPUTED_VALUE"""),750.0)</f>
        <v>750</v>
      </c>
      <c r="G1982" s="9">
        <f>IFERROR(__xludf.DUMMYFUNCTION("""COMPUTED_VALUE"""),6.0)</f>
        <v>6</v>
      </c>
      <c r="H1982" s="10">
        <f>IFERROR(__xludf.DUMMYFUNCTION("""COMPUTED_VALUE"""),3.0)</f>
        <v>3</v>
      </c>
      <c r="I1982" s="11">
        <f>IFERROR(__xludf.DUMMYFUNCTION("""COMPUTED_VALUE"""),876.0)</f>
        <v>876</v>
      </c>
      <c r="J1982" s="9" t="str">
        <f>IFERROR(__xludf.DUMMYFUNCTION("""COMPUTED_VALUE"""),"UK")</f>
        <v>UK</v>
      </c>
      <c r="K1982" s="8"/>
      <c r="L1982" s="12"/>
      <c r="M1982" s="13"/>
      <c r="N1982" s="13" t="str">
        <f>IFERROR(__xludf.DUMMYFUNCTION("IF(ISBLANK(M1982),"""",M1982*GOOGLEFINANCE(""USDGBP""))"),"")</f>
        <v/>
      </c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  <c r="FG1982" s="8"/>
      <c r="FH1982" s="8"/>
      <c r="FI1982" s="8"/>
      <c r="FJ1982" s="8"/>
      <c r="FK1982" s="8"/>
      <c r="FL1982" s="8"/>
      <c r="FM1982" s="8"/>
      <c r="FN1982" s="8"/>
      <c r="FO1982" s="8"/>
      <c r="FP1982" s="8"/>
      <c r="FQ1982" s="8"/>
      <c r="FR1982" s="8"/>
      <c r="FS1982" s="8"/>
      <c r="FT1982" s="8"/>
      <c r="FU1982" s="8"/>
      <c r="FV1982" s="8"/>
      <c r="FW1982" s="8"/>
      <c r="FX1982" s="8"/>
      <c r="FY1982" s="8"/>
      <c r="FZ1982" s="8"/>
      <c r="GA1982" s="8"/>
      <c r="GB1982" s="8"/>
      <c r="GC1982" s="8"/>
      <c r="GD1982" s="8"/>
      <c r="GE1982" s="8"/>
      <c r="GF1982" s="8"/>
      <c r="GG1982" s="8"/>
      <c r="GH1982" s="8"/>
      <c r="GI1982" s="8"/>
      <c r="GJ1982" s="8"/>
      <c r="GK1982" s="8"/>
      <c r="GL1982" s="8"/>
      <c r="GM1982" s="8"/>
      <c r="GN1982" s="8"/>
      <c r="GO1982" s="8"/>
      <c r="GP1982" s="8"/>
      <c r="GQ1982" s="8"/>
      <c r="GR1982" s="8"/>
      <c r="GS1982" s="8"/>
      <c r="GT1982" s="8"/>
      <c r="GU1982" s="8"/>
      <c r="GV1982" s="8"/>
      <c r="GW1982" s="8"/>
      <c r="GX1982" s="8"/>
    </row>
    <row r="1983">
      <c r="A1983" s="8" t="str">
        <f>IFERROR(__xludf.DUMMYFUNCTION("""COMPUTED_VALUE"""),"147658920130600750")</f>
        <v>147658920130600750</v>
      </c>
      <c r="B1983" s="9" t="str">
        <f>IFERROR(__xludf.DUMMYFUNCTION("""COMPUTED_VALUE"""),"Italy")</f>
        <v>Italy</v>
      </c>
      <c r="C1983" s="9" t="str">
        <f>IFERROR(__xludf.DUMMYFUNCTION("""COMPUTED_VALUE"""),"piedmont")</f>
        <v>piedmont</v>
      </c>
      <c r="D1983" s="9" t="str">
        <f>IFERROR(__xludf.DUMMYFUNCTION("""COMPUTED_VALUE"""),"Luciano Sandrone, Barolo, Aleste")</f>
        <v>Luciano Sandrone, Barolo, Aleste</v>
      </c>
      <c r="E1983" s="9">
        <f>IFERROR(__xludf.DUMMYFUNCTION("""COMPUTED_VALUE"""),2013.0)</f>
        <v>2013</v>
      </c>
      <c r="F1983" s="9">
        <f>IFERROR(__xludf.DUMMYFUNCTION("""COMPUTED_VALUE"""),750.0)</f>
        <v>750</v>
      </c>
      <c r="G1983" s="9">
        <f>IFERROR(__xludf.DUMMYFUNCTION("""COMPUTED_VALUE"""),6.0)</f>
        <v>6</v>
      </c>
      <c r="H1983" s="10">
        <f>IFERROR(__xludf.DUMMYFUNCTION("""COMPUTED_VALUE"""),1.0)</f>
        <v>1</v>
      </c>
      <c r="I1983" s="11">
        <f>IFERROR(__xludf.DUMMYFUNCTION("""COMPUTED_VALUE"""),755.0)</f>
        <v>755</v>
      </c>
      <c r="J1983" s="9" t="str">
        <f>IFERROR(__xludf.DUMMYFUNCTION("""COMPUTED_VALUE"""),"UK")</f>
        <v>UK</v>
      </c>
      <c r="K1983" s="8"/>
      <c r="L1983" s="12"/>
      <c r="M1983" s="13"/>
      <c r="N1983" s="13" t="str">
        <f>IFERROR(__xludf.DUMMYFUNCTION("IF(ISBLANK(M1983),"""",M1983*GOOGLEFINANCE(""USDGBP""))"),"")</f>
        <v/>
      </c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  <c r="FG1983" s="8"/>
      <c r="FH1983" s="8"/>
      <c r="FI1983" s="8"/>
      <c r="FJ1983" s="8"/>
      <c r="FK1983" s="8"/>
      <c r="FL1983" s="8"/>
      <c r="FM1983" s="8"/>
      <c r="FN1983" s="8"/>
      <c r="FO1983" s="8"/>
      <c r="FP1983" s="8"/>
      <c r="FQ1983" s="8"/>
      <c r="FR1983" s="8"/>
      <c r="FS1983" s="8"/>
      <c r="FT1983" s="8"/>
      <c r="FU1983" s="8"/>
      <c r="FV1983" s="8"/>
      <c r="FW1983" s="8"/>
      <c r="FX1983" s="8"/>
      <c r="FY1983" s="8"/>
      <c r="FZ1983" s="8"/>
      <c r="GA1983" s="8"/>
      <c r="GB1983" s="8"/>
      <c r="GC1983" s="8"/>
      <c r="GD1983" s="8"/>
      <c r="GE1983" s="8"/>
      <c r="GF1983" s="8"/>
      <c r="GG1983" s="8"/>
      <c r="GH1983" s="8"/>
      <c r="GI1983" s="8"/>
      <c r="GJ1983" s="8"/>
      <c r="GK1983" s="8"/>
      <c r="GL1983" s="8"/>
      <c r="GM1983" s="8"/>
      <c r="GN1983" s="8"/>
      <c r="GO1983" s="8"/>
      <c r="GP1983" s="8"/>
      <c r="GQ1983" s="8"/>
      <c r="GR1983" s="8"/>
      <c r="GS1983" s="8"/>
      <c r="GT1983" s="8"/>
      <c r="GU1983" s="8"/>
      <c r="GV1983" s="8"/>
      <c r="GW1983" s="8"/>
      <c r="GX1983" s="8"/>
    </row>
    <row r="1984">
      <c r="A1984" s="8" t="str">
        <f>IFERROR(__xludf.DUMMYFUNCTION("""COMPUTED_VALUE"""),"147658920140600750")</f>
        <v>147658920140600750</v>
      </c>
      <c r="B1984" s="9" t="str">
        <f>IFERROR(__xludf.DUMMYFUNCTION("""COMPUTED_VALUE"""),"Italy")</f>
        <v>Italy</v>
      </c>
      <c r="C1984" s="9" t="str">
        <f>IFERROR(__xludf.DUMMYFUNCTION("""COMPUTED_VALUE"""),"piedmont")</f>
        <v>piedmont</v>
      </c>
      <c r="D1984" s="9" t="str">
        <f>IFERROR(__xludf.DUMMYFUNCTION("""COMPUTED_VALUE"""),"Luciano Sandrone, Barolo, Aleste")</f>
        <v>Luciano Sandrone, Barolo, Aleste</v>
      </c>
      <c r="E1984" s="9">
        <f>IFERROR(__xludf.DUMMYFUNCTION("""COMPUTED_VALUE"""),2014.0)</f>
        <v>2014</v>
      </c>
      <c r="F1984" s="9">
        <f>IFERROR(__xludf.DUMMYFUNCTION("""COMPUTED_VALUE"""),750.0)</f>
        <v>750</v>
      </c>
      <c r="G1984" s="9">
        <f>IFERROR(__xludf.DUMMYFUNCTION("""COMPUTED_VALUE"""),6.0)</f>
        <v>6</v>
      </c>
      <c r="H1984" s="10">
        <f>IFERROR(__xludf.DUMMYFUNCTION("""COMPUTED_VALUE"""),8.0)</f>
        <v>8</v>
      </c>
      <c r="I1984" s="11">
        <f>IFERROR(__xludf.DUMMYFUNCTION("""COMPUTED_VALUE"""),498.0)</f>
        <v>498</v>
      </c>
      <c r="J1984" s="9" t="str">
        <f>IFERROR(__xludf.DUMMYFUNCTION("""COMPUTED_VALUE"""),"UK")</f>
        <v>UK</v>
      </c>
      <c r="K1984" s="8"/>
      <c r="L1984" s="12"/>
      <c r="M1984" s="13"/>
      <c r="N1984" s="13" t="str">
        <f>IFERROR(__xludf.DUMMYFUNCTION("IF(ISBLANK(M1984),"""",M1984*GOOGLEFINANCE(""USDGBP""))"),"")</f>
        <v/>
      </c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  <c r="FG1984" s="8"/>
      <c r="FH1984" s="8"/>
      <c r="FI1984" s="8"/>
      <c r="FJ1984" s="8"/>
      <c r="FK1984" s="8"/>
      <c r="FL1984" s="8"/>
      <c r="FM1984" s="8"/>
      <c r="FN1984" s="8"/>
      <c r="FO1984" s="8"/>
      <c r="FP1984" s="8"/>
      <c r="FQ1984" s="8"/>
      <c r="FR1984" s="8"/>
      <c r="FS1984" s="8"/>
      <c r="FT1984" s="8"/>
      <c r="FU1984" s="8"/>
      <c r="FV1984" s="8"/>
      <c r="FW1984" s="8"/>
      <c r="FX1984" s="8"/>
      <c r="FY1984" s="8"/>
      <c r="FZ1984" s="8"/>
      <c r="GA1984" s="8"/>
      <c r="GB1984" s="8"/>
      <c r="GC1984" s="8"/>
      <c r="GD1984" s="8"/>
      <c r="GE1984" s="8"/>
      <c r="GF1984" s="8"/>
      <c r="GG1984" s="8"/>
      <c r="GH1984" s="8"/>
      <c r="GI1984" s="8"/>
      <c r="GJ1984" s="8"/>
      <c r="GK1984" s="8"/>
      <c r="GL1984" s="8"/>
      <c r="GM1984" s="8"/>
      <c r="GN1984" s="8"/>
      <c r="GO1984" s="8"/>
      <c r="GP1984" s="8"/>
      <c r="GQ1984" s="8"/>
      <c r="GR1984" s="8"/>
      <c r="GS1984" s="8"/>
      <c r="GT1984" s="8"/>
      <c r="GU1984" s="8"/>
      <c r="GV1984" s="8"/>
      <c r="GW1984" s="8"/>
      <c r="GX1984" s="8"/>
    </row>
    <row r="1985">
      <c r="A1985" s="8" t="str">
        <f>IFERROR(__xludf.DUMMYFUNCTION("""COMPUTED_VALUE"""),"147658920150600750")</f>
        <v>147658920150600750</v>
      </c>
      <c r="B1985" s="9" t="str">
        <f>IFERROR(__xludf.DUMMYFUNCTION("""COMPUTED_VALUE"""),"Italy")</f>
        <v>Italy</v>
      </c>
      <c r="C1985" s="9" t="str">
        <f>IFERROR(__xludf.DUMMYFUNCTION("""COMPUTED_VALUE"""),"piedmont")</f>
        <v>piedmont</v>
      </c>
      <c r="D1985" s="9" t="str">
        <f>IFERROR(__xludf.DUMMYFUNCTION("""COMPUTED_VALUE"""),"Luciano Sandrone, Barolo, Aleste")</f>
        <v>Luciano Sandrone, Barolo, Aleste</v>
      </c>
      <c r="E1985" s="9">
        <f>IFERROR(__xludf.DUMMYFUNCTION("""COMPUTED_VALUE"""),2015.0)</f>
        <v>2015</v>
      </c>
      <c r="F1985" s="9">
        <f>IFERROR(__xludf.DUMMYFUNCTION("""COMPUTED_VALUE"""),750.0)</f>
        <v>750</v>
      </c>
      <c r="G1985" s="9">
        <f>IFERROR(__xludf.DUMMYFUNCTION("""COMPUTED_VALUE"""),6.0)</f>
        <v>6</v>
      </c>
      <c r="H1985" s="10">
        <f>IFERROR(__xludf.DUMMYFUNCTION("""COMPUTED_VALUE"""),6.0)</f>
        <v>6</v>
      </c>
      <c r="I1985" s="11">
        <f>IFERROR(__xludf.DUMMYFUNCTION("""COMPUTED_VALUE"""),498.0)</f>
        <v>498</v>
      </c>
      <c r="J1985" s="9" t="str">
        <f>IFERROR(__xludf.DUMMYFUNCTION("""COMPUTED_VALUE"""),"UK")</f>
        <v>UK</v>
      </c>
      <c r="K1985" s="8"/>
      <c r="L1985" s="12"/>
      <c r="M1985" s="13"/>
      <c r="N1985" s="13" t="str">
        <f>IFERROR(__xludf.DUMMYFUNCTION("IF(ISBLANK(M1985),"""",M1985*GOOGLEFINANCE(""USDGBP""))"),"")</f>
        <v/>
      </c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  <c r="FG1985" s="8"/>
      <c r="FH1985" s="8"/>
      <c r="FI1985" s="8"/>
      <c r="FJ1985" s="8"/>
      <c r="FK1985" s="8"/>
      <c r="FL1985" s="8"/>
      <c r="FM1985" s="8"/>
      <c r="FN1985" s="8"/>
      <c r="FO1985" s="8"/>
      <c r="FP1985" s="8"/>
      <c r="FQ1985" s="8"/>
      <c r="FR1985" s="8"/>
      <c r="FS1985" s="8"/>
      <c r="FT1985" s="8"/>
      <c r="FU1985" s="8"/>
      <c r="FV1985" s="8"/>
      <c r="FW1985" s="8"/>
      <c r="FX1985" s="8"/>
      <c r="FY1985" s="8"/>
      <c r="FZ1985" s="8"/>
      <c r="GA1985" s="8"/>
      <c r="GB1985" s="8"/>
      <c r="GC1985" s="8"/>
      <c r="GD1985" s="8"/>
      <c r="GE1985" s="8"/>
      <c r="GF1985" s="8"/>
      <c r="GG1985" s="8"/>
      <c r="GH1985" s="8"/>
      <c r="GI1985" s="8"/>
      <c r="GJ1985" s="8"/>
      <c r="GK1985" s="8"/>
      <c r="GL1985" s="8"/>
      <c r="GM1985" s="8"/>
      <c r="GN1985" s="8"/>
      <c r="GO1985" s="8"/>
      <c r="GP1985" s="8"/>
      <c r="GQ1985" s="8"/>
      <c r="GR1985" s="8"/>
      <c r="GS1985" s="8"/>
      <c r="GT1985" s="8"/>
      <c r="GU1985" s="8"/>
      <c r="GV1985" s="8"/>
      <c r="GW1985" s="8"/>
      <c r="GX1985" s="8"/>
    </row>
    <row r="1986">
      <c r="A1986" s="8" t="str">
        <f>IFERROR(__xludf.DUMMYFUNCTION("""COMPUTED_VALUE"""),"147658920160600750")</f>
        <v>147658920160600750</v>
      </c>
      <c r="B1986" s="9" t="str">
        <f>IFERROR(__xludf.DUMMYFUNCTION("""COMPUTED_VALUE"""),"Italy")</f>
        <v>Italy</v>
      </c>
      <c r="C1986" s="9" t="str">
        <f>IFERROR(__xludf.DUMMYFUNCTION("""COMPUTED_VALUE"""),"piedmont")</f>
        <v>piedmont</v>
      </c>
      <c r="D1986" s="9" t="str">
        <f>IFERROR(__xludf.DUMMYFUNCTION("""COMPUTED_VALUE"""),"Luciano Sandrone, Barolo, Aleste")</f>
        <v>Luciano Sandrone, Barolo, Aleste</v>
      </c>
      <c r="E1986" s="9">
        <f>IFERROR(__xludf.DUMMYFUNCTION("""COMPUTED_VALUE"""),2016.0)</f>
        <v>2016</v>
      </c>
      <c r="F1986" s="9">
        <f>IFERROR(__xludf.DUMMYFUNCTION("""COMPUTED_VALUE"""),750.0)</f>
        <v>750</v>
      </c>
      <c r="G1986" s="9">
        <f>IFERROR(__xludf.DUMMYFUNCTION("""COMPUTED_VALUE"""),6.0)</f>
        <v>6</v>
      </c>
      <c r="H1986" s="10">
        <f>IFERROR(__xludf.DUMMYFUNCTION("""COMPUTED_VALUE"""),3.0)</f>
        <v>3</v>
      </c>
      <c r="I1986" s="11">
        <f>IFERROR(__xludf.DUMMYFUNCTION("""COMPUTED_VALUE"""),853.0)</f>
        <v>853</v>
      </c>
      <c r="J1986" s="9" t="str">
        <f>IFERROR(__xludf.DUMMYFUNCTION("""COMPUTED_VALUE"""),"UK")</f>
        <v>UK</v>
      </c>
      <c r="K1986" s="8"/>
      <c r="L1986" s="12"/>
      <c r="M1986" s="13"/>
      <c r="N1986" s="13" t="str">
        <f>IFERROR(__xludf.DUMMYFUNCTION("IF(ISBLANK(M1986),"""",M1986*GOOGLEFINANCE(""USDGBP""))"),"")</f>
        <v/>
      </c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  <c r="FG1986" s="8"/>
      <c r="FH1986" s="8"/>
      <c r="FI1986" s="8"/>
      <c r="FJ1986" s="8"/>
      <c r="FK1986" s="8"/>
      <c r="FL1986" s="8"/>
      <c r="FM1986" s="8"/>
      <c r="FN1986" s="8"/>
      <c r="FO1986" s="8"/>
      <c r="FP1986" s="8"/>
      <c r="FQ1986" s="8"/>
      <c r="FR1986" s="8"/>
      <c r="FS1986" s="8"/>
      <c r="FT1986" s="8"/>
      <c r="FU1986" s="8"/>
      <c r="FV1986" s="8"/>
      <c r="FW1986" s="8"/>
      <c r="FX1986" s="8"/>
      <c r="FY1986" s="8"/>
      <c r="FZ1986" s="8"/>
      <c r="GA1986" s="8"/>
      <c r="GB1986" s="8"/>
      <c r="GC1986" s="8"/>
      <c r="GD1986" s="8"/>
      <c r="GE1986" s="8"/>
      <c r="GF1986" s="8"/>
      <c r="GG1986" s="8"/>
      <c r="GH1986" s="8"/>
      <c r="GI1986" s="8"/>
      <c r="GJ1986" s="8"/>
      <c r="GK1986" s="8"/>
      <c r="GL1986" s="8"/>
      <c r="GM1986" s="8"/>
      <c r="GN1986" s="8"/>
      <c r="GO1986" s="8"/>
      <c r="GP1986" s="8"/>
      <c r="GQ1986" s="8"/>
      <c r="GR1986" s="8"/>
      <c r="GS1986" s="8"/>
      <c r="GT1986" s="8"/>
      <c r="GU1986" s="8"/>
      <c r="GV1986" s="8"/>
      <c r="GW1986" s="8"/>
      <c r="GX1986" s="8"/>
    </row>
    <row r="1987">
      <c r="A1987" s="8" t="str">
        <f>IFERROR(__xludf.DUMMYFUNCTION("""COMPUTED_VALUE"""),"147658920170600750")</f>
        <v>147658920170600750</v>
      </c>
      <c r="B1987" s="9" t="str">
        <f>IFERROR(__xludf.DUMMYFUNCTION("""COMPUTED_VALUE"""),"Italy")</f>
        <v>Italy</v>
      </c>
      <c r="C1987" s="9" t="str">
        <f>IFERROR(__xludf.DUMMYFUNCTION("""COMPUTED_VALUE"""),"piedmont")</f>
        <v>piedmont</v>
      </c>
      <c r="D1987" s="9" t="str">
        <f>IFERROR(__xludf.DUMMYFUNCTION("""COMPUTED_VALUE"""),"Luciano Sandrone, Barolo, Aleste")</f>
        <v>Luciano Sandrone, Barolo, Aleste</v>
      </c>
      <c r="E1987" s="9">
        <f>IFERROR(__xludf.DUMMYFUNCTION("""COMPUTED_VALUE"""),2017.0)</f>
        <v>2017</v>
      </c>
      <c r="F1987" s="9">
        <f>IFERROR(__xludf.DUMMYFUNCTION("""COMPUTED_VALUE"""),750.0)</f>
        <v>750</v>
      </c>
      <c r="G1987" s="9">
        <f>IFERROR(__xludf.DUMMYFUNCTION("""COMPUTED_VALUE"""),6.0)</f>
        <v>6</v>
      </c>
      <c r="H1987" s="10">
        <f>IFERROR(__xludf.DUMMYFUNCTION("""COMPUTED_VALUE"""),1.0)</f>
        <v>1</v>
      </c>
      <c r="I1987" s="11">
        <f>IFERROR(__xludf.DUMMYFUNCTION("""COMPUTED_VALUE"""),459.0)</f>
        <v>459</v>
      </c>
      <c r="J1987" s="9" t="str">
        <f>IFERROR(__xludf.DUMMYFUNCTION("""COMPUTED_VALUE"""),"UK")</f>
        <v>UK</v>
      </c>
      <c r="K1987" s="8"/>
      <c r="L1987" s="12"/>
      <c r="M1987" s="13"/>
      <c r="N1987" s="13" t="str">
        <f>IFERROR(__xludf.DUMMYFUNCTION("IF(ISBLANK(M1987),"""",M1987*GOOGLEFINANCE(""USDGBP""))"),"")</f>
        <v/>
      </c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  <c r="FG1987" s="8"/>
      <c r="FH1987" s="8"/>
      <c r="FI1987" s="8"/>
      <c r="FJ1987" s="8"/>
      <c r="FK1987" s="8"/>
      <c r="FL1987" s="8"/>
      <c r="FM1987" s="8"/>
      <c r="FN1987" s="8"/>
      <c r="FO1987" s="8"/>
      <c r="FP1987" s="8"/>
      <c r="FQ1987" s="8"/>
      <c r="FR1987" s="8"/>
      <c r="FS1987" s="8"/>
      <c r="FT1987" s="8"/>
      <c r="FU1987" s="8"/>
      <c r="FV1987" s="8"/>
      <c r="FW1987" s="8"/>
      <c r="FX1987" s="8"/>
      <c r="FY1987" s="8"/>
      <c r="FZ1987" s="8"/>
      <c r="GA1987" s="8"/>
      <c r="GB1987" s="8"/>
      <c r="GC1987" s="8"/>
      <c r="GD1987" s="8"/>
      <c r="GE1987" s="8"/>
      <c r="GF1987" s="8"/>
      <c r="GG1987" s="8"/>
      <c r="GH1987" s="8"/>
      <c r="GI1987" s="8"/>
      <c r="GJ1987" s="8"/>
      <c r="GK1987" s="8"/>
      <c r="GL1987" s="8"/>
      <c r="GM1987" s="8"/>
      <c r="GN1987" s="8"/>
      <c r="GO1987" s="8"/>
      <c r="GP1987" s="8"/>
      <c r="GQ1987" s="8"/>
      <c r="GR1987" s="8"/>
      <c r="GS1987" s="8"/>
      <c r="GT1987" s="8"/>
      <c r="GU1987" s="8"/>
      <c r="GV1987" s="8"/>
      <c r="GW1987" s="8"/>
      <c r="GX1987" s="8"/>
    </row>
    <row r="1988">
      <c r="A1988" s="8" t="str">
        <f>IFERROR(__xludf.DUMMYFUNCTION("""COMPUTED_VALUE"""),"125501020100300750")</f>
        <v>125501020100300750</v>
      </c>
      <c r="B1988" s="9" t="str">
        <f>IFERROR(__xludf.DUMMYFUNCTION("""COMPUTED_VALUE"""),"Italy")</f>
        <v>Italy</v>
      </c>
      <c r="C1988" s="9" t="str">
        <f>IFERROR(__xludf.DUMMYFUNCTION("""COMPUTED_VALUE"""),"piedmont")</f>
        <v>piedmont</v>
      </c>
      <c r="D1988" s="9" t="str">
        <f>IFERROR(__xludf.DUMMYFUNCTION("""COMPUTED_VALUE"""),"Luciano Sandrone, Barolo, Cannubi Boschis Sibi et Paucis")</f>
        <v>Luciano Sandrone, Barolo, Cannubi Boschis Sibi et Paucis</v>
      </c>
      <c r="E1988" s="9">
        <f>IFERROR(__xludf.DUMMYFUNCTION("""COMPUTED_VALUE"""),2010.0)</f>
        <v>2010</v>
      </c>
      <c r="F1988" s="9">
        <f>IFERROR(__xludf.DUMMYFUNCTION("""COMPUTED_VALUE"""),750.0)</f>
        <v>750</v>
      </c>
      <c r="G1988" s="9">
        <f>IFERROR(__xludf.DUMMYFUNCTION("""COMPUTED_VALUE"""),3.0)</f>
        <v>3</v>
      </c>
      <c r="H1988" s="10">
        <f>IFERROR(__xludf.DUMMYFUNCTION("""COMPUTED_VALUE"""),1.0)</f>
        <v>1</v>
      </c>
      <c r="I1988" s="11">
        <f>IFERROR(__xludf.DUMMYFUNCTION("""COMPUTED_VALUE"""),648.0)</f>
        <v>648</v>
      </c>
      <c r="J1988" s="9" t="str">
        <f>IFERROR(__xludf.DUMMYFUNCTION("""COMPUTED_VALUE"""),"UK")</f>
        <v>UK</v>
      </c>
      <c r="K1988" s="8"/>
      <c r="L1988" s="12"/>
      <c r="M1988" s="13"/>
      <c r="N1988" s="13" t="str">
        <f>IFERROR(__xludf.DUMMYFUNCTION("IF(ISBLANK(M1988),"""",M1988*GOOGLEFINANCE(""USDGBP""))"),"")</f>
        <v/>
      </c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  <c r="FG1988" s="8"/>
      <c r="FH1988" s="8"/>
      <c r="FI1988" s="8"/>
      <c r="FJ1988" s="8"/>
      <c r="FK1988" s="8"/>
      <c r="FL1988" s="8"/>
      <c r="FM1988" s="8"/>
      <c r="FN1988" s="8"/>
      <c r="FO1988" s="8"/>
      <c r="FP1988" s="8"/>
      <c r="FQ1988" s="8"/>
      <c r="FR1988" s="8"/>
      <c r="FS1988" s="8"/>
      <c r="FT1988" s="8"/>
      <c r="FU1988" s="8"/>
      <c r="FV1988" s="8"/>
      <c r="FW1988" s="8"/>
      <c r="FX1988" s="8"/>
      <c r="FY1988" s="8"/>
      <c r="FZ1988" s="8"/>
      <c r="GA1988" s="8"/>
      <c r="GB1988" s="8"/>
      <c r="GC1988" s="8"/>
      <c r="GD1988" s="8"/>
      <c r="GE1988" s="8"/>
      <c r="GF1988" s="8"/>
      <c r="GG1988" s="8"/>
      <c r="GH1988" s="8"/>
      <c r="GI1988" s="8"/>
      <c r="GJ1988" s="8"/>
      <c r="GK1988" s="8"/>
      <c r="GL1988" s="8"/>
      <c r="GM1988" s="8"/>
      <c r="GN1988" s="8"/>
      <c r="GO1988" s="8"/>
      <c r="GP1988" s="8"/>
      <c r="GQ1988" s="8"/>
      <c r="GR1988" s="8"/>
      <c r="GS1988" s="8"/>
      <c r="GT1988" s="8"/>
      <c r="GU1988" s="8"/>
      <c r="GV1988" s="8"/>
      <c r="GW1988" s="8"/>
      <c r="GX1988" s="8"/>
    </row>
    <row r="1989">
      <c r="A1989" s="8" t="str">
        <f>IFERROR(__xludf.DUMMYFUNCTION("""COMPUTED_VALUE"""),"110471220080600750")</f>
        <v>110471220080600750</v>
      </c>
      <c r="B1989" s="9" t="str">
        <f>IFERROR(__xludf.DUMMYFUNCTION("""COMPUTED_VALUE"""),"Italy")</f>
        <v>Italy</v>
      </c>
      <c r="C1989" s="9" t="str">
        <f>IFERROR(__xludf.DUMMYFUNCTION("""COMPUTED_VALUE"""),"piedmont")</f>
        <v>piedmont</v>
      </c>
      <c r="D1989" s="9" t="str">
        <f>IFERROR(__xludf.DUMMYFUNCTION("""COMPUTED_VALUE"""),"Luciano Sandrone, Barolo, Vigne")</f>
        <v>Luciano Sandrone, Barolo, Vigne</v>
      </c>
      <c r="E1989" s="9">
        <f>IFERROR(__xludf.DUMMYFUNCTION("""COMPUTED_VALUE"""),2008.0)</f>
        <v>2008</v>
      </c>
      <c r="F1989" s="9">
        <f>IFERROR(__xludf.DUMMYFUNCTION("""COMPUTED_VALUE"""),750.0)</f>
        <v>750</v>
      </c>
      <c r="G1989" s="9">
        <f>IFERROR(__xludf.DUMMYFUNCTION("""COMPUTED_VALUE"""),6.0)</f>
        <v>6</v>
      </c>
      <c r="H1989" s="10">
        <f>IFERROR(__xludf.DUMMYFUNCTION("""COMPUTED_VALUE"""),2.0)</f>
        <v>2</v>
      </c>
      <c r="I1989" s="11">
        <f>IFERROR(__xludf.DUMMYFUNCTION("""COMPUTED_VALUE"""),809.0)</f>
        <v>809</v>
      </c>
      <c r="J1989" s="9" t="str">
        <f>IFERROR(__xludf.DUMMYFUNCTION("""COMPUTED_VALUE"""),"UK")</f>
        <v>UK</v>
      </c>
      <c r="K1989" s="8"/>
      <c r="L1989" s="12"/>
      <c r="M1989" s="13"/>
      <c r="N1989" s="13" t="str">
        <f>IFERROR(__xludf.DUMMYFUNCTION("IF(ISBLANK(M1989),"""",M1989*GOOGLEFINANCE(""USDGBP""))"),"")</f>
        <v/>
      </c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  <c r="FG1989" s="8"/>
      <c r="FH1989" s="8"/>
      <c r="FI1989" s="8"/>
      <c r="FJ1989" s="8"/>
      <c r="FK1989" s="8"/>
      <c r="FL1989" s="8"/>
      <c r="FM1989" s="8"/>
      <c r="FN1989" s="8"/>
      <c r="FO1989" s="8"/>
      <c r="FP1989" s="8"/>
      <c r="FQ1989" s="8"/>
      <c r="FR1989" s="8"/>
      <c r="FS1989" s="8"/>
      <c r="FT1989" s="8"/>
      <c r="FU1989" s="8"/>
      <c r="FV1989" s="8"/>
      <c r="FW1989" s="8"/>
      <c r="FX1989" s="8"/>
      <c r="FY1989" s="8"/>
      <c r="FZ1989" s="8"/>
      <c r="GA1989" s="8"/>
      <c r="GB1989" s="8"/>
      <c r="GC1989" s="8"/>
      <c r="GD1989" s="8"/>
      <c r="GE1989" s="8"/>
      <c r="GF1989" s="8"/>
      <c r="GG1989" s="8"/>
      <c r="GH1989" s="8"/>
      <c r="GI1989" s="8"/>
      <c r="GJ1989" s="8"/>
      <c r="GK1989" s="8"/>
      <c r="GL1989" s="8"/>
      <c r="GM1989" s="8"/>
      <c r="GN1989" s="8"/>
      <c r="GO1989" s="8"/>
      <c r="GP1989" s="8"/>
      <c r="GQ1989" s="8"/>
      <c r="GR1989" s="8"/>
      <c r="GS1989" s="8"/>
      <c r="GT1989" s="8"/>
      <c r="GU1989" s="8"/>
      <c r="GV1989" s="8"/>
      <c r="GW1989" s="8"/>
      <c r="GX1989" s="8"/>
    </row>
    <row r="1990">
      <c r="A1990" s="8" t="str">
        <f>IFERROR(__xludf.DUMMYFUNCTION("""COMPUTED_VALUE"""),"110471220100600750")</f>
        <v>110471220100600750</v>
      </c>
      <c r="B1990" s="9" t="str">
        <f>IFERROR(__xludf.DUMMYFUNCTION("""COMPUTED_VALUE"""),"Italy")</f>
        <v>Italy</v>
      </c>
      <c r="C1990" s="9" t="str">
        <f>IFERROR(__xludf.DUMMYFUNCTION("""COMPUTED_VALUE"""),"piedmont")</f>
        <v>piedmont</v>
      </c>
      <c r="D1990" s="9" t="str">
        <f>IFERROR(__xludf.DUMMYFUNCTION("""COMPUTED_VALUE"""),"Luciano Sandrone, Barolo, Vigne")</f>
        <v>Luciano Sandrone, Barolo, Vigne</v>
      </c>
      <c r="E1990" s="9">
        <f>IFERROR(__xludf.DUMMYFUNCTION("""COMPUTED_VALUE"""),2010.0)</f>
        <v>2010</v>
      </c>
      <c r="F1990" s="9">
        <f>IFERROR(__xludf.DUMMYFUNCTION("""COMPUTED_VALUE"""),750.0)</f>
        <v>750</v>
      </c>
      <c r="G1990" s="9">
        <f>IFERROR(__xludf.DUMMYFUNCTION("""COMPUTED_VALUE"""),6.0)</f>
        <v>6</v>
      </c>
      <c r="H1990" s="10">
        <f>IFERROR(__xludf.DUMMYFUNCTION("""COMPUTED_VALUE"""),1.0)</f>
        <v>1</v>
      </c>
      <c r="I1990" s="11">
        <f>IFERROR(__xludf.DUMMYFUNCTION("""COMPUTED_VALUE"""),1184.0)</f>
        <v>1184</v>
      </c>
      <c r="J1990" s="9" t="str">
        <f>IFERROR(__xludf.DUMMYFUNCTION("""COMPUTED_VALUE"""),"UK")</f>
        <v>UK</v>
      </c>
      <c r="K1990" s="8"/>
      <c r="L1990" s="12"/>
      <c r="M1990" s="13"/>
      <c r="N1990" s="13" t="str">
        <f>IFERROR(__xludf.DUMMYFUNCTION("IF(ISBLANK(M1990),"""",M1990*GOOGLEFINANCE(""USDGBP""))"),"")</f>
        <v/>
      </c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  <c r="FG1990" s="8"/>
      <c r="FH1990" s="8"/>
      <c r="FI1990" s="8"/>
      <c r="FJ1990" s="8"/>
      <c r="FK1990" s="8"/>
      <c r="FL1990" s="8"/>
      <c r="FM1990" s="8"/>
      <c r="FN1990" s="8"/>
      <c r="FO1990" s="8"/>
      <c r="FP1990" s="8"/>
      <c r="FQ1990" s="8"/>
      <c r="FR1990" s="8"/>
      <c r="FS1990" s="8"/>
      <c r="FT1990" s="8"/>
      <c r="FU1990" s="8"/>
      <c r="FV1990" s="8"/>
      <c r="FW1990" s="8"/>
      <c r="FX1990" s="8"/>
      <c r="FY1990" s="8"/>
      <c r="FZ1990" s="8"/>
      <c r="GA1990" s="8"/>
      <c r="GB1990" s="8"/>
      <c r="GC1990" s="8"/>
      <c r="GD1990" s="8"/>
      <c r="GE1990" s="8"/>
      <c r="GF1990" s="8"/>
      <c r="GG1990" s="8"/>
      <c r="GH1990" s="8"/>
      <c r="GI1990" s="8"/>
      <c r="GJ1990" s="8"/>
      <c r="GK1990" s="8"/>
      <c r="GL1990" s="8"/>
      <c r="GM1990" s="8"/>
      <c r="GN1990" s="8"/>
      <c r="GO1990" s="8"/>
      <c r="GP1990" s="8"/>
      <c r="GQ1990" s="8"/>
      <c r="GR1990" s="8"/>
      <c r="GS1990" s="8"/>
      <c r="GT1990" s="8"/>
      <c r="GU1990" s="8"/>
      <c r="GV1990" s="8"/>
      <c r="GW1990" s="8"/>
      <c r="GX1990" s="8"/>
    </row>
    <row r="1991">
      <c r="A1991" s="8" t="str">
        <f>IFERROR(__xludf.DUMMYFUNCTION("""COMPUTED_VALUE"""),"110471220110600750")</f>
        <v>110471220110600750</v>
      </c>
      <c r="B1991" s="9" t="str">
        <f>IFERROR(__xludf.DUMMYFUNCTION("""COMPUTED_VALUE"""),"Italy")</f>
        <v>Italy</v>
      </c>
      <c r="C1991" s="9" t="str">
        <f>IFERROR(__xludf.DUMMYFUNCTION("""COMPUTED_VALUE"""),"piedmont")</f>
        <v>piedmont</v>
      </c>
      <c r="D1991" s="9" t="str">
        <f>IFERROR(__xludf.DUMMYFUNCTION("""COMPUTED_VALUE"""),"Luciano Sandrone, Barolo, Vigne")</f>
        <v>Luciano Sandrone, Barolo, Vigne</v>
      </c>
      <c r="E1991" s="9">
        <f>IFERROR(__xludf.DUMMYFUNCTION("""COMPUTED_VALUE"""),2011.0)</f>
        <v>2011</v>
      </c>
      <c r="F1991" s="9">
        <f>IFERROR(__xludf.DUMMYFUNCTION("""COMPUTED_VALUE"""),750.0)</f>
        <v>750</v>
      </c>
      <c r="G1991" s="9">
        <f>IFERROR(__xludf.DUMMYFUNCTION("""COMPUTED_VALUE"""),6.0)</f>
        <v>6</v>
      </c>
      <c r="H1991" s="10">
        <f>IFERROR(__xludf.DUMMYFUNCTION("""COMPUTED_VALUE"""),9.0)</f>
        <v>9</v>
      </c>
      <c r="I1991" s="11">
        <f>IFERROR(__xludf.DUMMYFUNCTION("""COMPUTED_VALUE"""),454.0)</f>
        <v>454</v>
      </c>
      <c r="J1991" s="9" t="str">
        <f>IFERROR(__xludf.DUMMYFUNCTION("""COMPUTED_VALUE"""),"UK")</f>
        <v>UK</v>
      </c>
      <c r="K1991" s="8"/>
      <c r="L1991" s="12"/>
      <c r="M1991" s="13"/>
      <c r="N1991" s="13" t="str">
        <f>IFERROR(__xludf.DUMMYFUNCTION("IF(ISBLANK(M1991),"""",M1991*GOOGLEFINANCE(""USDGBP""))"),"")</f>
        <v/>
      </c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  <c r="FG1991" s="8"/>
      <c r="FH1991" s="8"/>
      <c r="FI1991" s="8"/>
      <c r="FJ1991" s="8"/>
      <c r="FK1991" s="8"/>
      <c r="FL1991" s="8"/>
      <c r="FM1991" s="8"/>
      <c r="FN1991" s="8"/>
      <c r="FO1991" s="8"/>
      <c r="FP1991" s="8"/>
      <c r="FQ1991" s="8"/>
      <c r="FR1991" s="8"/>
      <c r="FS1991" s="8"/>
      <c r="FT1991" s="8"/>
      <c r="FU1991" s="8"/>
      <c r="FV1991" s="8"/>
      <c r="FW1991" s="8"/>
      <c r="FX1991" s="8"/>
      <c r="FY1991" s="8"/>
      <c r="FZ1991" s="8"/>
      <c r="GA1991" s="8"/>
      <c r="GB1991" s="8"/>
      <c r="GC1991" s="8"/>
      <c r="GD1991" s="8"/>
      <c r="GE1991" s="8"/>
      <c r="GF1991" s="8"/>
      <c r="GG1991" s="8"/>
      <c r="GH1991" s="8"/>
      <c r="GI1991" s="8"/>
      <c r="GJ1991" s="8"/>
      <c r="GK1991" s="8"/>
      <c r="GL1991" s="8"/>
      <c r="GM1991" s="8"/>
      <c r="GN1991" s="8"/>
      <c r="GO1991" s="8"/>
      <c r="GP1991" s="8"/>
      <c r="GQ1991" s="8"/>
      <c r="GR1991" s="8"/>
      <c r="GS1991" s="8"/>
      <c r="GT1991" s="8"/>
      <c r="GU1991" s="8"/>
      <c r="GV1991" s="8"/>
      <c r="GW1991" s="8"/>
      <c r="GX1991" s="8"/>
    </row>
    <row r="1992">
      <c r="A1992" s="8" t="str">
        <f>IFERROR(__xludf.DUMMYFUNCTION("""COMPUTED_VALUE"""),"110471220120600750")</f>
        <v>110471220120600750</v>
      </c>
      <c r="B1992" s="9" t="str">
        <f>IFERROR(__xludf.DUMMYFUNCTION("""COMPUTED_VALUE"""),"Italy")</f>
        <v>Italy</v>
      </c>
      <c r="C1992" s="9" t="str">
        <f>IFERROR(__xludf.DUMMYFUNCTION("""COMPUTED_VALUE"""),"piedmont")</f>
        <v>piedmont</v>
      </c>
      <c r="D1992" s="9" t="str">
        <f>IFERROR(__xludf.DUMMYFUNCTION("""COMPUTED_VALUE"""),"Luciano Sandrone, Barolo, Vigne")</f>
        <v>Luciano Sandrone, Barolo, Vigne</v>
      </c>
      <c r="E1992" s="9">
        <f>IFERROR(__xludf.DUMMYFUNCTION("""COMPUTED_VALUE"""),2012.0)</f>
        <v>2012</v>
      </c>
      <c r="F1992" s="9">
        <f>IFERROR(__xludf.DUMMYFUNCTION("""COMPUTED_VALUE"""),750.0)</f>
        <v>750</v>
      </c>
      <c r="G1992" s="9">
        <f>IFERROR(__xludf.DUMMYFUNCTION("""COMPUTED_VALUE"""),6.0)</f>
        <v>6</v>
      </c>
      <c r="H1992" s="10">
        <f>IFERROR(__xludf.DUMMYFUNCTION("""COMPUTED_VALUE"""),1.0)</f>
        <v>1</v>
      </c>
      <c r="I1992" s="11">
        <f>IFERROR(__xludf.DUMMYFUNCTION("""COMPUTED_VALUE"""),431.0)</f>
        <v>431</v>
      </c>
      <c r="J1992" s="9" t="str">
        <f>IFERROR(__xludf.DUMMYFUNCTION("""COMPUTED_VALUE"""),"UK")</f>
        <v>UK</v>
      </c>
      <c r="K1992" s="8"/>
      <c r="L1992" s="12"/>
      <c r="M1992" s="13"/>
      <c r="N1992" s="13" t="str">
        <f>IFERROR(__xludf.DUMMYFUNCTION("IF(ISBLANK(M1992),"""",M1992*GOOGLEFINANCE(""USDGBP""))"),"")</f>
        <v/>
      </c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  <c r="FG1992" s="8"/>
      <c r="FH1992" s="8"/>
      <c r="FI1992" s="8"/>
      <c r="FJ1992" s="8"/>
      <c r="FK1992" s="8"/>
      <c r="FL1992" s="8"/>
      <c r="FM1992" s="8"/>
      <c r="FN1992" s="8"/>
      <c r="FO1992" s="8"/>
      <c r="FP1992" s="8"/>
      <c r="FQ1992" s="8"/>
      <c r="FR1992" s="8"/>
      <c r="FS1992" s="8"/>
      <c r="FT1992" s="8"/>
      <c r="FU1992" s="8"/>
      <c r="FV1992" s="8"/>
      <c r="FW1992" s="8"/>
      <c r="FX1992" s="8"/>
      <c r="FY1992" s="8"/>
      <c r="FZ1992" s="8"/>
      <c r="GA1992" s="8"/>
      <c r="GB1992" s="8"/>
      <c r="GC1992" s="8"/>
      <c r="GD1992" s="8"/>
      <c r="GE1992" s="8"/>
      <c r="GF1992" s="8"/>
      <c r="GG1992" s="8"/>
      <c r="GH1992" s="8"/>
      <c r="GI1992" s="8"/>
      <c r="GJ1992" s="8"/>
      <c r="GK1992" s="8"/>
      <c r="GL1992" s="8"/>
      <c r="GM1992" s="8"/>
      <c r="GN1992" s="8"/>
      <c r="GO1992" s="8"/>
      <c r="GP1992" s="8"/>
      <c r="GQ1992" s="8"/>
      <c r="GR1992" s="8"/>
      <c r="GS1992" s="8"/>
      <c r="GT1992" s="8"/>
      <c r="GU1992" s="8"/>
      <c r="GV1992" s="8"/>
      <c r="GW1992" s="8"/>
      <c r="GX1992" s="8"/>
    </row>
    <row r="1993">
      <c r="A1993" s="8" t="str">
        <f>IFERROR(__xludf.DUMMYFUNCTION("""COMPUTED_VALUE"""),"110471220130600750")</f>
        <v>110471220130600750</v>
      </c>
      <c r="B1993" s="9" t="str">
        <f>IFERROR(__xludf.DUMMYFUNCTION("""COMPUTED_VALUE"""),"Italy")</f>
        <v>Italy</v>
      </c>
      <c r="C1993" s="9" t="str">
        <f>IFERROR(__xludf.DUMMYFUNCTION("""COMPUTED_VALUE"""),"piedmont")</f>
        <v>piedmont</v>
      </c>
      <c r="D1993" s="9" t="str">
        <f>IFERROR(__xludf.DUMMYFUNCTION("""COMPUTED_VALUE"""),"Luciano Sandrone, Barolo, Vigne")</f>
        <v>Luciano Sandrone, Barolo, Vigne</v>
      </c>
      <c r="E1993" s="9">
        <f>IFERROR(__xludf.DUMMYFUNCTION("""COMPUTED_VALUE"""),2013.0)</f>
        <v>2013</v>
      </c>
      <c r="F1993" s="9">
        <f>IFERROR(__xludf.DUMMYFUNCTION("""COMPUTED_VALUE"""),750.0)</f>
        <v>750</v>
      </c>
      <c r="G1993" s="9">
        <f>IFERROR(__xludf.DUMMYFUNCTION("""COMPUTED_VALUE"""),6.0)</f>
        <v>6</v>
      </c>
      <c r="H1993" s="10">
        <f>IFERROR(__xludf.DUMMYFUNCTION("""COMPUTED_VALUE"""),1.0)</f>
        <v>1</v>
      </c>
      <c r="I1993" s="11">
        <f>IFERROR(__xludf.DUMMYFUNCTION("""COMPUTED_VALUE"""),688.0)</f>
        <v>688</v>
      </c>
      <c r="J1993" s="9" t="str">
        <f>IFERROR(__xludf.DUMMYFUNCTION("""COMPUTED_VALUE"""),"UK")</f>
        <v>UK</v>
      </c>
      <c r="K1993" s="8"/>
      <c r="L1993" s="12"/>
      <c r="M1993" s="13"/>
      <c r="N1993" s="13" t="str">
        <f>IFERROR(__xludf.DUMMYFUNCTION("IF(ISBLANK(M1993),"""",M1993*GOOGLEFINANCE(""USDGBP""))"),"")</f>
        <v/>
      </c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  <c r="FG1993" s="8"/>
      <c r="FH1993" s="8"/>
      <c r="FI1993" s="8"/>
      <c r="FJ1993" s="8"/>
      <c r="FK1993" s="8"/>
      <c r="FL1993" s="8"/>
      <c r="FM1993" s="8"/>
      <c r="FN1993" s="8"/>
      <c r="FO1993" s="8"/>
      <c r="FP1993" s="8"/>
      <c r="FQ1993" s="8"/>
      <c r="FR1993" s="8"/>
      <c r="FS1993" s="8"/>
      <c r="FT1993" s="8"/>
      <c r="FU1993" s="8"/>
      <c r="FV1993" s="8"/>
      <c r="FW1993" s="8"/>
      <c r="FX1993" s="8"/>
      <c r="FY1993" s="8"/>
      <c r="FZ1993" s="8"/>
      <c r="GA1993" s="8"/>
      <c r="GB1993" s="8"/>
      <c r="GC1993" s="8"/>
      <c r="GD1993" s="8"/>
      <c r="GE1993" s="8"/>
      <c r="GF1993" s="8"/>
      <c r="GG1993" s="8"/>
      <c r="GH1993" s="8"/>
      <c r="GI1993" s="8"/>
      <c r="GJ1993" s="8"/>
      <c r="GK1993" s="8"/>
      <c r="GL1993" s="8"/>
      <c r="GM1993" s="8"/>
      <c r="GN1993" s="8"/>
      <c r="GO1993" s="8"/>
      <c r="GP1993" s="8"/>
      <c r="GQ1993" s="8"/>
      <c r="GR1993" s="8"/>
      <c r="GS1993" s="8"/>
      <c r="GT1993" s="8"/>
      <c r="GU1993" s="8"/>
      <c r="GV1993" s="8"/>
      <c r="GW1993" s="8"/>
      <c r="GX1993" s="8"/>
    </row>
    <row r="1994">
      <c r="A1994" s="8" t="str">
        <f>IFERROR(__xludf.DUMMYFUNCTION("""COMPUTED_VALUE"""),"110471220140600750")</f>
        <v>110471220140600750</v>
      </c>
      <c r="B1994" s="9" t="str">
        <f>IFERROR(__xludf.DUMMYFUNCTION("""COMPUTED_VALUE"""),"Italy")</f>
        <v>Italy</v>
      </c>
      <c r="C1994" s="9" t="str">
        <f>IFERROR(__xludf.DUMMYFUNCTION("""COMPUTED_VALUE"""),"piedmont")</f>
        <v>piedmont</v>
      </c>
      <c r="D1994" s="9" t="str">
        <f>IFERROR(__xludf.DUMMYFUNCTION("""COMPUTED_VALUE"""),"Luciano Sandrone, Barolo, Vigne")</f>
        <v>Luciano Sandrone, Barolo, Vigne</v>
      </c>
      <c r="E1994" s="9">
        <f>IFERROR(__xludf.DUMMYFUNCTION("""COMPUTED_VALUE"""),2014.0)</f>
        <v>2014</v>
      </c>
      <c r="F1994" s="9">
        <f>IFERROR(__xludf.DUMMYFUNCTION("""COMPUTED_VALUE"""),750.0)</f>
        <v>750</v>
      </c>
      <c r="G1994" s="9">
        <f>IFERROR(__xludf.DUMMYFUNCTION("""COMPUTED_VALUE"""),6.0)</f>
        <v>6</v>
      </c>
      <c r="H1994" s="10">
        <f>IFERROR(__xludf.DUMMYFUNCTION("""COMPUTED_VALUE"""),1.0)</f>
        <v>1</v>
      </c>
      <c r="I1994" s="11">
        <f>IFERROR(__xludf.DUMMYFUNCTION("""COMPUTED_VALUE"""),410.0)</f>
        <v>410</v>
      </c>
      <c r="J1994" s="9" t="str">
        <f>IFERROR(__xludf.DUMMYFUNCTION("""COMPUTED_VALUE"""),"UK")</f>
        <v>UK</v>
      </c>
      <c r="K1994" s="8"/>
      <c r="L1994" s="12"/>
      <c r="M1994" s="13"/>
      <c r="N1994" s="13" t="str">
        <f>IFERROR(__xludf.DUMMYFUNCTION("IF(ISBLANK(M1994),"""",M1994*GOOGLEFINANCE(""USDGBP""))"),"")</f>
        <v/>
      </c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  <c r="FG1994" s="8"/>
      <c r="FH1994" s="8"/>
      <c r="FI1994" s="8"/>
      <c r="FJ1994" s="8"/>
      <c r="FK1994" s="8"/>
      <c r="FL1994" s="8"/>
      <c r="FM1994" s="8"/>
      <c r="FN1994" s="8"/>
      <c r="FO1994" s="8"/>
      <c r="FP1994" s="8"/>
      <c r="FQ1994" s="8"/>
      <c r="FR1994" s="8"/>
      <c r="FS1994" s="8"/>
      <c r="FT1994" s="8"/>
      <c r="FU1994" s="8"/>
      <c r="FV1994" s="8"/>
      <c r="FW1994" s="8"/>
      <c r="FX1994" s="8"/>
      <c r="FY1994" s="8"/>
      <c r="FZ1994" s="8"/>
      <c r="GA1994" s="8"/>
      <c r="GB1994" s="8"/>
      <c r="GC1994" s="8"/>
      <c r="GD1994" s="8"/>
      <c r="GE1994" s="8"/>
      <c r="GF1994" s="8"/>
      <c r="GG1994" s="8"/>
      <c r="GH1994" s="8"/>
      <c r="GI1994" s="8"/>
      <c r="GJ1994" s="8"/>
      <c r="GK1994" s="8"/>
      <c r="GL1994" s="8"/>
      <c r="GM1994" s="8"/>
      <c r="GN1994" s="8"/>
      <c r="GO1994" s="8"/>
      <c r="GP1994" s="8"/>
      <c r="GQ1994" s="8"/>
      <c r="GR1994" s="8"/>
      <c r="GS1994" s="8"/>
      <c r="GT1994" s="8"/>
      <c r="GU1994" s="8"/>
      <c r="GV1994" s="8"/>
      <c r="GW1994" s="8"/>
      <c r="GX1994" s="8"/>
    </row>
    <row r="1995">
      <c r="A1995" s="8" t="str">
        <f>IFERROR(__xludf.DUMMYFUNCTION("""COMPUTED_VALUE"""),"110471220150600750")</f>
        <v>110471220150600750</v>
      </c>
      <c r="B1995" s="9" t="str">
        <f>IFERROR(__xludf.DUMMYFUNCTION("""COMPUTED_VALUE"""),"Italy")</f>
        <v>Italy</v>
      </c>
      <c r="C1995" s="9" t="str">
        <f>IFERROR(__xludf.DUMMYFUNCTION("""COMPUTED_VALUE"""),"piedmont")</f>
        <v>piedmont</v>
      </c>
      <c r="D1995" s="9" t="str">
        <f>IFERROR(__xludf.DUMMYFUNCTION("""COMPUTED_VALUE"""),"Luciano Sandrone, Barolo, Vigne")</f>
        <v>Luciano Sandrone, Barolo, Vigne</v>
      </c>
      <c r="E1995" s="9">
        <f>IFERROR(__xludf.DUMMYFUNCTION("""COMPUTED_VALUE"""),2015.0)</f>
        <v>2015</v>
      </c>
      <c r="F1995" s="9">
        <f>IFERROR(__xludf.DUMMYFUNCTION("""COMPUTED_VALUE"""),750.0)</f>
        <v>750</v>
      </c>
      <c r="G1995" s="9">
        <f>IFERROR(__xludf.DUMMYFUNCTION("""COMPUTED_VALUE"""),6.0)</f>
        <v>6</v>
      </c>
      <c r="H1995" s="10">
        <f>IFERROR(__xludf.DUMMYFUNCTION("""COMPUTED_VALUE"""),1.0)</f>
        <v>1</v>
      </c>
      <c r="I1995" s="11">
        <f>IFERROR(__xludf.DUMMYFUNCTION("""COMPUTED_VALUE"""),414.0)</f>
        <v>414</v>
      </c>
      <c r="J1995" s="9" t="str">
        <f>IFERROR(__xludf.DUMMYFUNCTION("""COMPUTED_VALUE"""),"UK")</f>
        <v>UK</v>
      </c>
      <c r="K1995" s="8"/>
      <c r="L1995" s="12"/>
      <c r="M1995" s="13"/>
      <c r="N1995" s="13" t="str">
        <f>IFERROR(__xludf.DUMMYFUNCTION("IF(ISBLANK(M1995),"""",M1995*GOOGLEFINANCE(""USDGBP""))"),"")</f>
        <v/>
      </c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  <c r="FG1995" s="8"/>
      <c r="FH1995" s="8"/>
      <c r="FI1995" s="8"/>
      <c r="FJ1995" s="8"/>
      <c r="FK1995" s="8"/>
      <c r="FL1995" s="8"/>
      <c r="FM1995" s="8"/>
      <c r="FN1995" s="8"/>
      <c r="FO1995" s="8"/>
      <c r="FP1995" s="8"/>
      <c r="FQ1995" s="8"/>
      <c r="FR1995" s="8"/>
      <c r="FS1995" s="8"/>
      <c r="FT1995" s="8"/>
      <c r="FU1995" s="8"/>
      <c r="FV1995" s="8"/>
      <c r="FW1995" s="8"/>
      <c r="FX1995" s="8"/>
      <c r="FY1995" s="8"/>
      <c r="FZ1995" s="8"/>
      <c r="GA1995" s="8"/>
      <c r="GB1995" s="8"/>
      <c r="GC1995" s="8"/>
      <c r="GD1995" s="8"/>
      <c r="GE1995" s="8"/>
      <c r="GF1995" s="8"/>
      <c r="GG1995" s="8"/>
      <c r="GH1995" s="8"/>
      <c r="GI1995" s="8"/>
      <c r="GJ1995" s="8"/>
      <c r="GK1995" s="8"/>
      <c r="GL1995" s="8"/>
      <c r="GM1995" s="8"/>
      <c r="GN1995" s="8"/>
      <c r="GO1995" s="8"/>
      <c r="GP1995" s="8"/>
      <c r="GQ1995" s="8"/>
      <c r="GR1995" s="8"/>
      <c r="GS1995" s="8"/>
      <c r="GT1995" s="8"/>
      <c r="GU1995" s="8"/>
      <c r="GV1995" s="8"/>
      <c r="GW1995" s="8"/>
      <c r="GX1995" s="8"/>
    </row>
    <row r="1996">
      <c r="A1996" s="8" t="str">
        <f>IFERROR(__xludf.DUMMYFUNCTION("""COMPUTED_VALUE"""),"110471220160600750")</f>
        <v>110471220160600750</v>
      </c>
      <c r="B1996" s="9" t="str">
        <f>IFERROR(__xludf.DUMMYFUNCTION("""COMPUTED_VALUE"""),"Italy")</f>
        <v>Italy</v>
      </c>
      <c r="C1996" s="9" t="str">
        <f>IFERROR(__xludf.DUMMYFUNCTION("""COMPUTED_VALUE"""),"piedmont")</f>
        <v>piedmont</v>
      </c>
      <c r="D1996" s="9" t="str">
        <f>IFERROR(__xludf.DUMMYFUNCTION("""COMPUTED_VALUE"""),"Luciano Sandrone, Barolo, Vigne")</f>
        <v>Luciano Sandrone, Barolo, Vigne</v>
      </c>
      <c r="E1996" s="9">
        <f>IFERROR(__xludf.DUMMYFUNCTION("""COMPUTED_VALUE"""),2016.0)</f>
        <v>2016</v>
      </c>
      <c r="F1996" s="9">
        <f>IFERROR(__xludf.DUMMYFUNCTION("""COMPUTED_VALUE"""),750.0)</f>
        <v>750</v>
      </c>
      <c r="G1996" s="9">
        <f>IFERROR(__xludf.DUMMYFUNCTION("""COMPUTED_VALUE"""),6.0)</f>
        <v>6</v>
      </c>
      <c r="H1996" s="10">
        <f>IFERROR(__xludf.DUMMYFUNCTION("""COMPUTED_VALUE"""),6.0)</f>
        <v>6</v>
      </c>
      <c r="I1996" s="11">
        <f>IFERROR(__xludf.DUMMYFUNCTION("""COMPUTED_VALUE"""),1091.0)</f>
        <v>1091</v>
      </c>
      <c r="J1996" s="9" t="str">
        <f>IFERROR(__xludf.DUMMYFUNCTION("""COMPUTED_VALUE"""),"UK")</f>
        <v>UK</v>
      </c>
      <c r="K1996" s="8"/>
      <c r="L1996" s="12"/>
      <c r="M1996" s="13"/>
      <c r="N1996" s="13" t="str">
        <f>IFERROR(__xludf.DUMMYFUNCTION("IF(ISBLANK(M1996),"""",M1996*GOOGLEFINANCE(""USDGBP""))"),"")</f>
        <v/>
      </c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  <c r="FG1996" s="8"/>
      <c r="FH1996" s="8"/>
      <c r="FI1996" s="8"/>
      <c r="FJ1996" s="8"/>
      <c r="FK1996" s="8"/>
      <c r="FL1996" s="8"/>
      <c r="FM1996" s="8"/>
      <c r="FN1996" s="8"/>
      <c r="FO1996" s="8"/>
      <c r="FP1996" s="8"/>
      <c r="FQ1996" s="8"/>
      <c r="FR1996" s="8"/>
      <c r="FS1996" s="8"/>
      <c r="FT1996" s="8"/>
      <c r="FU1996" s="8"/>
      <c r="FV1996" s="8"/>
      <c r="FW1996" s="8"/>
      <c r="FX1996" s="8"/>
      <c r="FY1996" s="8"/>
      <c r="FZ1996" s="8"/>
      <c r="GA1996" s="8"/>
      <c r="GB1996" s="8"/>
      <c r="GC1996" s="8"/>
      <c r="GD1996" s="8"/>
      <c r="GE1996" s="8"/>
      <c r="GF1996" s="8"/>
      <c r="GG1996" s="8"/>
      <c r="GH1996" s="8"/>
      <c r="GI1996" s="8"/>
      <c r="GJ1996" s="8"/>
      <c r="GK1996" s="8"/>
      <c r="GL1996" s="8"/>
      <c r="GM1996" s="8"/>
      <c r="GN1996" s="8"/>
      <c r="GO1996" s="8"/>
      <c r="GP1996" s="8"/>
      <c r="GQ1996" s="8"/>
      <c r="GR1996" s="8"/>
      <c r="GS1996" s="8"/>
      <c r="GT1996" s="8"/>
      <c r="GU1996" s="8"/>
      <c r="GV1996" s="8"/>
      <c r="GW1996" s="8"/>
      <c r="GX1996" s="8"/>
    </row>
    <row r="1997">
      <c r="A1997" s="8" t="str">
        <f>IFERROR(__xludf.DUMMYFUNCTION("""COMPUTED_VALUE"""),"110471220170600750")</f>
        <v>110471220170600750</v>
      </c>
      <c r="B1997" s="9" t="str">
        <f>IFERROR(__xludf.DUMMYFUNCTION("""COMPUTED_VALUE"""),"Italy")</f>
        <v>Italy</v>
      </c>
      <c r="C1997" s="9" t="str">
        <f>IFERROR(__xludf.DUMMYFUNCTION("""COMPUTED_VALUE"""),"piedmont")</f>
        <v>piedmont</v>
      </c>
      <c r="D1997" s="9" t="str">
        <f>IFERROR(__xludf.DUMMYFUNCTION("""COMPUTED_VALUE"""),"Luciano Sandrone, Barolo, Vigne")</f>
        <v>Luciano Sandrone, Barolo, Vigne</v>
      </c>
      <c r="E1997" s="9">
        <f>IFERROR(__xludf.DUMMYFUNCTION("""COMPUTED_VALUE"""),2017.0)</f>
        <v>2017</v>
      </c>
      <c r="F1997" s="9">
        <f>IFERROR(__xludf.DUMMYFUNCTION("""COMPUTED_VALUE"""),750.0)</f>
        <v>750</v>
      </c>
      <c r="G1997" s="9">
        <f>IFERROR(__xludf.DUMMYFUNCTION("""COMPUTED_VALUE"""),6.0)</f>
        <v>6</v>
      </c>
      <c r="H1997" s="10">
        <f>IFERROR(__xludf.DUMMYFUNCTION("""COMPUTED_VALUE"""),3.0)</f>
        <v>3</v>
      </c>
      <c r="I1997" s="11">
        <f>IFERROR(__xludf.DUMMYFUNCTION("""COMPUTED_VALUE"""),381.0)</f>
        <v>381</v>
      </c>
      <c r="J1997" s="9" t="str">
        <f>IFERROR(__xludf.DUMMYFUNCTION("""COMPUTED_VALUE"""),"UK")</f>
        <v>UK</v>
      </c>
      <c r="K1997" s="8"/>
      <c r="L1997" s="12"/>
      <c r="M1997" s="13"/>
      <c r="N1997" s="13" t="str">
        <f>IFERROR(__xludf.DUMMYFUNCTION("IF(ISBLANK(M1997),"""",M1997*GOOGLEFINANCE(""USDGBP""))"),"")</f>
        <v/>
      </c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  <c r="FG1997" s="8"/>
      <c r="FH1997" s="8"/>
      <c r="FI1997" s="8"/>
      <c r="FJ1997" s="8"/>
      <c r="FK1997" s="8"/>
      <c r="FL1997" s="8"/>
      <c r="FM1997" s="8"/>
      <c r="FN1997" s="8"/>
      <c r="FO1997" s="8"/>
      <c r="FP1997" s="8"/>
      <c r="FQ1997" s="8"/>
      <c r="FR1997" s="8"/>
      <c r="FS1997" s="8"/>
      <c r="FT1997" s="8"/>
      <c r="FU1997" s="8"/>
      <c r="FV1997" s="8"/>
      <c r="FW1997" s="8"/>
      <c r="FX1997" s="8"/>
      <c r="FY1997" s="8"/>
      <c r="FZ1997" s="8"/>
      <c r="GA1997" s="8"/>
      <c r="GB1997" s="8"/>
      <c r="GC1997" s="8"/>
      <c r="GD1997" s="8"/>
      <c r="GE1997" s="8"/>
      <c r="GF1997" s="8"/>
      <c r="GG1997" s="8"/>
      <c r="GH1997" s="8"/>
      <c r="GI1997" s="8"/>
      <c r="GJ1997" s="8"/>
      <c r="GK1997" s="8"/>
      <c r="GL1997" s="8"/>
      <c r="GM1997" s="8"/>
      <c r="GN1997" s="8"/>
      <c r="GO1997" s="8"/>
      <c r="GP1997" s="8"/>
      <c r="GQ1997" s="8"/>
      <c r="GR1997" s="8"/>
      <c r="GS1997" s="8"/>
      <c r="GT1997" s="8"/>
      <c r="GU1997" s="8"/>
      <c r="GV1997" s="8"/>
      <c r="GW1997" s="8"/>
      <c r="GX1997" s="8"/>
    </row>
    <row r="1998">
      <c r="A1998" s="8" t="str">
        <f>IFERROR(__xludf.DUMMYFUNCTION("""COMPUTED_VALUE"""),"174202220100300750")</f>
        <v>174202220100300750</v>
      </c>
      <c r="B1998" s="9" t="str">
        <f>IFERROR(__xludf.DUMMYFUNCTION("""COMPUTED_VALUE"""),"Italy")</f>
        <v>Italy</v>
      </c>
      <c r="C1998" s="9" t="str">
        <f>IFERROR(__xludf.DUMMYFUNCTION("""COMPUTED_VALUE"""),"piedmont")</f>
        <v>piedmont</v>
      </c>
      <c r="D1998" s="9" t="str">
        <f>IFERROR(__xludf.DUMMYFUNCTION("""COMPUTED_VALUE"""),"Luciano Sandrone, Barolo, Vigne Sibi Paucis")</f>
        <v>Luciano Sandrone, Barolo, Vigne Sibi Paucis</v>
      </c>
      <c r="E1998" s="9">
        <f>IFERROR(__xludf.DUMMYFUNCTION("""COMPUTED_VALUE"""),2010.0)</f>
        <v>2010</v>
      </c>
      <c r="F1998" s="9">
        <f>IFERROR(__xludf.DUMMYFUNCTION("""COMPUTED_VALUE"""),750.0)</f>
        <v>750</v>
      </c>
      <c r="G1998" s="9">
        <f>IFERROR(__xludf.DUMMYFUNCTION("""COMPUTED_VALUE"""),3.0)</f>
        <v>3</v>
      </c>
      <c r="H1998" s="10">
        <f>IFERROR(__xludf.DUMMYFUNCTION("""COMPUTED_VALUE"""),1.0)</f>
        <v>1</v>
      </c>
      <c r="I1998" s="11">
        <f>IFERROR(__xludf.DUMMYFUNCTION("""COMPUTED_VALUE"""),569.0)</f>
        <v>569</v>
      </c>
      <c r="J1998" s="9" t="str">
        <f>IFERROR(__xludf.DUMMYFUNCTION("""COMPUTED_VALUE"""),"UK")</f>
        <v>UK</v>
      </c>
      <c r="K1998" s="8"/>
      <c r="L1998" s="12"/>
      <c r="M1998" s="13"/>
      <c r="N1998" s="13" t="str">
        <f>IFERROR(__xludf.DUMMYFUNCTION("IF(ISBLANK(M1998),"""",M1998*GOOGLEFINANCE(""USDGBP""))"),"")</f>
        <v/>
      </c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  <c r="FG1998" s="8"/>
      <c r="FH1998" s="8"/>
      <c r="FI1998" s="8"/>
      <c r="FJ1998" s="8"/>
      <c r="FK1998" s="8"/>
      <c r="FL1998" s="8"/>
      <c r="FM1998" s="8"/>
      <c r="FN1998" s="8"/>
      <c r="FO1998" s="8"/>
      <c r="FP1998" s="8"/>
      <c r="FQ1998" s="8"/>
      <c r="FR1998" s="8"/>
      <c r="FS1998" s="8"/>
      <c r="FT1998" s="8"/>
      <c r="FU1998" s="8"/>
      <c r="FV1998" s="8"/>
      <c r="FW1998" s="8"/>
      <c r="FX1998" s="8"/>
      <c r="FY1998" s="8"/>
      <c r="FZ1998" s="8"/>
      <c r="GA1998" s="8"/>
      <c r="GB1998" s="8"/>
      <c r="GC1998" s="8"/>
      <c r="GD1998" s="8"/>
      <c r="GE1998" s="8"/>
      <c r="GF1998" s="8"/>
      <c r="GG1998" s="8"/>
      <c r="GH1998" s="8"/>
      <c r="GI1998" s="8"/>
      <c r="GJ1998" s="8"/>
      <c r="GK1998" s="8"/>
      <c r="GL1998" s="8"/>
      <c r="GM1998" s="8"/>
      <c r="GN1998" s="8"/>
      <c r="GO1998" s="8"/>
      <c r="GP1998" s="8"/>
      <c r="GQ1998" s="8"/>
      <c r="GR1998" s="8"/>
      <c r="GS1998" s="8"/>
      <c r="GT1998" s="8"/>
      <c r="GU1998" s="8"/>
      <c r="GV1998" s="8"/>
      <c r="GW1998" s="8"/>
      <c r="GX1998" s="8"/>
    </row>
    <row r="1999">
      <c r="A1999" s="8" t="str">
        <f>IFERROR(__xludf.DUMMYFUNCTION("""COMPUTED_VALUE"""),"185435620140100750")</f>
        <v>185435620140100750</v>
      </c>
      <c r="B1999" s="9" t="str">
        <f>IFERROR(__xludf.DUMMYFUNCTION("""COMPUTED_VALUE"""),"Italy")</f>
        <v>Italy</v>
      </c>
      <c r="C1999" s="9" t="str">
        <f>IFERROR(__xludf.DUMMYFUNCTION("""COMPUTED_VALUE"""),"piedmont")</f>
        <v>piedmont</v>
      </c>
      <c r="D1999" s="9" t="str">
        <f>IFERROR(__xludf.DUMMYFUNCTION("""COMPUTED_VALUE"""),"Luciano Sandrone, Barolo, Vite Talin")</f>
        <v>Luciano Sandrone, Barolo, Vite Talin</v>
      </c>
      <c r="E1999" s="9">
        <f>IFERROR(__xludf.DUMMYFUNCTION("""COMPUTED_VALUE"""),2014.0)</f>
        <v>2014</v>
      </c>
      <c r="F1999" s="9">
        <f>IFERROR(__xludf.DUMMYFUNCTION("""COMPUTED_VALUE"""),750.0)</f>
        <v>750</v>
      </c>
      <c r="G1999" s="9">
        <f>IFERROR(__xludf.DUMMYFUNCTION("""COMPUTED_VALUE"""),1.0)</f>
        <v>1</v>
      </c>
      <c r="H1999" s="10">
        <f>IFERROR(__xludf.DUMMYFUNCTION("""COMPUTED_VALUE"""),1.0)</f>
        <v>1</v>
      </c>
      <c r="I1999" s="11">
        <f>IFERROR(__xludf.DUMMYFUNCTION("""COMPUTED_VALUE"""),294.0)</f>
        <v>294</v>
      </c>
      <c r="J1999" s="9" t="str">
        <f>IFERROR(__xludf.DUMMYFUNCTION("""COMPUTED_VALUE"""),"UK")</f>
        <v>UK</v>
      </c>
      <c r="K1999" s="8"/>
      <c r="L1999" s="12"/>
      <c r="M1999" s="13"/>
      <c r="N1999" s="13" t="str">
        <f>IFERROR(__xludf.DUMMYFUNCTION("IF(ISBLANK(M1999),"""",M1999*GOOGLEFINANCE(""USDGBP""))"),"")</f>
        <v/>
      </c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  <c r="FG1999" s="8"/>
      <c r="FH1999" s="8"/>
      <c r="FI1999" s="8"/>
      <c r="FJ1999" s="8"/>
      <c r="FK1999" s="8"/>
      <c r="FL1999" s="8"/>
      <c r="FM1999" s="8"/>
      <c r="FN1999" s="8"/>
      <c r="FO1999" s="8"/>
      <c r="FP1999" s="8"/>
      <c r="FQ1999" s="8"/>
      <c r="FR1999" s="8"/>
      <c r="FS1999" s="8"/>
      <c r="FT1999" s="8"/>
      <c r="FU1999" s="8"/>
      <c r="FV1999" s="8"/>
      <c r="FW1999" s="8"/>
      <c r="FX1999" s="8"/>
      <c r="FY1999" s="8"/>
      <c r="FZ1999" s="8"/>
      <c r="GA1999" s="8"/>
      <c r="GB1999" s="8"/>
      <c r="GC1999" s="8"/>
      <c r="GD1999" s="8"/>
      <c r="GE1999" s="8"/>
      <c r="GF1999" s="8"/>
      <c r="GG1999" s="8"/>
      <c r="GH1999" s="8"/>
      <c r="GI1999" s="8"/>
      <c r="GJ1999" s="8"/>
      <c r="GK1999" s="8"/>
      <c r="GL1999" s="8"/>
      <c r="GM1999" s="8"/>
      <c r="GN1999" s="8"/>
      <c r="GO1999" s="8"/>
      <c r="GP1999" s="8"/>
      <c r="GQ1999" s="8"/>
      <c r="GR1999" s="8"/>
      <c r="GS1999" s="8"/>
      <c r="GT1999" s="8"/>
      <c r="GU1999" s="8"/>
      <c r="GV1999" s="8"/>
      <c r="GW1999" s="8"/>
      <c r="GX1999" s="8"/>
    </row>
    <row r="2000">
      <c r="A2000" s="8" t="str">
        <f>IFERROR(__xludf.DUMMYFUNCTION("""COMPUTED_VALUE"""),"110142120161200750")</f>
        <v>110142120161200750</v>
      </c>
      <c r="B2000" s="9" t="str">
        <f>IFERROR(__xludf.DUMMYFUNCTION("""COMPUTED_VALUE"""),"Italy")</f>
        <v>Italy</v>
      </c>
      <c r="C2000" s="9" t="str">
        <f>IFERROR(__xludf.DUMMYFUNCTION("""COMPUTED_VALUE"""),"piedmont")</f>
        <v>piedmont</v>
      </c>
      <c r="D2000" s="9" t="str">
        <f>IFERROR(__xludf.DUMMYFUNCTION("""COMPUTED_VALUE"""),"Massolino, Barolo")</f>
        <v>Massolino, Barolo</v>
      </c>
      <c r="E2000" s="9">
        <f>IFERROR(__xludf.DUMMYFUNCTION("""COMPUTED_VALUE"""),2016.0)</f>
        <v>2016</v>
      </c>
      <c r="F2000" s="9">
        <f>IFERROR(__xludf.DUMMYFUNCTION("""COMPUTED_VALUE"""),750.0)</f>
        <v>750</v>
      </c>
      <c r="G2000" s="9">
        <f>IFERROR(__xludf.DUMMYFUNCTION("""COMPUTED_VALUE"""),12.0)</f>
        <v>12</v>
      </c>
      <c r="H2000" s="10">
        <f>IFERROR(__xludf.DUMMYFUNCTION("""COMPUTED_VALUE"""),3.0)</f>
        <v>3</v>
      </c>
      <c r="I2000" s="11">
        <f>IFERROR(__xludf.DUMMYFUNCTION("""COMPUTED_VALUE"""),469.0)</f>
        <v>469</v>
      </c>
      <c r="J2000" s="9" t="str">
        <f>IFERROR(__xludf.DUMMYFUNCTION("""COMPUTED_VALUE"""),"UK")</f>
        <v>UK</v>
      </c>
      <c r="K2000" s="8"/>
      <c r="L2000" s="12"/>
      <c r="M2000" s="13"/>
      <c r="N2000" s="13" t="str">
        <f>IFERROR(__xludf.DUMMYFUNCTION("IF(ISBLANK(M2000),"""",M2000*GOOGLEFINANCE(""USDGBP""))"),"")</f>
        <v/>
      </c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  <c r="FG2000" s="8"/>
      <c r="FH2000" s="8"/>
      <c r="FI2000" s="8"/>
      <c r="FJ2000" s="8"/>
      <c r="FK2000" s="8"/>
      <c r="FL2000" s="8"/>
      <c r="FM2000" s="8"/>
      <c r="FN2000" s="8"/>
      <c r="FO2000" s="8"/>
      <c r="FP2000" s="8"/>
      <c r="FQ2000" s="8"/>
      <c r="FR2000" s="8"/>
      <c r="FS2000" s="8"/>
      <c r="FT2000" s="8"/>
      <c r="FU2000" s="8"/>
      <c r="FV2000" s="8"/>
      <c r="FW2000" s="8"/>
      <c r="FX2000" s="8"/>
      <c r="FY2000" s="8"/>
      <c r="FZ2000" s="8"/>
      <c r="GA2000" s="8"/>
      <c r="GB2000" s="8"/>
      <c r="GC2000" s="8"/>
      <c r="GD2000" s="8"/>
      <c r="GE2000" s="8"/>
      <c r="GF2000" s="8"/>
      <c r="GG2000" s="8"/>
      <c r="GH2000" s="8"/>
      <c r="GI2000" s="8"/>
      <c r="GJ2000" s="8"/>
      <c r="GK2000" s="8"/>
      <c r="GL2000" s="8"/>
      <c r="GM2000" s="8"/>
      <c r="GN2000" s="8"/>
      <c r="GO2000" s="8"/>
      <c r="GP2000" s="8"/>
      <c r="GQ2000" s="8"/>
      <c r="GR2000" s="8"/>
      <c r="GS2000" s="8"/>
      <c r="GT2000" s="8"/>
      <c r="GU2000" s="8"/>
      <c r="GV2000" s="8"/>
      <c r="GW2000" s="8"/>
      <c r="GX2000" s="8"/>
    </row>
    <row r="2001">
      <c r="A2001" s="8" t="str">
        <f>IFERROR(__xludf.DUMMYFUNCTION("""COMPUTED_VALUE"""),"110143420150600750")</f>
        <v>110143420150600750</v>
      </c>
      <c r="B2001" s="9" t="str">
        <f>IFERROR(__xludf.DUMMYFUNCTION("""COMPUTED_VALUE"""),"Italy")</f>
        <v>Italy</v>
      </c>
      <c r="C2001" s="9" t="str">
        <f>IFERROR(__xludf.DUMMYFUNCTION("""COMPUTED_VALUE"""),"piedmont")</f>
        <v>piedmont</v>
      </c>
      <c r="D2001" s="9" t="str">
        <f>IFERROR(__xludf.DUMMYFUNCTION("""COMPUTED_VALUE"""),"Massolino, Barolo, Margheria")</f>
        <v>Massolino, Barolo, Margheria</v>
      </c>
      <c r="E2001" s="9">
        <f>IFERROR(__xludf.DUMMYFUNCTION("""COMPUTED_VALUE"""),2015.0)</f>
        <v>2015</v>
      </c>
      <c r="F2001" s="9">
        <f>IFERROR(__xludf.DUMMYFUNCTION("""COMPUTED_VALUE"""),750.0)</f>
        <v>750</v>
      </c>
      <c r="G2001" s="9">
        <f>IFERROR(__xludf.DUMMYFUNCTION("""COMPUTED_VALUE"""),6.0)</f>
        <v>6</v>
      </c>
      <c r="H2001" s="10">
        <f>IFERROR(__xludf.DUMMYFUNCTION("""COMPUTED_VALUE"""),1.0)</f>
        <v>1</v>
      </c>
      <c r="I2001" s="11">
        <f>IFERROR(__xludf.DUMMYFUNCTION("""COMPUTED_VALUE"""),316.0)</f>
        <v>316</v>
      </c>
      <c r="J2001" s="9" t="str">
        <f>IFERROR(__xludf.DUMMYFUNCTION("""COMPUTED_VALUE"""),"UK")</f>
        <v>UK</v>
      </c>
      <c r="K2001" s="8"/>
      <c r="L2001" s="12"/>
      <c r="M2001" s="13"/>
      <c r="N2001" s="13" t="str">
        <f>IFERROR(__xludf.DUMMYFUNCTION("IF(ISBLANK(M2001),"""",M2001*GOOGLEFINANCE(""USDGBP""))"),"")</f>
        <v/>
      </c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  <c r="FG2001" s="8"/>
      <c r="FH2001" s="8"/>
      <c r="FI2001" s="8"/>
      <c r="FJ2001" s="8"/>
      <c r="FK2001" s="8"/>
      <c r="FL2001" s="8"/>
      <c r="FM2001" s="8"/>
      <c r="FN2001" s="8"/>
      <c r="FO2001" s="8"/>
      <c r="FP2001" s="8"/>
      <c r="FQ2001" s="8"/>
      <c r="FR2001" s="8"/>
      <c r="FS2001" s="8"/>
      <c r="FT2001" s="8"/>
      <c r="FU2001" s="8"/>
      <c r="FV2001" s="8"/>
      <c r="FW2001" s="8"/>
      <c r="FX2001" s="8"/>
      <c r="FY2001" s="8"/>
      <c r="FZ2001" s="8"/>
      <c r="GA2001" s="8"/>
      <c r="GB2001" s="8"/>
      <c r="GC2001" s="8"/>
      <c r="GD2001" s="8"/>
      <c r="GE2001" s="8"/>
      <c r="GF2001" s="8"/>
      <c r="GG2001" s="8"/>
      <c r="GH2001" s="8"/>
      <c r="GI2001" s="8"/>
      <c r="GJ2001" s="8"/>
      <c r="GK2001" s="8"/>
      <c r="GL2001" s="8"/>
      <c r="GM2001" s="8"/>
      <c r="GN2001" s="8"/>
      <c r="GO2001" s="8"/>
      <c r="GP2001" s="8"/>
      <c r="GQ2001" s="8"/>
      <c r="GR2001" s="8"/>
      <c r="GS2001" s="8"/>
      <c r="GT2001" s="8"/>
      <c r="GU2001" s="8"/>
      <c r="GV2001" s="8"/>
      <c r="GW2001" s="8"/>
      <c r="GX2001" s="8"/>
    </row>
    <row r="2002">
      <c r="A2002" s="8" t="str">
        <f>IFERROR(__xludf.DUMMYFUNCTION("""COMPUTED_VALUE"""),"110143420170600750")</f>
        <v>110143420170600750</v>
      </c>
      <c r="B2002" s="9" t="str">
        <f>IFERROR(__xludf.DUMMYFUNCTION("""COMPUTED_VALUE"""),"Italy")</f>
        <v>Italy</v>
      </c>
      <c r="C2002" s="9" t="str">
        <f>IFERROR(__xludf.DUMMYFUNCTION("""COMPUTED_VALUE"""),"piedmont")</f>
        <v>piedmont</v>
      </c>
      <c r="D2002" s="9" t="str">
        <f>IFERROR(__xludf.DUMMYFUNCTION("""COMPUTED_VALUE"""),"Massolino, Barolo, Margheria")</f>
        <v>Massolino, Barolo, Margheria</v>
      </c>
      <c r="E2002" s="9">
        <f>IFERROR(__xludf.DUMMYFUNCTION("""COMPUTED_VALUE"""),2017.0)</f>
        <v>2017</v>
      </c>
      <c r="F2002" s="9">
        <f>IFERROR(__xludf.DUMMYFUNCTION("""COMPUTED_VALUE"""),750.0)</f>
        <v>750</v>
      </c>
      <c r="G2002" s="9">
        <f>IFERROR(__xludf.DUMMYFUNCTION("""COMPUTED_VALUE"""),6.0)</f>
        <v>6</v>
      </c>
      <c r="H2002" s="10">
        <f>IFERROR(__xludf.DUMMYFUNCTION("""COMPUTED_VALUE"""),1.0)</f>
        <v>1</v>
      </c>
      <c r="I2002" s="11">
        <f>IFERROR(__xludf.DUMMYFUNCTION("""COMPUTED_VALUE"""),320.0)</f>
        <v>320</v>
      </c>
      <c r="J2002" s="9" t="str">
        <f>IFERROR(__xludf.DUMMYFUNCTION("""COMPUTED_VALUE"""),"UK")</f>
        <v>UK</v>
      </c>
      <c r="K2002" s="8"/>
      <c r="L2002" s="12"/>
      <c r="M2002" s="13"/>
      <c r="N2002" s="13" t="str">
        <f>IFERROR(__xludf.DUMMYFUNCTION("IF(ISBLANK(M2002),"""",M2002*GOOGLEFINANCE(""USDGBP""))"),"")</f>
        <v/>
      </c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  <c r="FG2002" s="8"/>
      <c r="FH2002" s="8"/>
      <c r="FI2002" s="8"/>
      <c r="FJ2002" s="8"/>
      <c r="FK2002" s="8"/>
      <c r="FL2002" s="8"/>
      <c r="FM2002" s="8"/>
      <c r="FN2002" s="8"/>
      <c r="FO2002" s="8"/>
      <c r="FP2002" s="8"/>
      <c r="FQ2002" s="8"/>
      <c r="FR2002" s="8"/>
      <c r="FS2002" s="8"/>
      <c r="FT2002" s="8"/>
      <c r="FU2002" s="8"/>
      <c r="FV2002" s="8"/>
      <c r="FW2002" s="8"/>
      <c r="FX2002" s="8"/>
      <c r="FY2002" s="8"/>
      <c r="FZ2002" s="8"/>
      <c r="GA2002" s="8"/>
      <c r="GB2002" s="8"/>
      <c r="GC2002" s="8"/>
      <c r="GD2002" s="8"/>
      <c r="GE2002" s="8"/>
      <c r="GF2002" s="8"/>
      <c r="GG2002" s="8"/>
      <c r="GH2002" s="8"/>
      <c r="GI2002" s="8"/>
      <c r="GJ2002" s="8"/>
      <c r="GK2002" s="8"/>
      <c r="GL2002" s="8"/>
      <c r="GM2002" s="8"/>
      <c r="GN2002" s="8"/>
      <c r="GO2002" s="8"/>
      <c r="GP2002" s="8"/>
      <c r="GQ2002" s="8"/>
      <c r="GR2002" s="8"/>
      <c r="GS2002" s="8"/>
      <c r="GT2002" s="8"/>
      <c r="GU2002" s="8"/>
      <c r="GV2002" s="8"/>
      <c r="GW2002" s="8"/>
      <c r="GX2002" s="8"/>
    </row>
    <row r="2003">
      <c r="A2003" s="8" t="str">
        <f>IFERROR(__xludf.DUMMYFUNCTION("""COMPUTED_VALUE"""),"110144720160600750")</f>
        <v>110144720160600750</v>
      </c>
      <c r="B2003" s="9" t="str">
        <f>IFERROR(__xludf.DUMMYFUNCTION("""COMPUTED_VALUE"""),"Italy")</f>
        <v>Italy</v>
      </c>
      <c r="C2003" s="9" t="str">
        <f>IFERROR(__xludf.DUMMYFUNCTION("""COMPUTED_VALUE"""),"piedmont")</f>
        <v>piedmont</v>
      </c>
      <c r="D2003" s="9" t="str">
        <f>IFERROR(__xludf.DUMMYFUNCTION("""COMPUTED_VALUE"""),"Massolino, Barolo, Parafada")</f>
        <v>Massolino, Barolo, Parafada</v>
      </c>
      <c r="E2003" s="9">
        <f>IFERROR(__xludf.DUMMYFUNCTION("""COMPUTED_VALUE"""),2016.0)</f>
        <v>2016</v>
      </c>
      <c r="F2003" s="9">
        <f>IFERROR(__xludf.DUMMYFUNCTION("""COMPUTED_VALUE"""),750.0)</f>
        <v>750</v>
      </c>
      <c r="G2003" s="9">
        <f>IFERROR(__xludf.DUMMYFUNCTION("""COMPUTED_VALUE"""),6.0)</f>
        <v>6</v>
      </c>
      <c r="H2003" s="10">
        <f>IFERROR(__xludf.DUMMYFUNCTION("""COMPUTED_VALUE"""),1.0)</f>
        <v>1</v>
      </c>
      <c r="I2003" s="11">
        <f>IFERROR(__xludf.DUMMYFUNCTION("""COMPUTED_VALUE"""),532.0)</f>
        <v>532</v>
      </c>
      <c r="J2003" s="9" t="str">
        <f>IFERROR(__xludf.DUMMYFUNCTION("""COMPUTED_VALUE"""),"UK")</f>
        <v>UK</v>
      </c>
      <c r="K2003" s="8"/>
      <c r="L2003" s="12"/>
      <c r="M2003" s="13"/>
      <c r="N2003" s="13" t="str">
        <f>IFERROR(__xludf.DUMMYFUNCTION("IF(ISBLANK(M2003),"""",M2003*GOOGLEFINANCE(""USDGBP""))"),"")</f>
        <v/>
      </c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  <c r="FG2003" s="8"/>
      <c r="FH2003" s="8"/>
      <c r="FI2003" s="8"/>
      <c r="FJ2003" s="8"/>
      <c r="FK2003" s="8"/>
      <c r="FL2003" s="8"/>
      <c r="FM2003" s="8"/>
      <c r="FN2003" s="8"/>
      <c r="FO2003" s="8"/>
      <c r="FP2003" s="8"/>
      <c r="FQ2003" s="8"/>
      <c r="FR2003" s="8"/>
      <c r="FS2003" s="8"/>
      <c r="FT2003" s="8"/>
      <c r="FU2003" s="8"/>
      <c r="FV2003" s="8"/>
      <c r="FW2003" s="8"/>
      <c r="FX2003" s="8"/>
      <c r="FY2003" s="8"/>
      <c r="FZ2003" s="8"/>
      <c r="GA2003" s="8"/>
      <c r="GB2003" s="8"/>
      <c r="GC2003" s="8"/>
      <c r="GD2003" s="8"/>
      <c r="GE2003" s="8"/>
      <c r="GF2003" s="8"/>
      <c r="GG2003" s="8"/>
      <c r="GH2003" s="8"/>
      <c r="GI2003" s="8"/>
      <c r="GJ2003" s="8"/>
      <c r="GK2003" s="8"/>
      <c r="GL2003" s="8"/>
      <c r="GM2003" s="8"/>
      <c r="GN2003" s="8"/>
      <c r="GO2003" s="8"/>
      <c r="GP2003" s="8"/>
      <c r="GQ2003" s="8"/>
      <c r="GR2003" s="8"/>
      <c r="GS2003" s="8"/>
      <c r="GT2003" s="8"/>
      <c r="GU2003" s="8"/>
      <c r="GV2003" s="8"/>
      <c r="GW2003" s="8"/>
      <c r="GX2003" s="8"/>
    </row>
    <row r="2004">
      <c r="A2004" s="8" t="str">
        <f>IFERROR(__xludf.DUMMYFUNCTION("""COMPUTED_VALUE"""),"110145020130600750")</f>
        <v>110145020130600750</v>
      </c>
      <c r="B2004" s="9" t="str">
        <f>IFERROR(__xludf.DUMMYFUNCTION("""COMPUTED_VALUE"""),"Italy")</f>
        <v>Italy</v>
      </c>
      <c r="C2004" s="9" t="str">
        <f>IFERROR(__xludf.DUMMYFUNCTION("""COMPUTED_VALUE"""),"piedmont")</f>
        <v>piedmont</v>
      </c>
      <c r="D2004" s="9" t="str">
        <f>IFERROR(__xludf.DUMMYFUNCTION("""COMPUTED_VALUE"""),"Massolino, Barolo, Vignarionda Riserva")</f>
        <v>Massolino, Barolo, Vignarionda Riserva</v>
      </c>
      <c r="E2004" s="9">
        <f>IFERROR(__xludf.DUMMYFUNCTION("""COMPUTED_VALUE"""),2013.0)</f>
        <v>2013</v>
      </c>
      <c r="F2004" s="9">
        <f>IFERROR(__xludf.DUMMYFUNCTION("""COMPUTED_VALUE"""),750.0)</f>
        <v>750</v>
      </c>
      <c r="G2004" s="9">
        <f>IFERROR(__xludf.DUMMYFUNCTION("""COMPUTED_VALUE"""),6.0)</f>
        <v>6</v>
      </c>
      <c r="H2004" s="10">
        <f>IFERROR(__xludf.DUMMYFUNCTION("""COMPUTED_VALUE"""),1.0)</f>
        <v>1</v>
      </c>
      <c r="I2004" s="11">
        <f>IFERROR(__xludf.DUMMYFUNCTION("""COMPUTED_VALUE"""),663.0)</f>
        <v>663</v>
      </c>
      <c r="J2004" s="9" t="str">
        <f>IFERROR(__xludf.DUMMYFUNCTION("""COMPUTED_VALUE"""),"UK")</f>
        <v>UK</v>
      </c>
      <c r="K2004" s="8"/>
      <c r="L2004" s="12"/>
      <c r="M2004" s="13"/>
      <c r="N2004" s="13" t="str">
        <f>IFERROR(__xludf.DUMMYFUNCTION("IF(ISBLANK(M2004),"""",M2004*GOOGLEFINANCE(""USDGBP""))"),"")</f>
        <v/>
      </c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  <c r="FG2004" s="8"/>
      <c r="FH2004" s="8"/>
      <c r="FI2004" s="8"/>
      <c r="FJ2004" s="8"/>
      <c r="FK2004" s="8"/>
      <c r="FL2004" s="8"/>
      <c r="FM2004" s="8"/>
      <c r="FN2004" s="8"/>
      <c r="FO2004" s="8"/>
      <c r="FP2004" s="8"/>
      <c r="FQ2004" s="8"/>
      <c r="FR2004" s="8"/>
      <c r="FS2004" s="8"/>
      <c r="FT2004" s="8"/>
      <c r="FU2004" s="8"/>
      <c r="FV2004" s="8"/>
      <c r="FW2004" s="8"/>
      <c r="FX2004" s="8"/>
      <c r="FY2004" s="8"/>
      <c r="FZ2004" s="8"/>
      <c r="GA2004" s="8"/>
      <c r="GB2004" s="8"/>
      <c r="GC2004" s="8"/>
      <c r="GD2004" s="8"/>
      <c r="GE2004" s="8"/>
      <c r="GF2004" s="8"/>
      <c r="GG2004" s="8"/>
      <c r="GH2004" s="8"/>
      <c r="GI2004" s="8"/>
      <c r="GJ2004" s="8"/>
      <c r="GK2004" s="8"/>
      <c r="GL2004" s="8"/>
      <c r="GM2004" s="8"/>
      <c r="GN2004" s="8"/>
      <c r="GO2004" s="8"/>
      <c r="GP2004" s="8"/>
      <c r="GQ2004" s="8"/>
      <c r="GR2004" s="8"/>
      <c r="GS2004" s="8"/>
      <c r="GT2004" s="8"/>
      <c r="GU2004" s="8"/>
      <c r="GV2004" s="8"/>
      <c r="GW2004" s="8"/>
      <c r="GX2004" s="8"/>
    </row>
    <row r="2005">
      <c r="A2005" s="8" t="str">
        <f>IFERROR(__xludf.DUMMYFUNCTION("""COMPUTED_VALUE"""),"110145020150600750")</f>
        <v>110145020150600750</v>
      </c>
      <c r="B2005" s="9" t="str">
        <f>IFERROR(__xludf.DUMMYFUNCTION("""COMPUTED_VALUE"""),"Italy")</f>
        <v>Italy</v>
      </c>
      <c r="C2005" s="9" t="str">
        <f>IFERROR(__xludf.DUMMYFUNCTION("""COMPUTED_VALUE"""),"piedmont")</f>
        <v>piedmont</v>
      </c>
      <c r="D2005" s="9" t="str">
        <f>IFERROR(__xludf.DUMMYFUNCTION("""COMPUTED_VALUE"""),"Massolino, Barolo, Vignarionda Riserva")</f>
        <v>Massolino, Barolo, Vignarionda Riserva</v>
      </c>
      <c r="E2005" s="9">
        <f>IFERROR(__xludf.DUMMYFUNCTION("""COMPUTED_VALUE"""),2015.0)</f>
        <v>2015</v>
      </c>
      <c r="F2005" s="9">
        <f>IFERROR(__xludf.DUMMYFUNCTION("""COMPUTED_VALUE"""),750.0)</f>
        <v>750</v>
      </c>
      <c r="G2005" s="9">
        <f>IFERROR(__xludf.DUMMYFUNCTION("""COMPUTED_VALUE"""),6.0)</f>
        <v>6</v>
      </c>
      <c r="H2005" s="10">
        <f>IFERROR(__xludf.DUMMYFUNCTION("""COMPUTED_VALUE"""),4.0)</f>
        <v>4</v>
      </c>
      <c r="I2005" s="11">
        <f>IFERROR(__xludf.DUMMYFUNCTION("""COMPUTED_VALUE"""),688.0)</f>
        <v>688</v>
      </c>
      <c r="J2005" s="9" t="str">
        <f>IFERROR(__xludf.DUMMYFUNCTION("""COMPUTED_VALUE"""),"UK")</f>
        <v>UK</v>
      </c>
      <c r="K2005" s="8"/>
      <c r="L2005" s="12"/>
      <c r="M2005" s="13"/>
      <c r="N2005" s="13" t="str">
        <f>IFERROR(__xludf.DUMMYFUNCTION("IF(ISBLANK(M2005),"""",M2005*GOOGLEFINANCE(""USDGBP""))"),"")</f>
        <v/>
      </c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  <c r="FG2005" s="8"/>
      <c r="FH2005" s="8"/>
      <c r="FI2005" s="8"/>
      <c r="FJ2005" s="8"/>
      <c r="FK2005" s="8"/>
      <c r="FL2005" s="8"/>
      <c r="FM2005" s="8"/>
      <c r="FN2005" s="8"/>
      <c r="FO2005" s="8"/>
      <c r="FP2005" s="8"/>
      <c r="FQ2005" s="8"/>
      <c r="FR2005" s="8"/>
      <c r="FS2005" s="8"/>
      <c r="FT2005" s="8"/>
      <c r="FU2005" s="8"/>
      <c r="FV2005" s="8"/>
      <c r="FW2005" s="8"/>
      <c r="FX2005" s="8"/>
      <c r="FY2005" s="8"/>
      <c r="FZ2005" s="8"/>
      <c r="GA2005" s="8"/>
      <c r="GB2005" s="8"/>
      <c r="GC2005" s="8"/>
      <c r="GD2005" s="8"/>
      <c r="GE2005" s="8"/>
      <c r="GF2005" s="8"/>
      <c r="GG2005" s="8"/>
      <c r="GH2005" s="8"/>
      <c r="GI2005" s="8"/>
      <c r="GJ2005" s="8"/>
      <c r="GK2005" s="8"/>
      <c r="GL2005" s="8"/>
      <c r="GM2005" s="8"/>
      <c r="GN2005" s="8"/>
      <c r="GO2005" s="8"/>
      <c r="GP2005" s="8"/>
      <c r="GQ2005" s="8"/>
      <c r="GR2005" s="8"/>
      <c r="GS2005" s="8"/>
      <c r="GT2005" s="8"/>
      <c r="GU2005" s="8"/>
      <c r="GV2005" s="8"/>
      <c r="GW2005" s="8"/>
      <c r="GX2005" s="8"/>
    </row>
    <row r="2006">
      <c r="A2006" s="8" t="str">
        <f>IFERROR(__xludf.DUMMYFUNCTION("""COMPUTED_VALUE"""),"109779920160600750")</f>
        <v>109779920160600750</v>
      </c>
      <c r="B2006" s="9" t="str">
        <f>IFERROR(__xludf.DUMMYFUNCTION("""COMPUTED_VALUE"""),"Italy")</f>
        <v>Italy</v>
      </c>
      <c r="C2006" s="9" t="str">
        <f>IFERROR(__xludf.DUMMYFUNCTION("""COMPUTED_VALUE"""),"piedmont")</f>
        <v>piedmont</v>
      </c>
      <c r="D2006" s="9" t="str">
        <f>IFERROR(__xludf.DUMMYFUNCTION("""COMPUTED_VALUE"""),"Michele Chiarlo, Barolo, Cerequio")</f>
        <v>Michele Chiarlo, Barolo, Cerequio</v>
      </c>
      <c r="E2006" s="9">
        <f>IFERROR(__xludf.DUMMYFUNCTION("""COMPUTED_VALUE"""),2016.0)</f>
        <v>2016</v>
      </c>
      <c r="F2006" s="9">
        <f>IFERROR(__xludf.DUMMYFUNCTION("""COMPUTED_VALUE"""),750.0)</f>
        <v>750</v>
      </c>
      <c r="G2006" s="9">
        <f>IFERROR(__xludf.DUMMYFUNCTION("""COMPUTED_VALUE"""),6.0)</f>
        <v>6</v>
      </c>
      <c r="H2006" s="10">
        <f>IFERROR(__xludf.DUMMYFUNCTION("""COMPUTED_VALUE"""),2.0)</f>
        <v>2</v>
      </c>
      <c r="I2006" s="11">
        <f>IFERROR(__xludf.DUMMYFUNCTION("""COMPUTED_VALUE"""),439.0)</f>
        <v>439</v>
      </c>
      <c r="J2006" s="9" t="str">
        <f>IFERROR(__xludf.DUMMYFUNCTION("""COMPUTED_VALUE"""),"UK")</f>
        <v>UK</v>
      </c>
      <c r="K2006" s="8"/>
      <c r="L2006" s="12"/>
      <c r="M2006" s="13"/>
      <c r="N2006" s="13" t="str">
        <f>IFERROR(__xludf.DUMMYFUNCTION("IF(ISBLANK(M2006),"""",M2006*GOOGLEFINANCE(""USDGBP""))"),"")</f>
        <v/>
      </c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  <c r="FG2006" s="8"/>
      <c r="FH2006" s="8"/>
      <c r="FI2006" s="8"/>
      <c r="FJ2006" s="8"/>
      <c r="FK2006" s="8"/>
      <c r="FL2006" s="8"/>
      <c r="FM2006" s="8"/>
      <c r="FN2006" s="8"/>
      <c r="FO2006" s="8"/>
      <c r="FP2006" s="8"/>
      <c r="FQ2006" s="8"/>
      <c r="FR2006" s="8"/>
      <c r="FS2006" s="8"/>
      <c r="FT2006" s="8"/>
      <c r="FU2006" s="8"/>
      <c r="FV2006" s="8"/>
      <c r="FW2006" s="8"/>
      <c r="FX2006" s="8"/>
      <c r="FY2006" s="8"/>
      <c r="FZ2006" s="8"/>
      <c r="GA2006" s="8"/>
      <c r="GB2006" s="8"/>
      <c r="GC2006" s="8"/>
      <c r="GD2006" s="8"/>
      <c r="GE2006" s="8"/>
      <c r="GF2006" s="8"/>
      <c r="GG2006" s="8"/>
      <c r="GH2006" s="8"/>
      <c r="GI2006" s="8"/>
      <c r="GJ2006" s="8"/>
      <c r="GK2006" s="8"/>
      <c r="GL2006" s="8"/>
      <c r="GM2006" s="8"/>
      <c r="GN2006" s="8"/>
      <c r="GO2006" s="8"/>
      <c r="GP2006" s="8"/>
      <c r="GQ2006" s="8"/>
      <c r="GR2006" s="8"/>
      <c r="GS2006" s="8"/>
      <c r="GT2006" s="8"/>
      <c r="GU2006" s="8"/>
      <c r="GV2006" s="8"/>
      <c r="GW2006" s="8"/>
      <c r="GX2006" s="8"/>
    </row>
    <row r="2007">
      <c r="A2007" s="8" t="str">
        <f>IFERROR(__xludf.DUMMYFUNCTION("""COMPUTED_VALUE"""),"110498520071200750")</f>
        <v>110498520071200750</v>
      </c>
      <c r="B2007" s="9" t="str">
        <f>IFERROR(__xludf.DUMMYFUNCTION("""COMPUTED_VALUE"""),"Italy")</f>
        <v>Italy</v>
      </c>
      <c r="C2007" s="9" t="str">
        <f>IFERROR(__xludf.DUMMYFUNCTION("""COMPUTED_VALUE"""),"piedmont")</f>
        <v>piedmont</v>
      </c>
      <c r="D2007" s="9" t="str">
        <f>IFERROR(__xludf.DUMMYFUNCTION("""COMPUTED_VALUE"""),"Paolo Scavino, Barolo")</f>
        <v>Paolo Scavino, Barolo</v>
      </c>
      <c r="E2007" s="9">
        <f>IFERROR(__xludf.DUMMYFUNCTION("""COMPUTED_VALUE"""),2007.0)</f>
        <v>2007</v>
      </c>
      <c r="F2007" s="9">
        <f>IFERROR(__xludf.DUMMYFUNCTION("""COMPUTED_VALUE"""),750.0)</f>
        <v>750</v>
      </c>
      <c r="G2007" s="9">
        <f>IFERROR(__xludf.DUMMYFUNCTION("""COMPUTED_VALUE"""),12.0)</f>
        <v>12</v>
      </c>
      <c r="H2007" s="10">
        <f>IFERROR(__xludf.DUMMYFUNCTION("""COMPUTED_VALUE"""),1.0)</f>
        <v>1</v>
      </c>
      <c r="I2007" s="11">
        <f>IFERROR(__xludf.DUMMYFUNCTION("""COMPUTED_VALUE"""),985.0)</f>
        <v>985</v>
      </c>
      <c r="J2007" s="9" t="str">
        <f>IFERROR(__xludf.DUMMYFUNCTION("""COMPUTED_VALUE"""),"UK")</f>
        <v>UK</v>
      </c>
      <c r="K2007" s="8"/>
      <c r="L2007" s="12"/>
      <c r="M2007" s="13"/>
      <c r="N2007" s="13" t="str">
        <f>IFERROR(__xludf.DUMMYFUNCTION("IF(ISBLANK(M2007),"""",M2007*GOOGLEFINANCE(""USDGBP""))"),"")</f>
        <v/>
      </c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  <c r="FG2007" s="8"/>
      <c r="FH2007" s="8"/>
      <c r="FI2007" s="8"/>
      <c r="FJ2007" s="8"/>
      <c r="FK2007" s="8"/>
      <c r="FL2007" s="8"/>
      <c r="FM2007" s="8"/>
      <c r="FN2007" s="8"/>
      <c r="FO2007" s="8"/>
      <c r="FP2007" s="8"/>
      <c r="FQ2007" s="8"/>
      <c r="FR2007" s="8"/>
      <c r="FS2007" s="8"/>
      <c r="FT2007" s="8"/>
      <c r="FU2007" s="8"/>
      <c r="FV2007" s="8"/>
      <c r="FW2007" s="8"/>
      <c r="FX2007" s="8"/>
      <c r="FY2007" s="8"/>
      <c r="FZ2007" s="8"/>
      <c r="GA2007" s="8"/>
      <c r="GB2007" s="8"/>
      <c r="GC2007" s="8"/>
      <c r="GD2007" s="8"/>
      <c r="GE2007" s="8"/>
      <c r="GF2007" s="8"/>
      <c r="GG2007" s="8"/>
      <c r="GH2007" s="8"/>
      <c r="GI2007" s="8"/>
      <c r="GJ2007" s="8"/>
      <c r="GK2007" s="8"/>
      <c r="GL2007" s="8"/>
      <c r="GM2007" s="8"/>
      <c r="GN2007" s="8"/>
      <c r="GO2007" s="8"/>
      <c r="GP2007" s="8"/>
      <c r="GQ2007" s="8"/>
      <c r="GR2007" s="8"/>
      <c r="GS2007" s="8"/>
      <c r="GT2007" s="8"/>
      <c r="GU2007" s="8"/>
      <c r="GV2007" s="8"/>
      <c r="GW2007" s="8"/>
      <c r="GX2007" s="8"/>
    </row>
    <row r="2008">
      <c r="A2008" s="8" t="str">
        <f>IFERROR(__xludf.DUMMYFUNCTION("""COMPUTED_VALUE"""),"110500920071200750")</f>
        <v>110500920071200750</v>
      </c>
      <c r="B2008" s="9" t="str">
        <f>IFERROR(__xludf.DUMMYFUNCTION("""COMPUTED_VALUE"""),"Italy")</f>
        <v>Italy</v>
      </c>
      <c r="C2008" s="9" t="str">
        <f>IFERROR(__xludf.DUMMYFUNCTION("""COMPUTED_VALUE"""),"piedmont")</f>
        <v>piedmont</v>
      </c>
      <c r="D2008" s="9" t="str">
        <f>IFERROR(__xludf.DUMMYFUNCTION("""COMPUTED_VALUE"""),"Paolo Scavino, Barolo, Bric Fiasc")</f>
        <v>Paolo Scavino, Barolo, Bric Fiasc</v>
      </c>
      <c r="E2008" s="9">
        <f>IFERROR(__xludf.DUMMYFUNCTION("""COMPUTED_VALUE"""),2007.0)</f>
        <v>2007</v>
      </c>
      <c r="F2008" s="9">
        <f>IFERROR(__xludf.DUMMYFUNCTION("""COMPUTED_VALUE"""),750.0)</f>
        <v>750</v>
      </c>
      <c r="G2008" s="9">
        <f>IFERROR(__xludf.DUMMYFUNCTION("""COMPUTED_VALUE"""),12.0)</f>
        <v>12</v>
      </c>
      <c r="H2008" s="10">
        <f>IFERROR(__xludf.DUMMYFUNCTION("""COMPUTED_VALUE"""),1.0)</f>
        <v>1</v>
      </c>
      <c r="I2008" s="11">
        <f>IFERROR(__xludf.DUMMYFUNCTION("""COMPUTED_VALUE"""),917.0)</f>
        <v>917</v>
      </c>
      <c r="J2008" s="9" t="str">
        <f>IFERROR(__xludf.DUMMYFUNCTION("""COMPUTED_VALUE"""),"UK")</f>
        <v>UK</v>
      </c>
      <c r="K2008" s="8"/>
      <c r="L2008" s="12"/>
      <c r="M2008" s="13"/>
      <c r="N2008" s="13" t="str">
        <f>IFERROR(__xludf.DUMMYFUNCTION("IF(ISBLANK(M2008),"""",M2008*GOOGLEFINANCE(""USDGBP""))"),"")</f>
        <v/>
      </c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  <c r="FG2008" s="8"/>
      <c r="FH2008" s="8"/>
      <c r="FI2008" s="8"/>
      <c r="FJ2008" s="8"/>
      <c r="FK2008" s="8"/>
      <c r="FL2008" s="8"/>
      <c r="FM2008" s="8"/>
      <c r="FN2008" s="8"/>
      <c r="FO2008" s="8"/>
      <c r="FP2008" s="8"/>
      <c r="FQ2008" s="8"/>
      <c r="FR2008" s="8"/>
      <c r="FS2008" s="8"/>
      <c r="FT2008" s="8"/>
      <c r="FU2008" s="8"/>
      <c r="FV2008" s="8"/>
      <c r="FW2008" s="8"/>
      <c r="FX2008" s="8"/>
      <c r="FY2008" s="8"/>
      <c r="FZ2008" s="8"/>
      <c r="GA2008" s="8"/>
      <c r="GB2008" s="8"/>
      <c r="GC2008" s="8"/>
      <c r="GD2008" s="8"/>
      <c r="GE2008" s="8"/>
      <c r="GF2008" s="8"/>
      <c r="GG2008" s="8"/>
      <c r="GH2008" s="8"/>
      <c r="GI2008" s="8"/>
      <c r="GJ2008" s="8"/>
      <c r="GK2008" s="8"/>
      <c r="GL2008" s="8"/>
      <c r="GM2008" s="8"/>
      <c r="GN2008" s="8"/>
      <c r="GO2008" s="8"/>
      <c r="GP2008" s="8"/>
      <c r="GQ2008" s="8"/>
      <c r="GR2008" s="8"/>
      <c r="GS2008" s="8"/>
      <c r="GT2008" s="8"/>
      <c r="GU2008" s="8"/>
      <c r="GV2008" s="8"/>
      <c r="GW2008" s="8"/>
      <c r="GX2008" s="8"/>
    </row>
    <row r="2009">
      <c r="A2009" s="8" t="str">
        <f>IFERROR(__xludf.DUMMYFUNCTION("""COMPUTED_VALUE"""),"110500920160600750")</f>
        <v>110500920160600750</v>
      </c>
      <c r="B2009" s="9" t="str">
        <f>IFERROR(__xludf.DUMMYFUNCTION("""COMPUTED_VALUE"""),"Italy")</f>
        <v>Italy</v>
      </c>
      <c r="C2009" s="9" t="str">
        <f>IFERROR(__xludf.DUMMYFUNCTION("""COMPUTED_VALUE"""),"piedmont")</f>
        <v>piedmont</v>
      </c>
      <c r="D2009" s="9" t="str">
        <f>IFERROR(__xludf.DUMMYFUNCTION("""COMPUTED_VALUE"""),"Paolo Scavino, Barolo, Bric Fiasc")</f>
        <v>Paolo Scavino, Barolo, Bric Fiasc</v>
      </c>
      <c r="E2009" s="9">
        <f>IFERROR(__xludf.DUMMYFUNCTION("""COMPUTED_VALUE"""),2016.0)</f>
        <v>2016</v>
      </c>
      <c r="F2009" s="9">
        <f>IFERROR(__xludf.DUMMYFUNCTION("""COMPUTED_VALUE"""),750.0)</f>
        <v>750</v>
      </c>
      <c r="G2009" s="9">
        <f>IFERROR(__xludf.DUMMYFUNCTION("""COMPUTED_VALUE"""),6.0)</f>
        <v>6</v>
      </c>
      <c r="H2009" s="10">
        <f>IFERROR(__xludf.DUMMYFUNCTION("""COMPUTED_VALUE"""),3.0)</f>
        <v>3</v>
      </c>
      <c r="I2009" s="11">
        <f>IFERROR(__xludf.DUMMYFUNCTION("""COMPUTED_VALUE"""),512.0)</f>
        <v>512</v>
      </c>
      <c r="J2009" s="9" t="str">
        <f>IFERROR(__xludf.DUMMYFUNCTION("""COMPUTED_VALUE"""),"UK")</f>
        <v>UK</v>
      </c>
      <c r="K2009" s="8"/>
      <c r="L2009" s="12"/>
      <c r="M2009" s="13"/>
      <c r="N2009" s="13" t="str">
        <f>IFERROR(__xludf.DUMMYFUNCTION("IF(ISBLANK(M2009),"""",M2009*GOOGLEFINANCE(""USDGBP""))"),"")</f>
        <v/>
      </c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  <c r="FG2009" s="8"/>
      <c r="FH2009" s="8"/>
      <c r="FI2009" s="8"/>
      <c r="FJ2009" s="8"/>
      <c r="FK2009" s="8"/>
      <c r="FL2009" s="8"/>
      <c r="FM2009" s="8"/>
      <c r="FN2009" s="8"/>
      <c r="FO2009" s="8"/>
      <c r="FP2009" s="8"/>
      <c r="FQ2009" s="8"/>
      <c r="FR2009" s="8"/>
      <c r="FS2009" s="8"/>
      <c r="FT2009" s="8"/>
      <c r="FU2009" s="8"/>
      <c r="FV2009" s="8"/>
      <c r="FW2009" s="8"/>
      <c r="FX2009" s="8"/>
      <c r="FY2009" s="8"/>
      <c r="FZ2009" s="8"/>
      <c r="GA2009" s="8"/>
      <c r="GB2009" s="8"/>
      <c r="GC2009" s="8"/>
      <c r="GD2009" s="8"/>
      <c r="GE2009" s="8"/>
      <c r="GF2009" s="8"/>
      <c r="GG2009" s="8"/>
      <c r="GH2009" s="8"/>
      <c r="GI2009" s="8"/>
      <c r="GJ2009" s="8"/>
      <c r="GK2009" s="8"/>
      <c r="GL2009" s="8"/>
      <c r="GM2009" s="8"/>
      <c r="GN2009" s="8"/>
      <c r="GO2009" s="8"/>
      <c r="GP2009" s="8"/>
      <c r="GQ2009" s="8"/>
      <c r="GR2009" s="8"/>
      <c r="GS2009" s="8"/>
      <c r="GT2009" s="8"/>
      <c r="GU2009" s="8"/>
      <c r="GV2009" s="8"/>
      <c r="GW2009" s="8"/>
      <c r="GX2009" s="8"/>
    </row>
    <row r="2010">
      <c r="A2010" s="8" t="str">
        <f>IFERROR(__xludf.DUMMYFUNCTION("""COMPUTED_VALUE"""),"116933920160600750")</f>
        <v>116933920160600750</v>
      </c>
      <c r="B2010" s="9" t="str">
        <f>IFERROR(__xludf.DUMMYFUNCTION("""COMPUTED_VALUE"""),"Italy")</f>
        <v>Italy</v>
      </c>
      <c r="C2010" s="9" t="str">
        <f>IFERROR(__xludf.DUMMYFUNCTION("""COMPUTED_VALUE"""),"piedmont")</f>
        <v>piedmont</v>
      </c>
      <c r="D2010" s="9" t="str">
        <f>IFERROR(__xludf.DUMMYFUNCTION("""COMPUTED_VALUE"""),"Paolo Scavino, Barolo, Monvigliero")</f>
        <v>Paolo Scavino, Barolo, Monvigliero</v>
      </c>
      <c r="E2010" s="9">
        <f>IFERROR(__xludf.DUMMYFUNCTION("""COMPUTED_VALUE"""),2016.0)</f>
        <v>2016</v>
      </c>
      <c r="F2010" s="9">
        <f>IFERROR(__xludf.DUMMYFUNCTION("""COMPUTED_VALUE"""),750.0)</f>
        <v>750</v>
      </c>
      <c r="G2010" s="9">
        <f>IFERROR(__xludf.DUMMYFUNCTION("""COMPUTED_VALUE"""),6.0)</f>
        <v>6</v>
      </c>
      <c r="H2010" s="10">
        <f>IFERROR(__xludf.DUMMYFUNCTION("""COMPUTED_VALUE"""),3.0)</f>
        <v>3</v>
      </c>
      <c r="I2010" s="11">
        <f>IFERROR(__xludf.DUMMYFUNCTION("""COMPUTED_VALUE"""),455.0)</f>
        <v>455</v>
      </c>
      <c r="J2010" s="9" t="str">
        <f>IFERROR(__xludf.DUMMYFUNCTION("""COMPUTED_VALUE"""),"UK")</f>
        <v>UK</v>
      </c>
      <c r="K2010" s="8"/>
      <c r="L2010" s="12"/>
      <c r="M2010" s="13"/>
      <c r="N2010" s="13" t="str">
        <f>IFERROR(__xludf.DUMMYFUNCTION("IF(ISBLANK(M2010),"""",M2010*GOOGLEFINANCE(""USDGBP""))"),"")</f>
        <v/>
      </c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  <c r="FG2010" s="8"/>
      <c r="FH2010" s="8"/>
      <c r="FI2010" s="8"/>
      <c r="FJ2010" s="8"/>
      <c r="FK2010" s="8"/>
      <c r="FL2010" s="8"/>
      <c r="FM2010" s="8"/>
      <c r="FN2010" s="8"/>
      <c r="FO2010" s="8"/>
      <c r="FP2010" s="8"/>
      <c r="FQ2010" s="8"/>
      <c r="FR2010" s="8"/>
      <c r="FS2010" s="8"/>
      <c r="FT2010" s="8"/>
      <c r="FU2010" s="8"/>
      <c r="FV2010" s="8"/>
      <c r="FW2010" s="8"/>
      <c r="FX2010" s="8"/>
      <c r="FY2010" s="8"/>
      <c r="FZ2010" s="8"/>
      <c r="GA2010" s="8"/>
      <c r="GB2010" s="8"/>
      <c r="GC2010" s="8"/>
      <c r="GD2010" s="8"/>
      <c r="GE2010" s="8"/>
      <c r="GF2010" s="8"/>
      <c r="GG2010" s="8"/>
      <c r="GH2010" s="8"/>
      <c r="GI2010" s="8"/>
      <c r="GJ2010" s="8"/>
      <c r="GK2010" s="8"/>
      <c r="GL2010" s="8"/>
      <c r="GM2010" s="8"/>
      <c r="GN2010" s="8"/>
      <c r="GO2010" s="8"/>
      <c r="GP2010" s="8"/>
      <c r="GQ2010" s="8"/>
      <c r="GR2010" s="8"/>
      <c r="GS2010" s="8"/>
      <c r="GT2010" s="8"/>
      <c r="GU2010" s="8"/>
      <c r="GV2010" s="8"/>
      <c r="GW2010" s="8"/>
      <c r="GX2010" s="8"/>
    </row>
    <row r="2011">
      <c r="A2011" s="8" t="str">
        <f>IFERROR(__xludf.DUMMYFUNCTION("""COMPUTED_VALUE"""),"181229320160600750")</f>
        <v>181229320160600750</v>
      </c>
      <c r="B2011" s="9" t="str">
        <f>IFERROR(__xludf.DUMMYFUNCTION("""COMPUTED_VALUE"""),"Italy")</f>
        <v>Italy</v>
      </c>
      <c r="C2011" s="9" t="str">
        <f>IFERROR(__xludf.DUMMYFUNCTION("""COMPUTED_VALUE"""),"piedmont")</f>
        <v>piedmont</v>
      </c>
      <c r="D2011" s="9" t="str">
        <f>IFERROR(__xludf.DUMMYFUNCTION("""COMPUTED_VALUE"""),"Paolo Scavino, Barolo, Ravera")</f>
        <v>Paolo Scavino, Barolo, Ravera</v>
      </c>
      <c r="E2011" s="9">
        <f>IFERROR(__xludf.DUMMYFUNCTION("""COMPUTED_VALUE"""),2016.0)</f>
        <v>2016</v>
      </c>
      <c r="F2011" s="9">
        <f>IFERROR(__xludf.DUMMYFUNCTION("""COMPUTED_VALUE"""),750.0)</f>
        <v>750</v>
      </c>
      <c r="G2011" s="9">
        <f>IFERROR(__xludf.DUMMYFUNCTION("""COMPUTED_VALUE"""),6.0)</f>
        <v>6</v>
      </c>
      <c r="H2011" s="10">
        <f>IFERROR(__xludf.DUMMYFUNCTION("""COMPUTED_VALUE"""),8.0)</f>
        <v>8</v>
      </c>
      <c r="I2011" s="11">
        <f>IFERROR(__xludf.DUMMYFUNCTION("""COMPUTED_VALUE"""),509.0)</f>
        <v>509</v>
      </c>
      <c r="J2011" s="9" t="str">
        <f>IFERROR(__xludf.DUMMYFUNCTION("""COMPUTED_VALUE"""),"UK")</f>
        <v>UK</v>
      </c>
      <c r="K2011" s="8"/>
      <c r="L2011" s="12"/>
      <c r="M2011" s="13"/>
      <c r="N2011" s="13" t="str">
        <f>IFERROR(__xludf.DUMMYFUNCTION("IF(ISBLANK(M2011),"""",M2011*GOOGLEFINANCE(""USDGBP""))"),"")</f>
        <v/>
      </c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  <c r="FG2011" s="8"/>
      <c r="FH2011" s="8"/>
      <c r="FI2011" s="8"/>
      <c r="FJ2011" s="8"/>
      <c r="FK2011" s="8"/>
      <c r="FL2011" s="8"/>
      <c r="FM2011" s="8"/>
      <c r="FN2011" s="8"/>
      <c r="FO2011" s="8"/>
      <c r="FP2011" s="8"/>
      <c r="FQ2011" s="8"/>
      <c r="FR2011" s="8"/>
      <c r="FS2011" s="8"/>
      <c r="FT2011" s="8"/>
      <c r="FU2011" s="8"/>
      <c r="FV2011" s="8"/>
      <c r="FW2011" s="8"/>
      <c r="FX2011" s="8"/>
      <c r="FY2011" s="8"/>
      <c r="FZ2011" s="8"/>
      <c r="GA2011" s="8"/>
      <c r="GB2011" s="8"/>
      <c r="GC2011" s="8"/>
      <c r="GD2011" s="8"/>
      <c r="GE2011" s="8"/>
      <c r="GF2011" s="8"/>
      <c r="GG2011" s="8"/>
      <c r="GH2011" s="8"/>
      <c r="GI2011" s="8"/>
      <c r="GJ2011" s="8"/>
      <c r="GK2011" s="8"/>
      <c r="GL2011" s="8"/>
      <c r="GM2011" s="8"/>
      <c r="GN2011" s="8"/>
      <c r="GO2011" s="8"/>
      <c r="GP2011" s="8"/>
      <c r="GQ2011" s="8"/>
      <c r="GR2011" s="8"/>
      <c r="GS2011" s="8"/>
      <c r="GT2011" s="8"/>
      <c r="GU2011" s="8"/>
      <c r="GV2011" s="8"/>
      <c r="GW2011" s="8"/>
      <c r="GX2011" s="8"/>
    </row>
    <row r="2012">
      <c r="A2012" s="8" t="str">
        <f>IFERROR(__xludf.DUMMYFUNCTION("""COMPUTED_VALUE"""),"166896220110101500")</f>
        <v>166896220110101500</v>
      </c>
      <c r="B2012" s="9" t="str">
        <f>IFERROR(__xludf.DUMMYFUNCTION("""COMPUTED_VALUE"""),"Italy")</f>
        <v>Italy</v>
      </c>
      <c r="C2012" s="9" t="str">
        <f>IFERROR(__xludf.DUMMYFUNCTION("""COMPUTED_VALUE"""),"piedmont")</f>
        <v>piedmont</v>
      </c>
      <c r="D2012" s="9" t="str">
        <f>IFERROR(__xludf.DUMMYFUNCTION("""COMPUTED_VALUE"""),"Paolo Scavino, Barolo, Riserva Novantesimo")</f>
        <v>Paolo Scavino, Barolo, Riserva Novantesimo</v>
      </c>
      <c r="E2012" s="9">
        <f>IFERROR(__xludf.DUMMYFUNCTION("""COMPUTED_VALUE"""),2011.0)</f>
        <v>2011</v>
      </c>
      <c r="F2012" s="9">
        <f>IFERROR(__xludf.DUMMYFUNCTION("""COMPUTED_VALUE"""),1500.0)</f>
        <v>1500</v>
      </c>
      <c r="G2012" s="9">
        <f>IFERROR(__xludf.DUMMYFUNCTION("""COMPUTED_VALUE"""),1.0)</f>
        <v>1</v>
      </c>
      <c r="H2012" s="10">
        <f>IFERROR(__xludf.DUMMYFUNCTION("""COMPUTED_VALUE"""),1.0)</f>
        <v>1</v>
      </c>
      <c r="I2012" s="11">
        <f>IFERROR(__xludf.DUMMYFUNCTION("""COMPUTED_VALUE"""),459.0)</f>
        <v>459</v>
      </c>
      <c r="J2012" s="9" t="str">
        <f>IFERROR(__xludf.DUMMYFUNCTION("""COMPUTED_VALUE"""),"UK")</f>
        <v>UK</v>
      </c>
      <c r="K2012" s="8"/>
      <c r="L2012" s="12"/>
      <c r="M2012" s="13"/>
      <c r="N2012" s="13" t="str">
        <f>IFERROR(__xludf.DUMMYFUNCTION("IF(ISBLANK(M2012),"""",M2012*GOOGLEFINANCE(""USDGBP""))"),"")</f>
        <v/>
      </c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  <c r="FG2012" s="8"/>
      <c r="FH2012" s="8"/>
      <c r="FI2012" s="8"/>
      <c r="FJ2012" s="8"/>
      <c r="FK2012" s="8"/>
      <c r="FL2012" s="8"/>
      <c r="FM2012" s="8"/>
      <c r="FN2012" s="8"/>
      <c r="FO2012" s="8"/>
      <c r="FP2012" s="8"/>
      <c r="FQ2012" s="8"/>
      <c r="FR2012" s="8"/>
      <c r="FS2012" s="8"/>
      <c r="FT2012" s="8"/>
      <c r="FU2012" s="8"/>
      <c r="FV2012" s="8"/>
      <c r="FW2012" s="8"/>
      <c r="FX2012" s="8"/>
      <c r="FY2012" s="8"/>
      <c r="FZ2012" s="8"/>
      <c r="GA2012" s="8"/>
      <c r="GB2012" s="8"/>
      <c r="GC2012" s="8"/>
      <c r="GD2012" s="8"/>
      <c r="GE2012" s="8"/>
      <c r="GF2012" s="8"/>
      <c r="GG2012" s="8"/>
      <c r="GH2012" s="8"/>
      <c r="GI2012" s="8"/>
      <c r="GJ2012" s="8"/>
      <c r="GK2012" s="8"/>
      <c r="GL2012" s="8"/>
      <c r="GM2012" s="8"/>
      <c r="GN2012" s="8"/>
      <c r="GO2012" s="8"/>
      <c r="GP2012" s="8"/>
      <c r="GQ2012" s="8"/>
      <c r="GR2012" s="8"/>
      <c r="GS2012" s="8"/>
      <c r="GT2012" s="8"/>
      <c r="GU2012" s="8"/>
      <c r="GV2012" s="8"/>
      <c r="GW2012" s="8"/>
      <c r="GX2012" s="8"/>
    </row>
    <row r="2013">
      <c r="A2013" s="8" t="str">
        <f>IFERROR(__xludf.DUMMYFUNCTION("""COMPUTED_VALUE"""),"110505420130600750")</f>
        <v>110505420130600750</v>
      </c>
      <c r="B2013" s="9" t="str">
        <f>IFERROR(__xludf.DUMMYFUNCTION("""COMPUTED_VALUE"""),"Italy")</f>
        <v>Italy</v>
      </c>
      <c r="C2013" s="9" t="str">
        <f>IFERROR(__xludf.DUMMYFUNCTION("""COMPUTED_VALUE"""),"piedmont")</f>
        <v>piedmont</v>
      </c>
      <c r="D2013" s="9" t="str">
        <f>IFERROR(__xludf.DUMMYFUNCTION("""COMPUTED_VALUE"""),"Paolo Scavino, Barolo, Rocche dell'Annunziata Riserva")</f>
        <v>Paolo Scavino, Barolo, Rocche dell'Annunziata Riserva</v>
      </c>
      <c r="E2013" s="9">
        <f>IFERROR(__xludf.DUMMYFUNCTION("""COMPUTED_VALUE"""),2013.0)</f>
        <v>2013</v>
      </c>
      <c r="F2013" s="9">
        <f>IFERROR(__xludf.DUMMYFUNCTION("""COMPUTED_VALUE"""),750.0)</f>
        <v>750</v>
      </c>
      <c r="G2013" s="9">
        <f>IFERROR(__xludf.DUMMYFUNCTION("""COMPUTED_VALUE"""),6.0)</f>
        <v>6</v>
      </c>
      <c r="H2013" s="10">
        <f>IFERROR(__xludf.DUMMYFUNCTION("""COMPUTED_VALUE"""),3.0)</f>
        <v>3</v>
      </c>
      <c r="I2013" s="11">
        <f>IFERROR(__xludf.DUMMYFUNCTION("""COMPUTED_VALUE"""),772.0)</f>
        <v>772</v>
      </c>
      <c r="J2013" s="9" t="str">
        <f>IFERROR(__xludf.DUMMYFUNCTION("""COMPUTED_VALUE"""),"UK")</f>
        <v>UK</v>
      </c>
      <c r="K2013" s="8"/>
      <c r="L2013" s="12"/>
      <c r="M2013" s="13"/>
      <c r="N2013" s="13" t="str">
        <f>IFERROR(__xludf.DUMMYFUNCTION("IF(ISBLANK(M2013),"""",M2013*GOOGLEFINANCE(""USDGBP""))"),"")</f>
        <v/>
      </c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  <c r="FG2013" s="8"/>
      <c r="FH2013" s="8"/>
      <c r="FI2013" s="8"/>
      <c r="FJ2013" s="8"/>
      <c r="FK2013" s="8"/>
      <c r="FL2013" s="8"/>
      <c r="FM2013" s="8"/>
      <c r="FN2013" s="8"/>
      <c r="FO2013" s="8"/>
      <c r="FP2013" s="8"/>
      <c r="FQ2013" s="8"/>
      <c r="FR2013" s="8"/>
      <c r="FS2013" s="8"/>
      <c r="FT2013" s="8"/>
      <c r="FU2013" s="8"/>
      <c r="FV2013" s="8"/>
      <c r="FW2013" s="8"/>
      <c r="FX2013" s="8"/>
      <c r="FY2013" s="8"/>
      <c r="FZ2013" s="8"/>
      <c r="GA2013" s="8"/>
      <c r="GB2013" s="8"/>
      <c r="GC2013" s="8"/>
      <c r="GD2013" s="8"/>
      <c r="GE2013" s="8"/>
      <c r="GF2013" s="8"/>
      <c r="GG2013" s="8"/>
      <c r="GH2013" s="8"/>
      <c r="GI2013" s="8"/>
      <c r="GJ2013" s="8"/>
      <c r="GK2013" s="8"/>
      <c r="GL2013" s="8"/>
      <c r="GM2013" s="8"/>
      <c r="GN2013" s="8"/>
      <c r="GO2013" s="8"/>
      <c r="GP2013" s="8"/>
      <c r="GQ2013" s="8"/>
      <c r="GR2013" s="8"/>
      <c r="GS2013" s="8"/>
      <c r="GT2013" s="8"/>
      <c r="GU2013" s="8"/>
      <c r="GV2013" s="8"/>
      <c r="GW2013" s="8"/>
      <c r="GX2013" s="8"/>
    </row>
    <row r="2014">
      <c r="A2014" s="8" t="str">
        <f>IFERROR(__xludf.DUMMYFUNCTION("""COMPUTED_VALUE"""),"110505420150600750")</f>
        <v>110505420150600750</v>
      </c>
      <c r="B2014" s="9" t="str">
        <f>IFERROR(__xludf.DUMMYFUNCTION("""COMPUTED_VALUE"""),"Italy")</f>
        <v>Italy</v>
      </c>
      <c r="C2014" s="9" t="str">
        <f>IFERROR(__xludf.DUMMYFUNCTION("""COMPUTED_VALUE"""),"piedmont")</f>
        <v>piedmont</v>
      </c>
      <c r="D2014" s="9" t="str">
        <f>IFERROR(__xludf.DUMMYFUNCTION("""COMPUTED_VALUE"""),"Paolo Scavino, Barolo, Rocche dell'Annunziata Riserva")</f>
        <v>Paolo Scavino, Barolo, Rocche dell'Annunziata Riserva</v>
      </c>
      <c r="E2014" s="9">
        <f>IFERROR(__xludf.DUMMYFUNCTION("""COMPUTED_VALUE"""),2015.0)</f>
        <v>2015</v>
      </c>
      <c r="F2014" s="9">
        <f>IFERROR(__xludf.DUMMYFUNCTION("""COMPUTED_VALUE"""),750.0)</f>
        <v>750</v>
      </c>
      <c r="G2014" s="9">
        <f>IFERROR(__xludf.DUMMYFUNCTION("""COMPUTED_VALUE"""),6.0)</f>
        <v>6</v>
      </c>
      <c r="H2014" s="10">
        <f>IFERROR(__xludf.DUMMYFUNCTION("""COMPUTED_VALUE"""),3.0)</f>
        <v>3</v>
      </c>
      <c r="I2014" s="11">
        <f>IFERROR(__xludf.DUMMYFUNCTION("""COMPUTED_VALUE"""),1103.0)</f>
        <v>1103</v>
      </c>
      <c r="J2014" s="9" t="str">
        <f>IFERROR(__xludf.DUMMYFUNCTION("""COMPUTED_VALUE"""),"UK")</f>
        <v>UK</v>
      </c>
      <c r="K2014" s="8"/>
      <c r="L2014" s="12"/>
      <c r="M2014" s="13"/>
      <c r="N2014" s="13" t="str">
        <f>IFERROR(__xludf.DUMMYFUNCTION("IF(ISBLANK(M2014),"""",M2014*GOOGLEFINANCE(""USDGBP""))"),"")</f>
        <v/>
      </c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  <c r="FG2014" s="8"/>
      <c r="FH2014" s="8"/>
      <c r="FI2014" s="8"/>
      <c r="FJ2014" s="8"/>
      <c r="FK2014" s="8"/>
      <c r="FL2014" s="8"/>
      <c r="FM2014" s="8"/>
      <c r="FN2014" s="8"/>
      <c r="FO2014" s="8"/>
      <c r="FP2014" s="8"/>
      <c r="FQ2014" s="8"/>
      <c r="FR2014" s="8"/>
      <c r="FS2014" s="8"/>
      <c r="FT2014" s="8"/>
      <c r="FU2014" s="8"/>
      <c r="FV2014" s="8"/>
      <c r="FW2014" s="8"/>
      <c r="FX2014" s="8"/>
      <c r="FY2014" s="8"/>
      <c r="FZ2014" s="8"/>
      <c r="GA2014" s="8"/>
      <c r="GB2014" s="8"/>
      <c r="GC2014" s="8"/>
      <c r="GD2014" s="8"/>
      <c r="GE2014" s="8"/>
      <c r="GF2014" s="8"/>
      <c r="GG2014" s="8"/>
      <c r="GH2014" s="8"/>
      <c r="GI2014" s="8"/>
      <c r="GJ2014" s="8"/>
      <c r="GK2014" s="8"/>
      <c r="GL2014" s="8"/>
      <c r="GM2014" s="8"/>
      <c r="GN2014" s="8"/>
      <c r="GO2014" s="8"/>
      <c r="GP2014" s="8"/>
      <c r="GQ2014" s="8"/>
      <c r="GR2014" s="8"/>
      <c r="GS2014" s="8"/>
      <c r="GT2014" s="8"/>
      <c r="GU2014" s="8"/>
      <c r="GV2014" s="8"/>
      <c r="GW2014" s="8"/>
      <c r="GX2014" s="8"/>
    </row>
    <row r="2015">
      <c r="A2015" s="8" t="str">
        <f>IFERROR(__xludf.DUMMYFUNCTION("""COMPUTED_VALUE"""),"110271820000600750")</f>
        <v>110271820000600750</v>
      </c>
      <c r="B2015" s="9" t="str">
        <f>IFERROR(__xludf.DUMMYFUNCTION("""COMPUTED_VALUE"""),"Italy")</f>
        <v>Italy</v>
      </c>
      <c r="C2015" s="9" t="str">
        <f>IFERROR(__xludf.DUMMYFUNCTION("""COMPUTED_VALUE"""),"piedmont")</f>
        <v>piedmont</v>
      </c>
      <c r="D2015" s="9" t="str">
        <f>IFERROR(__xludf.DUMMYFUNCTION("""COMPUTED_VALUE"""),"Pio Cesare, Barolo, Ornato")</f>
        <v>Pio Cesare, Barolo, Ornato</v>
      </c>
      <c r="E2015" s="9">
        <f>IFERROR(__xludf.DUMMYFUNCTION("""COMPUTED_VALUE"""),2000.0)</f>
        <v>2000</v>
      </c>
      <c r="F2015" s="9">
        <f>IFERROR(__xludf.DUMMYFUNCTION("""COMPUTED_VALUE"""),750.0)</f>
        <v>750</v>
      </c>
      <c r="G2015" s="9">
        <f>IFERROR(__xludf.DUMMYFUNCTION("""COMPUTED_VALUE"""),6.0)</f>
        <v>6</v>
      </c>
      <c r="H2015" s="10">
        <f>IFERROR(__xludf.DUMMYFUNCTION("""COMPUTED_VALUE"""),4.0)</f>
        <v>4</v>
      </c>
      <c r="I2015" s="11">
        <f>IFERROR(__xludf.DUMMYFUNCTION("""COMPUTED_VALUE"""),754.0)</f>
        <v>754</v>
      </c>
      <c r="J2015" s="9" t="str">
        <f>IFERROR(__xludf.DUMMYFUNCTION("""COMPUTED_VALUE"""),"UK")</f>
        <v>UK</v>
      </c>
      <c r="K2015" s="8"/>
      <c r="L2015" s="12"/>
      <c r="M2015" s="13"/>
      <c r="N2015" s="13" t="str">
        <f>IFERROR(__xludf.DUMMYFUNCTION("IF(ISBLANK(M2015),"""",M2015*GOOGLEFINANCE(""USDGBP""))"),"")</f>
        <v/>
      </c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  <c r="FG2015" s="8"/>
      <c r="FH2015" s="8"/>
      <c r="FI2015" s="8"/>
      <c r="FJ2015" s="8"/>
      <c r="FK2015" s="8"/>
      <c r="FL2015" s="8"/>
      <c r="FM2015" s="8"/>
      <c r="FN2015" s="8"/>
      <c r="FO2015" s="8"/>
      <c r="FP2015" s="8"/>
      <c r="FQ2015" s="8"/>
      <c r="FR2015" s="8"/>
      <c r="FS2015" s="8"/>
      <c r="FT2015" s="8"/>
      <c r="FU2015" s="8"/>
      <c r="FV2015" s="8"/>
      <c r="FW2015" s="8"/>
      <c r="FX2015" s="8"/>
      <c r="FY2015" s="8"/>
      <c r="FZ2015" s="8"/>
      <c r="GA2015" s="8"/>
      <c r="GB2015" s="8"/>
      <c r="GC2015" s="8"/>
      <c r="GD2015" s="8"/>
      <c r="GE2015" s="8"/>
      <c r="GF2015" s="8"/>
      <c r="GG2015" s="8"/>
      <c r="GH2015" s="8"/>
      <c r="GI2015" s="8"/>
      <c r="GJ2015" s="8"/>
      <c r="GK2015" s="8"/>
      <c r="GL2015" s="8"/>
      <c r="GM2015" s="8"/>
      <c r="GN2015" s="8"/>
      <c r="GO2015" s="8"/>
      <c r="GP2015" s="8"/>
      <c r="GQ2015" s="8"/>
      <c r="GR2015" s="8"/>
      <c r="GS2015" s="8"/>
      <c r="GT2015" s="8"/>
      <c r="GU2015" s="8"/>
      <c r="GV2015" s="8"/>
      <c r="GW2015" s="8"/>
      <c r="GX2015" s="8"/>
    </row>
    <row r="2016">
      <c r="A2016" s="8" t="str">
        <f>IFERROR(__xludf.DUMMYFUNCTION("""COMPUTED_VALUE"""),"110271820160600750")</f>
        <v>110271820160600750</v>
      </c>
      <c r="B2016" s="9" t="str">
        <f>IFERROR(__xludf.DUMMYFUNCTION("""COMPUTED_VALUE"""),"Italy")</f>
        <v>Italy</v>
      </c>
      <c r="C2016" s="9" t="str">
        <f>IFERROR(__xludf.DUMMYFUNCTION("""COMPUTED_VALUE"""),"piedmont")</f>
        <v>piedmont</v>
      </c>
      <c r="D2016" s="9" t="str">
        <f>IFERROR(__xludf.DUMMYFUNCTION("""COMPUTED_VALUE"""),"Pio Cesare, Barolo, Ornato")</f>
        <v>Pio Cesare, Barolo, Ornato</v>
      </c>
      <c r="E2016" s="9">
        <f>IFERROR(__xludf.DUMMYFUNCTION("""COMPUTED_VALUE"""),2016.0)</f>
        <v>2016</v>
      </c>
      <c r="F2016" s="9">
        <f>IFERROR(__xludf.DUMMYFUNCTION("""COMPUTED_VALUE"""),750.0)</f>
        <v>750</v>
      </c>
      <c r="G2016" s="9">
        <f>IFERROR(__xludf.DUMMYFUNCTION("""COMPUTED_VALUE"""),6.0)</f>
        <v>6</v>
      </c>
      <c r="H2016" s="10">
        <f>IFERROR(__xludf.DUMMYFUNCTION("""COMPUTED_VALUE"""),9.0)</f>
        <v>9</v>
      </c>
      <c r="I2016" s="11">
        <f>IFERROR(__xludf.DUMMYFUNCTION("""COMPUTED_VALUE"""),451.0)</f>
        <v>451</v>
      </c>
      <c r="J2016" s="9" t="str">
        <f>IFERROR(__xludf.DUMMYFUNCTION("""COMPUTED_VALUE"""),"UK")</f>
        <v>UK</v>
      </c>
      <c r="K2016" s="8"/>
      <c r="L2016" s="12"/>
      <c r="M2016" s="13"/>
      <c r="N2016" s="13" t="str">
        <f>IFERROR(__xludf.DUMMYFUNCTION("IF(ISBLANK(M2016),"""",M2016*GOOGLEFINANCE(""USDGBP""))"),"")</f>
        <v/>
      </c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  <c r="FG2016" s="8"/>
      <c r="FH2016" s="8"/>
      <c r="FI2016" s="8"/>
      <c r="FJ2016" s="8"/>
      <c r="FK2016" s="8"/>
      <c r="FL2016" s="8"/>
      <c r="FM2016" s="8"/>
      <c r="FN2016" s="8"/>
      <c r="FO2016" s="8"/>
      <c r="FP2016" s="8"/>
      <c r="FQ2016" s="8"/>
      <c r="FR2016" s="8"/>
      <c r="FS2016" s="8"/>
      <c r="FT2016" s="8"/>
      <c r="FU2016" s="8"/>
      <c r="FV2016" s="8"/>
      <c r="FW2016" s="8"/>
      <c r="FX2016" s="8"/>
      <c r="FY2016" s="8"/>
      <c r="FZ2016" s="8"/>
      <c r="GA2016" s="8"/>
      <c r="GB2016" s="8"/>
      <c r="GC2016" s="8"/>
      <c r="GD2016" s="8"/>
      <c r="GE2016" s="8"/>
      <c r="GF2016" s="8"/>
      <c r="GG2016" s="8"/>
      <c r="GH2016" s="8"/>
      <c r="GI2016" s="8"/>
      <c r="GJ2016" s="8"/>
      <c r="GK2016" s="8"/>
      <c r="GL2016" s="8"/>
      <c r="GM2016" s="8"/>
      <c r="GN2016" s="8"/>
      <c r="GO2016" s="8"/>
      <c r="GP2016" s="8"/>
      <c r="GQ2016" s="8"/>
      <c r="GR2016" s="8"/>
      <c r="GS2016" s="8"/>
      <c r="GT2016" s="8"/>
      <c r="GU2016" s="8"/>
      <c r="GV2016" s="8"/>
      <c r="GW2016" s="8"/>
      <c r="GX2016" s="8"/>
    </row>
    <row r="2017">
      <c r="A2017" s="8" t="str">
        <f>IFERROR(__xludf.DUMMYFUNCTION("""COMPUTED_VALUE"""),"154775720140600750")</f>
        <v>154775720140600750</v>
      </c>
      <c r="B2017" s="9" t="str">
        <f>IFERROR(__xludf.DUMMYFUNCTION("""COMPUTED_VALUE"""),"Italy")</f>
        <v>Italy</v>
      </c>
      <c r="C2017" s="9" t="str">
        <f>IFERROR(__xludf.DUMMYFUNCTION("""COMPUTED_VALUE"""),"piedmont")</f>
        <v>piedmont</v>
      </c>
      <c r="D2017" s="9" t="str">
        <f>IFERROR(__xludf.DUMMYFUNCTION("""COMPUTED_VALUE"""),"Poderi Aldo Conterno, Barolo, Bussia Cicala")</f>
        <v>Poderi Aldo Conterno, Barolo, Bussia Cicala</v>
      </c>
      <c r="E2017" s="9">
        <f>IFERROR(__xludf.DUMMYFUNCTION("""COMPUTED_VALUE"""),2014.0)</f>
        <v>2014</v>
      </c>
      <c r="F2017" s="9">
        <f>IFERROR(__xludf.DUMMYFUNCTION("""COMPUTED_VALUE"""),750.0)</f>
        <v>750</v>
      </c>
      <c r="G2017" s="9">
        <f>IFERROR(__xludf.DUMMYFUNCTION("""COMPUTED_VALUE"""),6.0)</f>
        <v>6</v>
      </c>
      <c r="H2017" s="10">
        <f>IFERROR(__xludf.DUMMYFUNCTION("""COMPUTED_VALUE"""),3.0)</f>
        <v>3</v>
      </c>
      <c r="I2017" s="11">
        <f>IFERROR(__xludf.DUMMYFUNCTION("""COMPUTED_VALUE"""),492.0)</f>
        <v>492</v>
      </c>
      <c r="J2017" s="9" t="str">
        <f>IFERROR(__xludf.DUMMYFUNCTION("""COMPUTED_VALUE"""),"UK")</f>
        <v>UK</v>
      </c>
      <c r="K2017" s="8"/>
      <c r="L2017" s="12"/>
      <c r="M2017" s="13"/>
      <c r="N2017" s="13" t="str">
        <f>IFERROR(__xludf.DUMMYFUNCTION("IF(ISBLANK(M2017),"""",M2017*GOOGLEFINANCE(""USDGBP""))"),"")</f>
        <v/>
      </c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  <c r="FG2017" s="8"/>
      <c r="FH2017" s="8"/>
      <c r="FI2017" s="8"/>
      <c r="FJ2017" s="8"/>
      <c r="FK2017" s="8"/>
      <c r="FL2017" s="8"/>
      <c r="FM2017" s="8"/>
      <c r="FN2017" s="8"/>
      <c r="FO2017" s="8"/>
      <c r="FP2017" s="8"/>
      <c r="FQ2017" s="8"/>
      <c r="FR2017" s="8"/>
      <c r="FS2017" s="8"/>
      <c r="FT2017" s="8"/>
      <c r="FU2017" s="8"/>
      <c r="FV2017" s="8"/>
      <c r="FW2017" s="8"/>
      <c r="FX2017" s="8"/>
      <c r="FY2017" s="8"/>
      <c r="FZ2017" s="8"/>
      <c r="GA2017" s="8"/>
      <c r="GB2017" s="8"/>
      <c r="GC2017" s="8"/>
      <c r="GD2017" s="8"/>
      <c r="GE2017" s="8"/>
      <c r="GF2017" s="8"/>
      <c r="GG2017" s="8"/>
      <c r="GH2017" s="8"/>
      <c r="GI2017" s="8"/>
      <c r="GJ2017" s="8"/>
      <c r="GK2017" s="8"/>
      <c r="GL2017" s="8"/>
      <c r="GM2017" s="8"/>
      <c r="GN2017" s="8"/>
      <c r="GO2017" s="8"/>
      <c r="GP2017" s="8"/>
      <c r="GQ2017" s="8"/>
      <c r="GR2017" s="8"/>
      <c r="GS2017" s="8"/>
      <c r="GT2017" s="8"/>
      <c r="GU2017" s="8"/>
      <c r="GV2017" s="8"/>
      <c r="GW2017" s="8"/>
      <c r="GX2017" s="8"/>
    </row>
    <row r="2018">
      <c r="A2018" s="8" t="str">
        <f>IFERROR(__xludf.DUMMYFUNCTION("""COMPUTED_VALUE"""),"154775720170600750")</f>
        <v>154775720170600750</v>
      </c>
      <c r="B2018" s="9" t="str">
        <f>IFERROR(__xludf.DUMMYFUNCTION("""COMPUTED_VALUE"""),"Italy")</f>
        <v>Italy</v>
      </c>
      <c r="C2018" s="9" t="str">
        <f>IFERROR(__xludf.DUMMYFUNCTION("""COMPUTED_VALUE"""),"piedmont")</f>
        <v>piedmont</v>
      </c>
      <c r="D2018" s="9" t="str">
        <f>IFERROR(__xludf.DUMMYFUNCTION("""COMPUTED_VALUE"""),"Poderi Aldo Conterno, Barolo, Bussia Cicala")</f>
        <v>Poderi Aldo Conterno, Barolo, Bussia Cicala</v>
      </c>
      <c r="E2018" s="9">
        <f>IFERROR(__xludf.DUMMYFUNCTION("""COMPUTED_VALUE"""),2017.0)</f>
        <v>2017</v>
      </c>
      <c r="F2018" s="9">
        <f>IFERROR(__xludf.DUMMYFUNCTION("""COMPUTED_VALUE"""),750.0)</f>
        <v>750</v>
      </c>
      <c r="G2018" s="9">
        <f>IFERROR(__xludf.DUMMYFUNCTION("""COMPUTED_VALUE"""),6.0)</f>
        <v>6</v>
      </c>
      <c r="H2018" s="10">
        <f>IFERROR(__xludf.DUMMYFUNCTION("""COMPUTED_VALUE"""),2.0)</f>
        <v>2</v>
      </c>
      <c r="I2018" s="11">
        <f>IFERROR(__xludf.DUMMYFUNCTION("""COMPUTED_VALUE"""),636.0)</f>
        <v>636</v>
      </c>
      <c r="J2018" s="9" t="str">
        <f>IFERROR(__xludf.DUMMYFUNCTION("""COMPUTED_VALUE"""),"UK")</f>
        <v>UK</v>
      </c>
      <c r="K2018" s="8"/>
      <c r="L2018" s="12"/>
      <c r="M2018" s="13"/>
      <c r="N2018" s="13" t="str">
        <f>IFERROR(__xludf.DUMMYFUNCTION("IF(ISBLANK(M2018),"""",M2018*GOOGLEFINANCE(""USDGBP""))"),"")</f>
        <v/>
      </c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  <c r="FG2018" s="8"/>
      <c r="FH2018" s="8"/>
      <c r="FI2018" s="8"/>
      <c r="FJ2018" s="8"/>
      <c r="FK2018" s="8"/>
      <c r="FL2018" s="8"/>
      <c r="FM2018" s="8"/>
      <c r="FN2018" s="8"/>
      <c r="FO2018" s="8"/>
      <c r="FP2018" s="8"/>
      <c r="FQ2018" s="8"/>
      <c r="FR2018" s="8"/>
      <c r="FS2018" s="8"/>
      <c r="FT2018" s="8"/>
      <c r="FU2018" s="8"/>
      <c r="FV2018" s="8"/>
      <c r="FW2018" s="8"/>
      <c r="FX2018" s="8"/>
      <c r="FY2018" s="8"/>
      <c r="FZ2018" s="8"/>
      <c r="GA2018" s="8"/>
      <c r="GB2018" s="8"/>
      <c r="GC2018" s="8"/>
      <c r="GD2018" s="8"/>
      <c r="GE2018" s="8"/>
      <c r="GF2018" s="8"/>
      <c r="GG2018" s="8"/>
      <c r="GH2018" s="8"/>
      <c r="GI2018" s="8"/>
      <c r="GJ2018" s="8"/>
      <c r="GK2018" s="8"/>
      <c r="GL2018" s="8"/>
      <c r="GM2018" s="8"/>
      <c r="GN2018" s="8"/>
      <c r="GO2018" s="8"/>
      <c r="GP2018" s="8"/>
      <c r="GQ2018" s="8"/>
      <c r="GR2018" s="8"/>
      <c r="GS2018" s="8"/>
      <c r="GT2018" s="8"/>
      <c r="GU2018" s="8"/>
      <c r="GV2018" s="8"/>
      <c r="GW2018" s="8"/>
      <c r="GX2018" s="8"/>
    </row>
    <row r="2019">
      <c r="A2019" s="8" t="str">
        <f>IFERROR(__xludf.DUMMYFUNCTION("""COMPUTED_VALUE"""),"119444320160600750")</f>
        <v>119444320160600750</v>
      </c>
      <c r="B2019" s="9" t="str">
        <f>IFERROR(__xludf.DUMMYFUNCTION("""COMPUTED_VALUE"""),"Italy")</f>
        <v>Italy</v>
      </c>
      <c r="C2019" s="9" t="str">
        <f>IFERROR(__xludf.DUMMYFUNCTION("""COMPUTED_VALUE"""),"piedmont")</f>
        <v>piedmont</v>
      </c>
      <c r="D2019" s="9" t="str">
        <f>IFERROR(__xludf.DUMMYFUNCTION("""COMPUTED_VALUE"""),"Poderi Aldo Conterno, Barolo, Bussia Colonnello")</f>
        <v>Poderi Aldo Conterno, Barolo, Bussia Colonnello</v>
      </c>
      <c r="E2019" s="9">
        <f>IFERROR(__xludf.DUMMYFUNCTION("""COMPUTED_VALUE"""),2016.0)</f>
        <v>2016</v>
      </c>
      <c r="F2019" s="9">
        <f>IFERROR(__xludf.DUMMYFUNCTION("""COMPUTED_VALUE"""),750.0)</f>
        <v>750</v>
      </c>
      <c r="G2019" s="9">
        <f>IFERROR(__xludf.DUMMYFUNCTION("""COMPUTED_VALUE"""),6.0)</f>
        <v>6</v>
      </c>
      <c r="H2019" s="10">
        <f>IFERROR(__xludf.DUMMYFUNCTION("""COMPUTED_VALUE"""),1.0)</f>
        <v>1</v>
      </c>
      <c r="I2019" s="11">
        <f>IFERROR(__xludf.DUMMYFUNCTION("""COMPUTED_VALUE"""),632.0)</f>
        <v>632</v>
      </c>
      <c r="J2019" s="9" t="str">
        <f>IFERROR(__xludf.DUMMYFUNCTION("""COMPUTED_VALUE"""),"UK")</f>
        <v>UK</v>
      </c>
      <c r="K2019" s="8"/>
      <c r="L2019" s="12"/>
      <c r="M2019" s="13"/>
      <c r="N2019" s="13" t="str">
        <f>IFERROR(__xludf.DUMMYFUNCTION("IF(ISBLANK(M2019),"""",M2019*GOOGLEFINANCE(""USDGBP""))"),"")</f>
        <v/>
      </c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  <c r="FG2019" s="8"/>
      <c r="FH2019" s="8"/>
      <c r="FI2019" s="8"/>
      <c r="FJ2019" s="8"/>
      <c r="FK2019" s="8"/>
      <c r="FL2019" s="8"/>
      <c r="FM2019" s="8"/>
      <c r="FN2019" s="8"/>
      <c r="FO2019" s="8"/>
      <c r="FP2019" s="8"/>
      <c r="FQ2019" s="8"/>
      <c r="FR2019" s="8"/>
      <c r="FS2019" s="8"/>
      <c r="FT2019" s="8"/>
      <c r="FU2019" s="8"/>
      <c r="FV2019" s="8"/>
      <c r="FW2019" s="8"/>
      <c r="FX2019" s="8"/>
      <c r="FY2019" s="8"/>
      <c r="FZ2019" s="8"/>
      <c r="GA2019" s="8"/>
      <c r="GB2019" s="8"/>
      <c r="GC2019" s="8"/>
      <c r="GD2019" s="8"/>
      <c r="GE2019" s="8"/>
      <c r="GF2019" s="8"/>
      <c r="GG2019" s="8"/>
      <c r="GH2019" s="8"/>
      <c r="GI2019" s="8"/>
      <c r="GJ2019" s="8"/>
      <c r="GK2019" s="8"/>
      <c r="GL2019" s="8"/>
      <c r="GM2019" s="8"/>
      <c r="GN2019" s="8"/>
      <c r="GO2019" s="8"/>
      <c r="GP2019" s="8"/>
      <c r="GQ2019" s="8"/>
      <c r="GR2019" s="8"/>
      <c r="GS2019" s="8"/>
      <c r="GT2019" s="8"/>
      <c r="GU2019" s="8"/>
      <c r="GV2019" s="8"/>
      <c r="GW2019" s="8"/>
      <c r="GX2019" s="8"/>
    </row>
    <row r="2020">
      <c r="A2020" s="8" t="str">
        <f>IFERROR(__xludf.DUMMYFUNCTION("""COMPUTED_VALUE"""),"119444320170600750")</f>
        <v>119444320170600750</v>
      </c>
      <c r="B2020" s="9" t="str">
        <f>IFERROR(__xludf.DUMMYFUNCTION("""COMPUTED_VALUE"""),"Italy")</f>
        <v>Italy</v>
      </c>
      <c r="C2020" s="9" t="str">
        <f>IFERROR(__xludf.DUMMYFUNCTION("""COMPUTED_VALUE"""),"piedmont")</f>
        <v>piedmont</v>
      </c>
      <c r="D2020" s="9" t="str">
        <f>IFERROR(__xludf.DUMMYFUNCTION("""COMPUTED_VALUE"""),"Poderi Aldo Conterno, Barolo, Bussia Colonnello")</f>
        <v>Poderi Aldo Conterno, Barolo, Bussia Colonnello</v>
      </c>
      <c r="E2020" s="9">
        <f>IFERROR(__xludf.DUMMYFUNCTION("""COMPUTED_VALUE"""),2017.0)</f>
        <v>2017</v>
      </c>
      <c r="F2020" s="9">
        <f>IFERROR(__xludf.DUMMYFUNCTION("""COMPUTED_VALUE"""),750.0)</f>
        <v>750</v>
      </c>
      <c r="G2020" s="9">
        <f>IFERROR(__xludf.DUMMYFUNCTION("""COMPUTED_VALUE"""),6.0)</f>
        <v>6</v>
      </c>
      <c r="H2020" s="10">
        <f>IFERROR(__xludf.DUMMYFUNCTION("""COMPUTED_VALUE"""),1.0)</f>
        <v>1</v>
      </c>
      <c r="I2020" s="11">
        <f>IFERROR(__xludf.DUMMYFUNCTION("""COMPUTED_VALUE"""),629.0)</f>
        <v>629</v>
      </c>
      <c r="J2020" s="9" t="str">
        <f>IFERROR(__xludf.DUMMYFUNCTION("""COMPUTED_VALUE"""),"UK")</f>
        <v>UK</v>
      </c>
      <c r="K2020" s="8"/>
      <c r="L2020" s="12"/>
      <c r="M2020" s="13"/>
      <c r="N2020" s="13" t="str">
        <f>IFERROR(__xludf.DUMMYFUNCTION("IF(ISBLANK(M2020),"""",M2020*GOOGLEFINANCE(""USDGBP""))"),"")</f>
        <v/>
      </c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  <c r="FG2020" s="8"/>
      <c r="FH2020" s="8"/>
      <c r="FI2020" s="8"/>
      <c r="FJ2020" s="8"/>
      <c r="FK2020" s="8"/>
      <c r="FL2020" s="8"/>
      <c r="FM2020" s="8"/>
      <c r="FN2020" s="8"/>
      <c r="FO2020" s="8"/>
      <c r="FP2020" s="8"/>
      <c r="FQ2020" s="8"/>
      <c r="FR2020" s="8"/>
      <c r="FS2020" s="8"/>
      <c r="FT2020" s="8"/>
      <c r="FU2020" s="8"/>
      <c r="FV2020" s="8"/>
      <c r="FW2020" s="8"/>
      <c r="FX2020" s="8"/>
      <c r="FY2020" s="8"/>
      <c r="FZ2020" s="8"/>
      <c r="GA2020" s="8"/>
      <c r="GB2020" s="8"/>
      <c r="GC2020" s="8"/>
      <c r="GD2020" s="8"/>
      <c r="GE2020" s="8"/>
      <c r="GF2020" s="8"/>
      <c r="GG2020" s="8"/>
      <c r="GH2020" s="8"/>
      <c r="GI2020" s="8"/>
      <c r="GJ2020" s="8"/>
      <c r="GK2020" s="8"/>
      <c r="GL2020" s="8"/>
      <c r="GM2020" s="8"/>
      <c r="GN2020" s="8"/>
      <c r="GO2020" s="8"/>
      <c r="GP2020" s="8"/>
      <c r="GQ2020" s="8"/>
      <c r="GR2020" s="8"/>
      <c r="GS2020" s="8"/>
      <c r="GT2020" s="8"/>
      <c r="GU2020" s="8"/>
      <c r="GV2020" s="8"/>
      <c r="GW2020" s="8"/>
      <c r="GX2020" s="8"/>
    </row>
    <row r="2021">
      <c r="A2021" s="8" t="str">
        <f>IFERROR(__xludf.DUMMYFUNCTION("""COMPUTED_VALUE"""),"109823320120600750")</f>
        <v>109823320120600750</v>
      </c>
      <c r="B2021" s="9" t="str">
        <f>IFERROR(__xludf.DUMMYFUNCTION("""COMPUTED_VALUE"""),"Italy")</f>
        <v>Italy</v>
      </c>
      <c r="C2021" s="9" t="str">
        <f>IFERROR(__xludf.DUMMYFUNCTION("""COMPUTED_VALUE"""),"piedmont")</f>
        <v>piedmont</v>
      </c>
      <c r="D2021" s="9" t="str">
        <f>IFERROR(__xludf.DUMMYFUNCTION("""COMPUTED_VALUE"""),"Poderi Aldo Conterno, Barolo, Bussia Romirasco")</f>
        <v>Poderi Aldo Conterno, Barolo, Bussia Romirasco</v>
      </c>
      <c r="E2021" s="9">
        <f>IFERROR(__xludf.DUMMYFUNCTION("""COMPUTED_VALUE"""),2012.0)</f>
        <v>2012</v>
      </c>
      <c r="F2021" s="9">
        <f>IFERROR(__xludf.DUMMYFUNCTION("""COMPUTED_VALUE"""),750.0)</f>
        <v>750</v>
      </c>
      <c r="G2021" s="9">
        <f>IFERROR(__xludf.DUMMYFUNCTION("""COMPUTED_VALUE"""),6.0)</f>
        <v>6</v>
      </c>
      <c r="H2021" s="10">
        <f>IFERROR(__xludf.DUMMYFUNCTION("""COMPUTED_VALUE"""),1.0)</f>
        <v>1</v>
      </c>
      <c r="I2021" s="11">
        <f>IFERROR(__xludf.DUMMYFUNCTION("""COMPUTED_VALUE"""),839.0)</f>
        <v>839</v>
      </c>
      <c r="J2021" s="9" t="str">
        <f>IFERROR(__xludf.DUMMYFUNCTION("""COMPUTED_VALUE"""),"UK")</f>
        <v>UK</v>
      </c>
      <c r="K2021" s="8"/>
      <c r="L2021" s="12"/>
      <c r="M2021" s="13"/>
      <c r="N2021" s="13" t="str">
        <f>IFERROR(__xludf.DUMMYFUNCTION("IF(ISBLANK(M2021),"""",M2021*GOOGLEFINANCE(""USDGBP""))"),"")</f>
        <v/>
      </c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  <c r="FG2021" s="8"/>
      <c r="FH2021" s="8"/>
      <c r="FI2021" s="8"/>
      <c r="FJ2021" s="8"/>
      <c r="FK2021" s="8"/>
      <c r="FL2021" s="8"/>
      <c r="FM2021" s="8"/>
      <c r="FN2021" s="8"/>
      <c r="FO2021" s="8"/>
      <c r="FP2021" s="8"/>
      <c r="FQ2021" s="8"/>
      <c r="FR2021" s="8"/>
      <c r="FS2021" s="8"/>
      <c r="FT2021" s="8"/>
      <c r="FU2021" s="8"/>
      <c r="FV2021" s="8"/>
      <c r="FW2021" s="8"/>
      <c r="FX2021" s="8"/>
      <c r="FY2021" s="8"/>
      <c r="FZ2021" s="8"/>
      <c r="GA2021" s="8"/>
      <c r="GB2021" s="8"/>
      <c r="GC2021" s="8"/>
      <c r="GD2021" s="8"/>
      <c r="GE2021" s="8"/>
      <c r="GF2021" s="8"/>
      <c r="GG2021" s="8"/>
      <c r="GH2021" s="8"/>
      <c r="GI2021" s="8"/>
      <c r="GJ2021" s="8"/>
      <c r="GK2021" s="8"/>
      <c r="GL2021" s="8"/>
      <c r="GM2021" s="8"/>
      <c r="GN2021" s="8"/>
      <c r="GO2021" s="8"/>
      <c r="GP2021" s="8"/>
      <c r="GQ2021" s="8"/>
      <c r="GR2021" s="8"/>
      <c r="GS2021" s="8"/>
      <c r="GT2021" s="8"/>
      <c r="GU2021" s="8"/>
      <c r="GV2021" s="8"/>
      <c r="GW2021" s="8"/>
      <c r="GX2021" s="8"/>
    </row>
    <row r="2022">
      <c r="A2022" s="8" t="str">
        <f>IFERROR(__xludf.DUMMYFUNCTION("""COMPUTED_VALUE"""),"109821720130600750")</f>
        <v>109821720130600750</v>
      </c>
      <c r="B2022" s="9" t="str">
        <f>IFERROR(__xludf.DUMMYFUNCTION("""COMPUTED_VALUE"""),"Italy")</f>
        <v>Italy</v>
      </c>
      <c r="C2022" s="9" t="str">
        <f>IFERROR(__xludf.DUMMYFUNCTION("""COMPUTED_VALUE"""),"piedmont")</f>
        <v>piedmont</v>
      </c>
      <c r="D2022" s="9" t="str">
        <f>IFERROR(__xludf.DUMMYFUNCTION("""COMPUTED_VALUE"""),"Poderi Aldo Conterno, Barolo, Colonnello")</f>
        <v>Poderi Aldo Conterno, Barolo, Colonnello</v>
      </c>
      <c r="E2022" s="9">
        <f>IFERROR(__xludf.DUMMYFUNCTION("""COMPUTED_VALUE"""),2013.0)</f>
        <v>2013</v>
      </c>
      <c r="F2022" s="9">
        <f>IFERROR(__xludf.DUMMYFUNCTION("""COMPUTED_VALUE"""),750.0)</f>
        <v>750</v>
      </c>
      <c r="G2022" s="9">
        <f>IFERROR(__xludf.DUMMYFUNCTION("""COMPUTED_VALUE"""),6.0)</f>
        <v>6</v>
      </c>
      <c r="H2022" s="10">
        <f>IFERROR(__xludf.DUMMYFUNCTION("""COMPUTED_VALUE"""),1.0)</f>
        <v>1</v>
      </c>
      <c r="I2022" s="11">
        <f>IFERROR(__xludf.DUMMYFUNCTION("""COMPUTED_VALUE"""),649.0)</f>
        <v>649</v>
      </c>
      <c r="J2022" s="9" t="str">
        <f>IFERROR(__xludf.DUMMYFUNCTION("""COMPUTED_VALUE"""),"UK")</f>
        <v>UK</v>
      </c>
      <c r="K2022" s="8"/>
      <c r="L2022" s="12"/>
      <c r="M2022" s="13"/>
      <c r="N2022" s="13" t="str">
        <f>IFERROR(__xludf.DUMMYFUNCTION("IF(ISBLANK(M2022),"""",M2022*GOOGLEFINANCE(""USDGBP""))"),"")</f>
        <v/>
      </c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  <c r="FG2022" s="8"/>
      <c r="FH2022" s="8"/>
      <c r="FI2022" s="8"/>
      <c r="FJ2022" s="8"/>
      <c r="FK2022" s="8"/>
      <c r="FL2022" s="8"/>
      <c r="FM2022" s="8"/>
      <c r="FN2022" s="8"/>
      <c r="FO2022" s="8"/>
      <c r="FP2022" s="8"/>
      <c r="FQ2022" s="8"/>
      <c r="FR2022" s="8"/>
      <c r="FS2022" s="8"/>
      <c r="FT2022" s="8"/>
      <c r="FU2022" s="8"/>
      <c r="FV2022" s="8"/>
      <c r="FW2022" s="8"/>
      <c r="FX2022" s="8"/>
      <c r="FY2022" s="8"/>
      <c r="FZ2022" s="8"/>
      <c r="GA2022" s="8"/>
      <c r="GB2022" s="8"/>
      <c r="GC2022" s="8"/>
      <c r="GD2022" s="8"/>
      <c r="GE2022" s="8"/>
      <c r="GF2022" s="8"/>
      <c r="GG2022" s="8"/>
      <c r="GH2022" s="8"/>
      <c r="GI2022" s="8"/>
      <c r="GJ2022" s="8"/>
      <c r="GK2022" s="8"/>
      <c r="GL2022" s="8"/>
      <c r="GM2022" s="8"/>
      <c r="GN2022" s="8"/>
      <c r="GO2022" s="8"/>
      <c r="GP2022" s="8"/>
      <c r="GQ2022" s="8"/>
      <c r="GR2022" s="8"/>
      <c r="GS2022" s="8"/>
      <c r="GT2022" s="8"/>
      <c r="GU2022" s="8"/>
      <c r="GV2022" s="8"/>
      <c r="GW2022" s="8"/>
      <c r="GX2022" s="8"/>
    </row>
    <row r="2023">
      <c r="A2023" s="8" t="str">
        <f>IFERROR(__xludf.DUMMYFUNCTION("""COMPUTED_VALUE"""),"109821720140600750")</f>
        <v>109821720140600750</v>
      </c>
      <c r="B2023" s="9" t="str">
        <f>IFERROR(__xludf.DUMMYFUNCTION("""COMPUTED_VALUE"""),"Italy")</f>
        <v>Italy</v>
      </c>
      <c r="C2023" s="9" t="str">
        <f>IFERROR(__xludf.DUMMYFUNCTION("""COMPUTED_VALUE"""),"piedmont")</f>
        <v>piedmont</v>
      </c>
      <c r="D2023" s="9" t="str">
        <f>IFERROR(__xludf.DUMMYFUNCTION("""COMPUTED_VALUE"""),"Poderi Aldo Conterno, Barolo, Colonnello")</f>
        <v>Poderi Aldo Conterno, Barolo, Colonnello</v>
      </c>
      <c r="E2023" s="9">
        <f>IFERROR(__xludf.DUMMYFUNCTION("""COMPUTED_VALUE"""),2014.0)</f>
        <v>2014</v>
      </c>
      <c r="F2023" s="9">
        <f>IFERROR(__xludf.DUMMYFUNCTION("""COMPUTED_VALUE"""),750.0)</f>
        <v>750</v>
      </c>
      <c r="G2023" s="9">
        <f>IFERROR(__xludf.DUMMYFUNCTION("""COMPUTED_VALUE"""),6.0)</f>
        <v>6</v>
      </c>
      <c r="H2023" s="10">
        <f>IFERROR(__xludf.DUMMYFUNCTION("""COMPUTED_VALUE"""),3.0)</f>
        <v>3</v>
      </c>
      <c r="I2023" s="11">
        <f>IFERROR(__xludf.DUMMYFUNCTION("""COMPUTED_VALUE"""),627.0)</f>
        <v>627</v>
      </c>
      <c r="J2023" s="9" t="str">
        <f>IFERROR(__xludf.DUMMYFUNCTION("""COMPUTED_VALUE"""),"UK")</f>
        <v>UK</v>
      </c>
      <c r="K2023" s="8"/>
      <c r="L2023" s="12"/>
      <c r="M2023" s="13"/>
      <c r="N2023" s="13" t="str">
        <f>IFERROR(__xludf.DUMMYFUNCTION("IF(ISBLANK(M2023),"""",M2023*GOOGLEFINANCE(""USDGBP""))"),"")</f>
        <v/>
      </c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  <c r="FG2023" s="8"/>
      <c r="FH2023" s="8"/>
      <c r="FI2023" s="8"/>
      <c r="FJ2023" s="8"/>
      <c r="FK2023" s="8"/>
      <c r="FL2023" s="8"/>
      <c r="FM2023" s="8"/>
      <c r="FN2023" s="8"/>
      <c r="FO2023" s="8"/>
      <c r="FP2023" s="8"/>
      <c r="FQ2023" s="8"/>
      <c r="FR2023" s="8"/>
      <c r="FS2023" s="8"/>
      <c r="FT2023" s="8"/>
      <c r="FU2023" s="8"/>
      <c r="FV2023" s="8"/>
      <c r="FW2023" s="8"/>
      <c r="FX2023" s="8"/>
      <c r="FY2023" s="8"/>
      <c r="FZ2023" s="8"/>
      <c r="GA2023" s="8"/>
      <c r="GB2023" s="8"/>
      <c r="GC2023" s="8"/>
      <c r="GD2023" s="8"/>
      <c r="GE2023" s="8"/>
      <c r="GF2023" s="8"/>
      <c r="GG2023" s="8"/>
      <c r="GH2023" s="8"/>
      <c r="GI2023" s="8"/>
      <c r="GJ2023" s="8"/>
      <c r="GK2023" s="8"/>
      <c r="GL2023" s="8"/>
      <c r="GM2023" s="8"/>
      <c r="GN2023" s="8"/>
      <c r="GO2023" s="8"/>
      <c r="GP2023" s="8"/>
      <c r="GQ2023" s="8"/>
      <c r="GR2023" s="8"/>
      <c r="GS2023" s="8"/>
      <c r="GT2023" s="8"/>
      <c r="GU2023" s="8"/>
      <c r="GV2023" s="8"/>
      <c r="GW2023" s="8"/>
      <c r="GX2023" s="8"/>
    </row>
    <row r="2024">
      <c r="A2024" s="8" t="str">
        <f>IFERROR(__xludf.DUMMYFUNCTION("""COMPUTED_VALUE"""),"109821720160600750")</f>
        <v>109821720160600750</v>
      </c>
      <c r="B2024" s="9" t="str">
        <f>IFERROR(__xludf.DUMMYFUNCTION("""COMPUTED_VALUE"""),"Italy")</f>
        <v>Italy</v>
      </c>
      <c r="C2024" s="9" t="str">
        <f>IFERROR(__xludf.DUMMYFUNCTION("""COMPUTED_VALUE"""),"piedmont")</f>
        <v>piedmont</v>
      </c>
      <c r="D2024" s="9" t="str">
        <f>IFERROR(__xludf.DUMMYFUNCTION("""COMPUTED_VALUE"""),"Poderi Aldo Conterno, Barolo, Colonnello")</f>
        <v>Poderi Aldo Conterno, Barolo, Colonnello</v>
      </c>
      <c r="E2024" s="9">
        <f>IFERROR(__xludf.DUMMYFUNCTION("""COMPUTED_VALUE"""),2016.0)</f>
        <v>2016</v>
      </c>
      <c r="F2024" s="9">
        <f>IFERROR(__xludf.DUMMYFUNCTION("""COMPUTED_VALUE"""),750.0)</f>
        <v>750</v>
      </c>
      <c r="G2024" s="9">
        <f>IFERROR(__xludf.DUMMYFUNCTION("""COMPUTED_VALUE"""),6.0)</f>
        <v>6</v>
      </c>
      <c r="H2024" s="10">
        <f>IFERROR(__xludf.DUMMYFUNCTION("""COMPUTED_VALUE"""),2.0)</f>
        <v>2</v>
      </c>
      <c r="I2024" s="11">
        <f>IFERROR(__xludf.DUMMYFUNCTION("""COMPUTED_VALUE"""),800.0)</f>
        <v>800</v>
      </c>
      <c r="J2024" s="9" t="str">
        <f>IFERROR(__xludf.DUMMYFUNCTION("""COMPUTED_VALUE"""),"UK")</f>
        <v>UK</v>
      </c>
      <c r="K2024" s="8"/>
      <c r="L2024" s="12"/>
      <c r="M2024" s="13"/>
      <c r="N2024" s="13" t="str">
        <f>IFERROR(__xludf.DUMMYFUNCTION("IF(ISBLANK(M2024),"""",M2024*GOOGLEFINANCE(""USDGBP""))"),"")</f>
        <v/>
      </c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  <c r="FG2024" s="8"/>
      <c r="FH2024" s="8"/>
      <c r="FI2024" s="8"/>
      <c r="FJ2024" s="8"/>
      <c r="FK2024" s="8"/>
      <c r="FL2024" s="8"/>
      <c r="FM2024" s="8"/>
      <c r="FN2024" s="8"/>
      <c r="FO2024" s="8"/>
      <c r="FP2024" s="8"/>
      <c r="FQ2024" s="8"/>
      <c r="FR2024" s="8"/>
      <c r="FS2024" s="8"/>
      <c r="FT2024" s="8"/>
      <c r="FU2024" s="8"/>
      <c r="FV2024" s="8"/>
      <c r="FW2024" s="8"/>
      <c r="FX2024" s="8"/>
      <c r="FY2024" s="8"/>
      <c r="FZ2024" s="8"/>
      <c r="GA2024" s="8"/>
      <c r="GB2024" s="8"/>
      <c r="GC2024" s="8"/>
      <c r="GD2024" s="8"/>
      <c r="GE2024" s="8"/>
      <c r="GF2024" s="8"/>
      <c r="GG2024" s="8"/>
      <c r="GH2024" s="8"/>
      <c r="GI2024" s="8"/>
      <c r="GJ2024" s="8"/>
      <c r="GK2024" s="8"/>
      <c r="GL2024" s="8"/>
      <c r="GM2024" s="8"/>
      <c r="GN2024" s="8"/>
      <c r="GO2024" s="8"/>
      <c r="GP2024" s="8"/>
      <c r="GQ2024" s="8"/>
      <c r="GR2024" s="8"/>
      <c r="GS2024" s="8"/>
      <c r="GT2024" s="8"/>
      <c r="GU2024" s="8"/>
      <c r="GV2024" s="8"/>
      <c r="GW2024" s="8"/>
      <c r="GX2024" s="8"/>
    </row>
    <row r="2025">
      <c r="A2025" s="8" t="str">
        <f>IFERROR(__xludf.DUMMYFUNCTION("""COMPUTED_VALUE"""),"109821720170600750")</f>
        <v>109821720170600750</v>
      </c>
      <c r="B2025" s="9" t="str">
        <f>IFERROR(__xludf.DUMMYFUNCTION("""COMPUTED_VALUE"""),"Italy")</f>
        <v>Italy</v>
      </c>
      <c r="C2025" s="9" t="str">
        <f>IFERROR(__xludf.DUMMYFUNCTION("""COMPUTED_VALUE"""),"piedmont")</f>
        <v>piedmont</v>
      </c>
      <c r="D2025" s="9" t="str">
        <f>IFERROR(__xludf.DUMMYFUNCTION("""COMPUTED_VALUE"""),"Poderi Aldo Conterno, Barolo, Colonnello")</f>
        <v>Poderi Aldo Conterno, Barolo, Colonnello</v>
      </c>
      <c r="E2025" s="9">
        <f>IFERROR(__xludf.DUMMYFUNCTION("""COMPUTED_VALUE"""),2017.0)</f>
        <v>2017</v>
      </c>
      <c r="F2025" s="9">
        <f>IFERROR(__xludf.DUMMYFUNCTION("""COMPUTED_VALUE"""),750.0)</f>
        <v>750</v>
      </c>
      <c r="G2025" s="9">
        <f>IFERROR(__xludf.DUMMYFUNCTION("""COMPUTED_VALUE"""),6.0)</f>
        <v>6</v>
      </c>
      <c r="H2025" s="10">
        <f>IFERROR(__xludf.DUMMYFUNCTION("""COMPUTED_VALUE"""),4.0)</f>
        <v>4</v>
      </c>
      <c r="I2025" s="11">
        <f>IFERROR(__xludf.DUMMYFUNCTION("""COMPUTED_VALUE"""),619.0)</f>
        <v>619</v>
      </c>
      <c r="J2025" s="9" t="str">
        <f>IFERROR(__xludf.DUMMYFUNCTION("""COMPUTED_VALUE"""),"UK")</f>
        <v>UK</v>
      </c>
      <c r="K2025" s="8"/>
      <c r="L2025" s="12"/>
      <c r="M2025" s="13"/>
      <c r="N2025" s="13" t="str">
        <f>IFERROR(__xludf.DUMMYFUNCTION("IF(ISBLANK(M2025),"""",M2025*GOOGLEFINANCE(""USDGBP""))"),"")</f>
        <v/>
      </c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  <c r="FG2025" s="8"/>
      <c r="FH2025" s="8"/>
      <c r="FI2025" s="8"/>
      <c r="FJ2025" s="8"/>
      <c r="FK2025" s="8"/>
      <c r="FL2025" s="8"/>
      <c r="FM2025" s="8"/>
      <c r="FN2025" s="8"/>
      <c r="FO2025" s="8"/>
      <c r="FP2025" s="8"/>
      <c r="FQ2025" s="8"/>
      <c r="FR2025" s="8"/>
      <c r="FS2025" s="8"/>
      <c r="FT2025" s="8"/>
      <c r="FU2025" s="8"/>
      <c r="FV2025" s="8"/>
      <c r="FW2025" s="8"/>
      <c r="FX2025" s="8"/>
      <c r="FY2025" s="8"/>
      <c r="FZ2025" s="8"/>
      <c r="GA2025" s="8"/>
      <c r="GB2025" s="8"/>
      <c r="GC2025" s="8"/>
      <c r="GD2025" s="8"/>
      <c r="GE2025" s="8"/>
      <c r="GF2025" s="8"/>
      <c r="GG2025" s="8"/>
      <c r="GH2025" s="8"/>
      <c r="GI2025" s="8"/>
      <c r="GJ2025" s="8"/>
      <c r="GK2025" s="8"/>
      <c r="GL2025" s="8"/>
      <c r="GM2025" s="8"/>
      <c r="GN2025" s="8"/>
      <c r="GO2025" s="8"/>
      <c r="GP2025" s="8"/>
      <c r="GQ2025" s="8"/>
      <c r="GR2025" s="8"/>
      <c r="GS2025" s="8"/>
      <c r="GT2025" s="8"/>
      <c r="GU2025" s="8"/>
      <c r="GV2025" s="8"/>
      <c r="GW2025" s="8"/>
      <c r="GX2025" s="8"/>
    </row>
    <row r="2026">
      <c r="A2026" s="8" t="str">
        <f>IFERROR(__xludf.DUMMYFUNCTION("""COMPUTED_VALUE"""),"127992020091200750")</f>
        <v>127992020091200750</v>
      </c>
      <c r="B2026" s="9" t="str">
        <f>IFERROR(__xludf.DUMMYFUNCTION("""COMPUTED_VALUE"""),"Italy")</f>
        <v>Italy</v>
      </c>
      <c r="C2026" s="9" t="str">
        <f>IFERROR(__xludf.DUMMYFUNCTION("""COMPUTED_VALUE"""),"piedmont")</f>
        <v>piedmont</v>
      </c>
      <c r="D2026" s="9" t="str">
        <f>IFERROR(__xludf.DUMMYFUNCTION("""COMPUTED_VALUE"""),"Produttori del Barbaresco, Barbaresco, Muncagota Riserva")</f>
        <v>Produttori del Barbaresco, Barbaresco, Muncagota Riserva</v>
      </c>
      <c r="E2026" s="9">
        <f>IFERROR(__xludf.DUMMYFUNCTION("""COMPUTED_VALUE"""),2009.0)</f>
        <v>2009</v>
      </c>
      <c r="F2026" s="9">
        <f>IFERROR(__xludf.DUMMYFUNCTION("""COMPUTED_VALUE"""),750.0)</f>
        <v>750</v>
      </c>
      <c r="G2026" s="9">
        <f>IFERROR(__xludf.DUMMYFUNCTION("""COMPUTED_VALUE"""),12.0)</f>
        <v>12</v>
      </c>
      <c r="H2026" s="10">
        <f>IFERROR(__xludf.DUMMYFUNCTION("""COMPUTED_VALUE"""),3.0)</f>
        <v>3</v>
      </c>
      <c r="I2026" s="11">
        <f>IFERROR(__xludf.DUMMYFUNCTION("""COMPUTED_VALUE"""),728.0)</f>
        <v>728</v>
      </c>
      <c r="J2026" s="9" t="str">
        <f>IFERROR(__xludf.DUMMYFUNCTION("""COMPUTED_VALUE"""),"UK")</f>
        <v>UK</v>
      </c>
      <c r="K2026" s="8"/>
      <c r="L2026" s="12"/>
      <c r="M2026" s="13"/>
      <c r="N2026" s="13" t="str">
        <f>IFERROR(__xludf.DUMMYFUNCTION("IF(ISBLANK(M2026),"""",M2026*GOOGLEFINANCE(""USDGBP""))"),"")</f>
        <v/>
      </c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  <c r="FG2026" s="8"/>
      <c r="FH2026" s="8"/>
      <c r="FI2026" s="8"/>
      <c r="FJ2026" s="8"/>
      <c r="FK2026" s="8"/>
      <c r="FL2026" s="8"/>
      <c r="FM2026" s="8"/>
      <c r="FN2026" s="8"/>
      <c r="FO2026" s="8"/>
      <c r="FP2026" s="8"/>
      <c r="FQ2026" s="8"/>
      <c r="FR2026" s="8"/>
      <c r="FS2026" s="8"/>
      <c r="FT2026" s="8"/>
      <c r="FU2026" s="8"/>
      <c r="FV2026" s="8"/>
      <c r="FW2026" s="8"/>
      <c r="FX2026" s="8"/>
      <c r="FY2026" s="8"/>
      <c r="FZ2026" s="8"/>
      <c r="GA2026" s="8"/>
      <c r="GB2026" s="8"/>
      <c r="GC2026" s="8"/>
      <c r="GD2026" s="8"/>
      <c r="GE2026" s="8"/>
      <c r="GF2026" s="8"/>
      <c r="GG2026" s="8"/>
      <c r="GH2026" s="8"/>
      <c r="GI2026" s="8"/>
      <c r="GJ2026" s="8"/>
      <c r="GK2026" s="8"/>
      <c r="GL2026" s="8"/>
      <c r="GM2026" s="8"/>
      <c r="GN2026" s="8"/>
      <c r="GO2026" s="8"/>
      <c r="GP2026" s="8"/>
      <c r="GQ2026" s="8"/>
      <c r="GR2026" s="8"/>
      <c r="GS2026" s="8"/>
      <c r="GT2026" s="8"/>
      <c r="GU2026" s="8"/>
      <c r="GV2026" s="8"/>
      <c r="GW2026" s="8"/>
      <c r="GX2026" s="8"/>
    </row>
    <row r="2027">
      <c r="A2027" s="8" t="str">
        <f>IFERROR(__xludf.DUMMYFUNCTION("""COMPUTED_VALUE"""),"127992020141200750")</f>
        <v>127992020141200750</v>
      </c>
      <c r="B2027" s="9" t="str">
        <f>IFERROR(__xludf.DUMMYFUNCTION("""COMPUTED_VALUE"""),"Italy")</f>
        <v>Italy</v>
      </c>
      <c r="C2027" s="9" t="str">
        <f>IFERROR(__xludf.DUMMYFUNCTION("""COMPUTED_VALUE"""),"piedmont")</f>
        <v>piedmont</v>
      </c>
      <c r="D2027" s="9" t="str">
        <f>IFERROR(__xludf.DUMMYFUNCTION("""COMPUTED_VALUE"""),"Produttori del Barbaresco, Barbaresco, Muncagota Riserva")</f>
        <v>Produttori del Barbaresco, Barbaresco, Muncagota Riserva</v>
      </c>
      <c r="E2027" s="9">
        <f>IFERROR(__xludf.DUMMYFUNCTION("""COMPUTED_VALUE"""),2014.0)</f>
        <v>2014</v>
      </c>
      <c r="F2027" s="9">
        <f>IFERROR(__xludf.DUMMYFUNCTION("""COMPUTED_VALUE"""),750.0)</f>
        <v>750</v>
      </c>
      <c r="G2027" s="9">
        <f>IFERROR(__xludf.DUMMYFUNCTION("""COMPUTED_VALUE"""),12.0)</f>
        <v>12</v>
      </c>
      <c r="H2027" s="10">
        <f>IFERROR(__xludf.DUMMYFUNCTION("""COMPUTED_VALUE"""),2.0)</f>
        <v>2</v>
      </c>
      <c r="I2027" s="11">
        <f>IFERROR(__xludf.DUMMYFUNCTION("""COMPUTED_VALUE"""),549.0)</f>
        <v>549</v>
      </c>
      <c r="J2027" s="9" t="str">
        <f>IFERROR(__xludf.DUMMYFUNCTION("""COMPUTED_VALUE"""),"UK")</f>
        <v>UK</v>
      </c>
      <c r="K2027" s="8"/>
      <c r="L2027" s="12"/>
      <c r="M2027" s="13"/>
      <c r="N2027" s="13" t="str">
        <f>IFERROR(__xludf.DUMMYFUNCTION("IF(ISBLANK(M2027),"""",M2027*GOOGLEFINANCE(""USDGBP""))"),"")</f>
        <v/>
      </c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  <c r="FG2027" s="8"/>
      <c r="FH2027" s="8"/>
      <c r="FI2027" s="8"/>
      <c r="FJ2027" s="8"/>
      <c r="FK2027" s="8"/>
      <c r="FL2027" s="8"/>
      <c r="FM2027" s="8"/>
      <c r="FN2027" s="8"/>
      <c r="FO2027" s="8"/>
      <c r="FP2027" s="8"/>
      <c r="FQ2027" s="8"/>
      <c r="FR2027" s="8"/>
      <c r="FS2027" s="8"/>
      <c r="FT2027" s="8"/>
      <c r="FU2027" s="8"/>
      <c r="FV2027" s="8"/>
      <c r="FW2027" s="8"/>
      <c r="FX2027" s="8"/>
      <c r="FY2027" s="8"/>
      <c r="FZ2027" s="8"/>
      <c r="GA2027" s="8"/>
      <c r="GB2027" s="8"/>
      <c r="GC2027" s="8"/>
      <c r="GD2027" s="8"/>
      <c r="GE2027" s="8"/>
      <c r="GF2027" s="8"/>
      <c r="GG2027" s="8"/>
      <c r="GH2027" s="8"/>
      <c r="GI2027" s="8"/>
      <c r="GJ2027" s="8"/>
      <c r="GK2027" s="8"/>
      <c r="GL2027" s="8"/>
      <c r="GM2027" s="8"/>
      <c r="GN2027" s="8"/>
      <c r="GO2027" s="8"/>
      <c r="GP2027" s="8"/>
      <c r="GQ2027" s="8"/>
      <c r="GR2027" s="8"/>
      <c r="GS2027" s="8"/>
      <c r="GT2027" s="8"/>
      <c r="GU2027" s="8"/>
      <c r="GV2027" s="8"/>
      <c r="GW2027" s="8"/>
      <c r="GX2027" s="8"/>
    </row>
    <row r="2028">
      <c r="A2028" s="8" t="str">
        <f>IFERROR(__xludf.DUMMYFUNCTION("""COMPUTED_VALUE"""),"110342520150601500")</f>
        <v>110342520150601500</v>
      </c>
      <c r="B2028" s="9" t="str">
        <f>IFERROR(__xludf.DUMMYFUNCTION("""COMPUTED_VALUE"""),"Italy")</f>
        <v>Italy</v>
      </c>
      <c r="C2028" s="9" t="str">
        <f>IFERROR(__xludf.DUMMYFUNCTION("""COMPUTED_VALUE"""),"piedmont")</f>
        <v>piedmont</v>
      </c>
      <c r="D2028" s="9" t="str">
        <f>IFERROR(__xludf.DUMMYFUNCTION("""COMPUTED_VALUE"""),"Produttori del Barbaresco, Barbaresco, Ovello Riserva")</f>
        <v>Produttori del Barbaresco, Barbaresco, Ovello Riserva</v>
      </c>
      <c r="E2028" s="9">
        <f>IFERROR(__xludf.DUMMYFUNCTION("""COMPUTED_VALUE"""),2015.0)</f>
        <v>2015</v>
      </c>
      <c r="F2028" s="9">
        <f>IFERROR(__xludf.DUMMYFUNCTION("""COMPUTED_VALUE"""),1500.0)</f>
        <v>1500</v>
      </c>
      <c r="G2028" s="9">
        <f>IFERROR(__xludf.DUMMYFUNCTION("""COMPUTED_VALUE"""),6.0)</f>
        <v>6</v>
      </c>
      <c r="H2028" s="10">
        <f>IFERROR(__xludf.DUMMYFUNCTION("""COMPUTED_VALUE"""),2.0)</f>
        <v>2</v>
      </c>
      <c r="I2028" s="11">
        <f>IFERROR(__xludf.DUMMYFUNCTION("""COMPUTED_VALUE"""),606.0)</f>
        <v>606</v>
      </c>
      <c r="J2028" s="9" t="str">
        <f>IFERROR(__xludf.DUMMYFUNCTION("""COMPUTED_VALUE"""),"UK")</f>
        <v>UK</v>
      </c>
      <c r="K2028" s="8"/>
      <c r="L2028" s="12"/>
      <c r="M2028" s="13"/>
      <c r="N2028" s="13" t="str">
        <f>IFERROR(__xludf.DUMMYFUNCTION("IF(ISBLANK(M2028),"""",M2028*GOOGLEFINANCE(""USDGBP""))"),"")</f>
        <v/>
      </c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  <c r="FG2028" s="8"/>
      <c r="FH2028" s="8"/>
      <c r="FI2028" s="8"/>
      <c r="FJ2028" s="8"/>
      <c r="FK2028" s="8"/>
      <c r="FL2028" s="8"/>
      <c r="FM2028" s="8"/>
      <c r="FN2028" s="8"/>
      <c r="FO2028" s="8"/>
      <c r="FP2028" s="8"/>
      <c r="FQ2028" s="8"/>
      <c r="FR2028" s="8"/>
      <c r="FS2028" s="8"/>
      <c r="FT2028" s="8"/>
      <c r="FU2028" s="8"/>
      <c r="FV2028" s="8"/>
      <c r="FW2028" s="8"/>
      <c r="FX2028" s="8"/>
      <c r="FY2028" s="8"/>
      <c r="FZ2028" s="8"/>
      <c r="GA2028" s="8"/>
      <c r="GB2028" s="8"/>
      <c r="GC2028" s="8"/>
      <c r="GD2028" s="8"/>
      <c r="GE2028" s="8"/>
      <c r="GF2028" s="8"/>
      <c r="GG2028" s="8"/>
      <c r="GH2028" s="8"/>
      <c r="GI2028" s="8"/>
      <c r="GJ2028" s="8"/>
      <c r="GK2028" s="8"/>
      <c r="GL2028" s="8"/>
      <c r="GM2028" s="8"/>
      <c r="GN2028" s="8"/>
      <c r="GO2028" s="8"/>
      <c r="GP2028" s="8"/>
      <c r="GQ2028" s="8"/>
      <c r="GR2028" s="8"/>
      <c r="GS2028" s="8"/>
      <c r="GT2028" s="8"/>
      <c r="GU2028" s="8"/>
      <c r="GV2028" s="8"/>
      <c r="GW2028" s="8"/>
      <c r="GX2028" s="8"/>
    </row>
    <row r="2029">
      <c r="A2029" s="8" t="str">
        <f>IFERROR(__xludf.DUMMYFUNCTION("""COMPUTED_VALUE"""),"110344120131200750")</f>
        <v>110344120131200750</v>
      </c>
      <c r="B2029" s="9" t="str">
        <f>IFERROR(__xludf.DUMMYFUNCTION("""COMPUTED_VALUE"""),"Italy")</f>
        <v>Italy</v>
      </c>
      <c r="C2029" s="9" t="str">
        <f>IFERROR(__xludf.DUMMYFUNCTION("""COMPUTED_VALUE"""),"piedmont")</f>
        <v>piedmont</v>
      </c>
      <c r="D2029" s="9" t="str">
        <f>IFERROR(__xludf.DUMMYFUNCTION("""COMPUTED_VALUE"""),"Produttori del Barbaresco, Barbaresco, Pora Riserva")</f>
        <v>Produttori del Barbaresco, Barbaresco, Pora Riserva</v>
      </c>
      <c r="E2029" s="9">
        <f>IFERROR(__xludf.DUMMYFUNCTION("""COMPUTED_VALUE"""),2013.0)</f>
        <v>2013</v>
      </c>
      <c r="F2029" s="9">
        <f>IFERROR(__xludf.DUMMYFUNCTION("""COMPUTED_VALUE"""),750.0)</f>
        <v>750</v>
      </c>
      <c r="G2029" s="9">
        <f>IFERROR(__xludf.DUMMYFUNCTION("""COMPUTED_VALUE"""),12.0)</f>
        <v>12</v>
      </c>
      <c r="H2029" s="10">
        <f>IFERROR(__xludf.DUMMYFUNCTION("""COMPUTED_VALUE"""),3.0)</f>
        <v>3</v>
      </c>
      <c r="I2029" s="11">
        <f>IFERROR(__xludf.DUMMYFUNCTION("""COMPUTED_VALUE"""),617.0)</f>
        <v>617</v>
      </c>
      <c r="J2029" s="9" t="str">
        <f>IFERROR(__xludf.DUMMYFUNCTION("""COMPUTED_VALUE"""),"UK")</f>
        <v>UK</v>
      </c>
      <c r="K2029" s="8"/>
      <c r="L2029" s="12"/>
      <c r="M2029" s="13"/>
      <c r="N2029" s="13" t="str">
        <f>IFERROR(__xludf.DUMMYFUNCTION("IF(ISBLANK(M2029),"""",M2029*GOOGLEFINANCE(""USDGBP""))"),"")</f>
        <v/>
      </c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  <c r="FG2029" s="8"/>
      <c r="FH2029" s="8"/>
      <c r="FI2029" s="8"/>
      <c r="FJ2029" s="8"/>
      <c r="FK2029" s="8"/>
      <c r="FL2029" s="8"/>
      <c r="FM2029" s="8"/>
      <c r="FN2029" s="8"/>
      <c r="FO2029" s="8"/>
      <c r="FP2029" s="8"/>
      <c r="FQ2029" s="8"/>
      <c r="FR2029" s="8"/>
      <c r="FS2029" s="8"/>
      <c r="FT2029" s="8"/>
      <c r="FU2029" s="8"/>
      <c r="FV2029" s="8"/>
      <c r="FW2029" s="8"/>
      <c r="FX2029" s="8"/>
      <c r="FY2029" s="8"/>
      <c r="FZ2029" s="8"/>
      <c r="GA2029" s="8"/>
      <c r="GB2029" s="8"/>
      <c r="GC2029" s="8"/>
      <c r="GD2029" s="8"/>
      <c r="GE2029" s="8"/>
      <c r="GF2029" s="8"/>
      <c r="GG2029" s="8"/>
      <c r="GH2029" s="8"/>
      <c r="GI2029" s="8"/>
      <c r="GJ2029" s="8"/>
      <c r="GK2029" s="8"/>
      <c r="GL2029" s="8"/>
      <c r="GM2029" s="8"/>
      <c r="GN2029" s="8"/>
      <c r="GO2029" s="8"/>
      <c r="GP2029" s="8"/>
      <c r="GQ2029" s="8"/>
      <c r="GR2029" s="8"/>
      <c r="GS2029" s="8"/>
      <c r="GT2029" s="8"/>
      <c r="GU2029" s="8"/>
      <c r="GV2029" s="8"/>
      <c r="GW2029" s="8"/>
      <c r="GX2029" s="8"/>
    </row>
    <row r="2030">
      <c r="A2030" s="8" t="str">
        <f>IFERROR(__xludf.DUMMYFUNCTION("""COMPUTED_VALUE"""),"110344120141200750")</f>
        <v>110344120141200750</v>
      </c>
      <c r="B2030" s="9" t="str">
        <f>IFERROR(__xludf.DUMMYFUNCTION("""COMPUTED_VALUE"""),"Italy")</f>
        <v>Italy</v>
      </c>
      <c r="C2030" s="9" t="str">
        <f>IFERROR(__xludf.DUMMYFUNCTION("""COMPUTED_VALUE"""),"piedmont")</f>
        <v>piedmont</v>
      </c>
      <c r="D2030" s="9" t="str">
        <f>IFERROR(__xludf.DUMMYFUNCTION("""COMPUTED_VALUE"""),"Produttori del Barbaresco, Barbaresco, Pora Riserva")</f>
        <v>Produttori del Barbaresco, Barbaresco, Pora Riserva</v>
      </c>
      <c r="E2030" s="9">
        <f>IFERROR(__xludf.DUMMYFUNCTION("""COMPUTED_VALUE"""),2014.0)</f>
        <v>2014</v>
      </c>
      <c r="F2030" s="9">
        <f>IFERROR(__xludf.DUMMYFUNCTION("""COMPUTED_VALUE"""),750.0)</f>
        <v>750</v>
      </c>
      <c r="G2030" s="9">
        <f>IFERROR(__xludf.DUMMYFUNCTION("""COMPUTED_VALUE"""),12.0)</f>
        <v>12</v>
      </c>
      <c r="H2030" s="10">
        <f>IFERROR(__xludf.DUMMYFUNCTION("""COMPUTED_VALUE"""),1.0)</f>
        <v>1</v>
      </c>
      <c r="I2030" s="11">
        <f>IFERROR(__xludf.DUMMYFUNCTION("""COMPUTED_VALUE"""),515.0)</f>
        <v>515</v>
      </c>
      <c r="J2030" s="9" t="str">
        <f>IFERROR(__xludf.DUMMYFUNCTION("""COMPUTED_VALUE"""),"UK")</f>
        <v>UK</v>
      </c>
      <c r="K2030" s="8"/>
      <c r="L2030" s="12"/>
      <c r="M2030" s="13"/>
      <c r="N2030" s="13" t="str">
        <f>IFERROR(__xludf.DUMMYFUNCTION("IF(ISBLANK(M2030),"""",M2030*GOOGLEFINANCE(""USDGBP""))"),"")</f>
        <v/>
      </c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  <c r="FG2030" s="8"/>
      <c r="FH2030" s="8"/>
      <c r="FI2030" s="8"/>
      <c r="FJ2030" s="8"/>
      <c r="FK2030" s="8"/>
      <c r="FL2030" s="8"/>
      <c r="FM2030" s="8"/>
      <c r="FN2030" s="8"/>
      <c r="FO2030" s="8"/>
      <c r="FP2030" s="8"/>
      <c r="FQ2030" s="8"/>
      <c r="FR2030" s="8"/>
      <c r="FS2030" s="8"/>
      <c r="FT2030" s="8"/>
      <c r="FU2030" s="8"/>
      <c r="FV2030" s="8"/>
      <c r="FW2030" s="8"/>
      <c r="FX2030" s="8"/>
      <c r="FY2030" s="8"/>
      <c r="FZ2030" s="8"/>
      <c r="GA2030" s="8"/>
      <c r="GB2030" s="8"/>
      <c r="GC2030" s="8"/>
      <c r="GD2030" s="8"/>
      <c r="GE2030" s="8"/>
      <c r="GF2030" s="8"/>
      <c r="GG2030" s="8"/>
      <c r="GH2030" s="8"/>
      <c r="GI2030" s="8"/>
      <c r="GJ2030" s="8"/>
      <c r="GK2030" s="8"/>
      <c r="GL2030" s="8"/>
      <c r="GM2030" s="8"/>
      <c r="GN2030" s="8"/>
      <c r="GO2030" s="8"/>
      <c r="GP2030" s="8"/>
      <c r="GQ2030" s="8"/>
      <c r="GR2030" s="8"/>
      <c r="GS2030" s="8"/>
      <c r="GT2030" s="8"/>
      <c r="GU2030" s="8"/>
      <c r="GV2030" s="8"/>
      <c r="GW2030" s="8"/>
      <c r="GX2030" s="8"/>
    </row>
    <row r="2031">
      <c r="A2031" s="8" t="str">
        <f>IFERROR(__xludf.DUMMYFUNCTION("""COMPUTED_VALUE"""),"110346720131200750")</f>
        <v>110346720131200750</v>
      </c>
      <c r="B2031" s="9" t="str">
        <f>IFERROR(__xludf.DUMMYFUNCTION("""COMPUTED_VALUE"""),"Italy")</f>
        <v>Italy</v>
      </c>
      <c r="C2031" s="9" t="str">
        <f>IFERROR(__xludf.DUMMYFUNCTION("""COMPUTED_VALUE"""),"piedmont")</f>
        <v>piedmont</v>
      </c>
      <c r="D2031" s="9" t="str">
        <f>IFERROR(__xludf.DUMMYFUNCTION("""COMPUTED_VALUE"""),"Produttori del Barbaresco, Barbaresco, Rio Sordo Riserva")</f>
        <v>Produttori del Barbaresco, Barbaresco, Rio Sordo Riserva</v>
      </c>
      <c r="E2031" s="9">
        <f>IFERROR(__xludf.DUMMYFUNCTION("""COMPUTED_VALUE"""),2013.0)</f>
        <v>2013</v>
      </c>
      <c r="F2031" s="9">
        <f>IFERROR(__xludf.DUMMYFUNCTION("""COMPUTED_VALUE"""),750.0)</f>
        <v>750</v>
      </c>
      <c r="G2031" s="9">
        <f>IFERROR(__xludf.DUMMYFUNCTION("""COMPUTED_VALUE"""),12.0)</f>
        <v>12</v>
      </c>
      <c r="H2031" s="10">
        <f>IFERROR(__xludf.DUMMYFUNCTION("""COMPUTED_VALUE"""),2.0)</f>
        <v>2</v>
      </c>
      <c r="I2031" s="11">
        <f>IFERROR(__xludf.DUMMYFUNCTION("""COMPUTED_VALUE"""),724.0)</f>
        <v>724</v>
      </c>
      <c r="J2031" s="9" t="str">
        <f>IFERROR(__xludf.DUMMYFUNCTION("""COMPUTED_VALUE"""),"UK")</f>
        <v>UK</v>
      </c>
      <c r="K2031" s="8"/>
      <c r="L2031" s="12"/>
      <c r="M2031" s="13"/>
      <c r="N2031" s="13" t="str">
        <f>IFERROR(__xludf.DUMMYFUNCTION("IF(ISBLANK(M2031),"""",M2031*GOOGLEFINANCE(""USDGBP""))"),"")</f>
        <v/>
      </c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  <c r="FG2031" s="8"/>
      <c r="FH2031" s="8"/>
      <c r="FI2031" s="8"/>
      <c r="FJ2031" s="8"/>
      <c r="FK2031" s="8"/>
      <c r="FL2031" s="8"/>
      <c r="FM2031" s="8"/>
      <c r="FN2031" s="8"/>
      <c r="FO2031" s="8"/>
      <c r="FP2031" s="8"/>
      <c r="FQ2031" s="8"/>
      <c r="FR2031" s="8"/>
      <c r="FS2031" s="8"/>
      <c r="FT2031" s="8"/>
      <c r="FU2031" s="8"/>
      <c r="FV2031" s="8"/>
      <c r="FW2031" s="8"/>
      <c r="FX2031" s="8"/>
      <c r="FY2031" s="8"/>
      <c r="FZ2031" s="8"/>
      <c r="GA2031" s="8"/>
      <c r="GB2031" s="8"/>
      <c r="GC2031" s="8"/>
      <c r="GD2031" s="8"/>
      <c r="GE2031" s="8"/>
      <c r="GF2031" s="8"/>
      <c r="GG2031" s="8"/>
      <c r="GH2031" s="8"/>
      <c r="GI2031" s="8"/>
      <c r="GJ2031" s="8"/>
      <c r="GK2031" s="8"/>
      <c r="GL2031" s="8"/>
      <c r="GM2031" s="8"/>
      <c r="GN2031" s="8"/>
      <c r="GO2031" s="8"/>
      <c r="GP2031" s="8"/>
      <c r="GQ2031" s="8"/>
      <c r="GR2031" s="8"/>
      <c r="GS2031" s="8"/>
      <c r="GT2031" s="8"/>
      <c r="GU2031" s="8"/>
      <c r="GV2031" s="8"/>
      <c r="GW2031" s="8"/>
      <c r="GX2031" s="8"/>
    </row>
    <row r="2032">
      <c r="A2032" s="8" t="str">
        <f>IFERROR(__xludf.DUMMYFUNCTION("""COMPUTED_VALUE"""),"110346720141200750")</f>
        <v>110346720141200750</v>
      </c>
      <c r="B2032" s="9" t="str">
        <f>IFERROR(__xludf.DUMMYFUNCTION("""COMPUTED_VALUE"""),"Italy")</f>
        <v>Italy</v>
      </c>
      <c r="C2032" s="9" t="str">
        <f>IFERROR(__xludf.DUMMYFUNCTION("""COMPUTED_VALUE"""),"piedmont")</f>
        <v>piedmont</v>
      </c>
      <c r="D2032" s="9" t="str">
        <f>IFERROR(__xludf.DUMMYFUNCTION("""COMPUTED_VALUE"""),"Produttori del Barbaresco, Barbaresco, Rio Sordo Riserva")</f>
        <v>Produttori del Barbaresco, Barbaresco, Rio Sordo Riserva</v>
      </c>
      <c r="E2032" s="9">
        <f>IFERROR(__xludf.DUMMYFUNCTION("""COMPUTED_VALUE"""),2014.0)</f>
        <v>2014</v>
      </c>
      <c r="F2032" s="9">
        <f>IFERROR(__xludf.DUMMYFUNCTION("""COMPUTED_VALUE"""),750.0)</f>
        <v>750</v>
      </c>
      <c r="G2032" s="9">
        <f>IFERROR(__xludf.DUMMYFUNCTION("""COMPUTED_VALUE"""),12.0)</f>
        <v>12</v>
      </c>
      <c r="H2032" s="10">
        <f>IFERROR(__xludf.DUMMYFUNCTION("""COMPUTED_VALUE"""),1.0)</f>
        <v>1</v>
      </c>
      <c r="I2032" s="11">
        <f>IFERROR(__xludf.DUMMYFUNCTION("""COMPUTED_VALUE"""),544.0)</f>
        <v>544</v>
      </c>
      <c r="J2032" s="9" t="str">
        <f>IFERROR(__xludf.DUMMYFUNCTION("""COMPUTED_VALUE"""),"UK")</f>
        <v>UK</v>
      </c>
      <c r="K2032" s="8"/>
      <c r="L2032" s="12"/>
      <c r="M2032" s="13"/>
      <c r="N2032" s="13" t="str">
        <f>IFERROR(__xludf.DUMMYFUNCTION("IF(ISBLANK(M2032),"""",M2032*GOOGLEFINANCE(""USDGBP""))"),"")</f>
        <v/>
      </c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  <c r="FG2032" s="8"/>
      <c r="FH2032" s="8"/>
      <c r="FI2032" s="8"/>
      <c r="FJ2032" s="8"/>
      <c r="FK2032" s="8"/>
      <c r="FL2032" s="8"/>
      <c r="FM2032" s="8"/>
      <c r="FN2032" s="8"/>
      <c r="FO2032" s="8"/>
      <c r="FP2032" s="8"/>
      <c r="FQ2032" s="8"/>
      <c r="FR2032" s="8"/>
      <c r="FS2032" s="8"/>
      <c r="FT2032" s="8"/>
      <c r="FU2032" s="8"/>
      <c r="FV2032" s="8"/>
      <c r="FW2032" s="8"/>
      <c r="FX2032" s="8"/>
      <c r="FY2032" s="8"/>
      <c r="FZ2032" s="8"/>
      <c r="GA2032" s="8"/>
      <c r="GB2032" s="8"/>
      <c r="GC2032" s="8"/>
      <c r="GD2032" s="8"/>
      <c r="GE2032" s="8"/>
      <c r="GF2032" s="8"/>
      <c r="GG2032" s="8"/>
      <c r="GH2032" s="8"/>
      <c r="GI2032" s="8"/>
      <c r="GJ2032" s="8"/>
      <c r="GK2032" s="8"/>
      <c r="GL2032" s="8"/>
      <c r="GM2032" s="8"/>
      <c r="GN2032" s="8"/>
      <c r="GO2032" s="8"/>
      <c r="GP2032" s="8"/>
      <c r="GQ2032" s="8"/>
      <c r="GR2032" s="8"/>
      <c r="GS2032" s="8"/>
      <c r="GT2032" s="8"/>
      <c r="GU2032" s="8"/>
      <c r="GV2032" s="8"/>
      <c r="GW2032" s="8"/>
      <c r="GX2032" s="8"/>
    </row>
    <row r="2033">
      <c r="A2033" s="8" t="str">
        <f>IFERROR(__xludf.DUMMYFUNCTION("""COMPUTED_VALUE"""),"110346720151200750")</f>
        <v>110346720151200750</v>
      </c>
      <c r="B2033" s="9" t="str">
        <f>IFERROR(__xludf.DUMMYFUNCTION("""COMPUTED_VALUE"""),"Italy")</f>
        <v>Italy</v>
      </c>
      <c r="C2033" s="9" t="str">
        <f>IFERROR(__xludf.DUMMYFUNCTION("""COMPUTED_VALUE"""),"piedmont")</f>
        <v>piedmont</v>
      </c>
      <c r="D2033" s="9" t="str">
        <f>IFERROR(__xludf.DUMMYFUNCTION("""COMPUTED_VALUE"""),"Produttori del Barbaresco, Barbaresco, Rio Sordo Riserva")</f>
        <v>Produttori del Barbaresco, Barbaresco, Rio Sordo Riserva</v>
      </c>
      <c r="E2033" s="9">
        <f>IFERROR(__xludf.DUMMYFUNCTION("""COMPUTED_VALUE"""),2015.0)</f>
        <v>2015</v>
      </c>
      <c r="F2033" s="9">
        <f>IFERROR(__xludf.DUMMYFUNCTION("""COMPUTED_VALUE"""),750.0)</f>
        <v>750</v>
      </c>
      <c r="G2033" s="9">
        <f>IFERROR(__xludf.DUMMYFUNCTION("""COMPUTED_VALUE"""),12.0)</f>
        <v>12</v>
      </c>
      <c r="H2033" s="10">
        <f>IFERROR(__xludf.DUMMYFUNCTION("""COMPUTED_VALUE"""),2.0)</f>
        <v>2</v>
      </c>
      <c r="I2033" s="11">
        <f>IFERROR(__xludf.DUMMYFUNCTION("""COMPUTED_VALUE"""),501.0)</f>
        <v>501</v>
      </c>
      <c r="J2033" s="9" t="str">
        <f>IFERROR(__xludf.DUMMYFUNCTION("""COMPUTED_VALUE"""),"UK")</f>
        <v>UK</v>
      </c>
      <c r="K2033" s="8"/>
      <c r="L2033" s="12"/>
      <c r="M2033" s="13"/>
      <c r="N2033" s="13" t="str">
        <f>IFERROR(__xludf.DUMMYFUNCTION("IF(ISBLANK(M2033),"""",M2033*GOOGLEFINANCE(""USDGBP""))"),"")</f>
        <v/>
      </c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  <c r="FG2033" s="8"/>
      <c r="FH2033" s="8"/>
      <c r="FI2033" s="8"/>
      <c r="FJ2033" s="8"/>
      <c r="FK2033" s="8"/>
      <c r="FL2033" s="8"/>
      <c r="FM2033" s="8"/>
      <c r="FN2033" s="8"/>
      <c r="FO2033" s="8"/>
      <c r="FP2033" s="8"/>
      <c r="FQ2033" s="8"/>
      <c r="FR2033" s="8"/>
      <c r="FS2033" s="8"/>
      <c r="FT2033" s="8"/>
      <c r="FU2033" s="8"/>
      <c r="FV2033" s="8"/>
      <c r="FW2033" s="8"/>
      <c r="FX2033" s="8"/>
      <c r="FY2033" s="8"/>
      <c r="FZ2033" s="8"/>
      <c r="GA2033" s="8"/>
      <c r="GB2033" s="8"/>
      <c r="GC2033" s="8"/>
      <c r="GD2033" s="8"/>
      <c r="GE2033" s="8"/>
      <c r="GF2033" s="8"/>
      <c r="GG2033" s="8"/>
      <c r="GH2033" s="8"/>
      <c r="GI2033" s="8"/>
      <c r="GJ2033" s="8"/>
      <c r="GK2033" s="8"/>
      <c r="GL2033" s="8"/>
      <c r="GM2033" s="8"/>
      <c r="GN2033" s="8"/>
      <c r="GO2033" s="8"/>
      <c r="GP2033" s="8"/>
      <c r="GQ2033" s="8"/>
      <c r="GR2033" s="8"/>
      <c r="GS2033" s="8"/>
      <c r="GT2033" s="8"/>
      <c r="GU2033" s="8"/>
      <c r="GV2033" s="8"/>
      <c r="GW2033" s="8"/>
      <c r="GX2033" s="8"/>
    </row>
    <row r="2034">
      <c r="A2034" s="8" t="str">
        <f>IFERROR(__xludf.DUMMYFUNCTION("""COMPUTED_VALUE"""),"184630020150600750")</f>
        <v>184630020150600750</v>
      </c>
      <c r="B2034" s="9" t="str">
        <f>IFERROR(__xludf.DUMMYFUNCTION("""COMPUTED_VALUE"""),"Italy")</f>
        <v>Italy</v>
      </c>
      <c r="C2034" s="9" t="str">
        <f>IFERROR(__xludf.DUMMYFUNCTION("""COMPUTED_VALUE"""),"piedmont")</f>
        <v>piedmont</v>
      </c>
      <c r="D2034" s="9" t="str">
        <f>IFERROR(__xludf.DUMMYFUNCTION("""COMPUTED_VALUE"""),"Roagna, Barbaresco, Albesani")</f>
        <v>Roagna, Barbaresco, Albesani</v>
      </c>
      <c r="E2034" s="9">
        <f>IFERROR(__xludf.DUMMYFUNCTION("""COMPUTED_VALUE"""),2015.0)</f>
        <v>2015</v>
      </c>
      <c r="F2034" s="9">
        <f>IFERROR(__xludf.DUMMYFUNCTION("""COMPUTED_VALUE"""),750.0)</f>
        <v>750</v>
      </c>
      <c r="G2034" s="9">
        <f>IFERROR(__xludf.DUMMYFUNCTION("""COMPUTED_VALUE"""),6.0)</f>
        <v>6</v>
      </c>
      <c r="H2034" s="10">
        <f>IFERROR(__xludf.DUMMYFUNCTION("""COMPUTED_VALUE"""),3.0)</f>
        <v>3</v>
      </c>
      <c r="I2034" s="11">
        <f>IFERROR(__xludf.DUMMYFUNCTION("""COMPUTED_VALUE"""),671.0)</f>
        <v>671</v>
      </c>
      <c r="J2034" s="9" t="str">
        <f>IFERROR(__xludf.DUMMYFUNCTION("""COMPUTED_VALUE"""),"UK")</f>
        <v>UK</v>
      </c>
      <c r="K2034" s="8"/>
      <c r="L2034" s="12"/>
      <c r="M2034" s="13"/>
      <c r="N2034" s="13" t="str">
        <f>IFERROR(__xludf.DUMMYFUNCTION("IF(ISBLANK(M2034),"""",M2034*GOOGLEFINANCE(""USDGBP""))"),"")</f>
        <v/>
      </c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  <c r="FG2034" s="8"/>
      <c r="FH2034" s="8"/>
      <c r="FI2034" s="8"/>
      <c r="FJ2034" s="8"/>
      <c r="FK2034" s="8"/>
      <c r="FL2034" s="8"/>
      <c r="FM2034" s="8"/>
      <c r="FN2034" s="8"/>
      <c r="FO2034" s="8"/>
      <c r="FP2034" s="8"/>
      <c r="FQ2034" s="8"/>
      <c r="FR2034" s="8"/>
      <c r="FS2034" s="8"/>
      <c r="FT2034" s="8"/>
      <c r="FU2034" s="8"/>
      <c r="FV2034" s="8"/>
      <c r="FW2034" s="8"/>
      <c r="FX2034" s="8"/>
      <c r="FY2034" s="8"/>
      <c r="FZ2034" s="8"/>
      <c r="GA2034" s="8"/>
      <c r="GB2034" s="8"/>
      <c r="GC2034" s="8"/>
      <c r="GD2034" s="8"/>
      <c r="GE2034" s="8"/>
      <c r="GF2034" s="8"/>
      <c r="GG2034" s="8"/>
      <c r="GH2034" s="8"/>
      <c r="GI2034" s="8"/>
      <c r="GJ2034" s="8"/>
      <c r="GK2034" s="8"/>
      <c r="GL2034" s="8"/>
      <c r="GM2034" s="8"/>
      <c r="GN2034" s="8"/>
      <c r="GO2034" s="8"/>
      <c r="GP2034" s="8"/>
      <c r="GQ2034" s="8"/>
      <c r="GR2034" s="8"/>
      <c r="GS2034" s="8"/>
      <c r="GT2034" s="8"/>
      <c r="GU2034" s="8"/>
      <c r="GV2034" s="8"/>
      <c r="GW2034" s="8"/>
      <c r="GX2034" s="8"/>
    </row>
    <row r="2035">
      <c r="A2035" s="8" t="str">
        <f>IFERROR(__xludf.DUMMYFUNCTION("""COMPUTED_VALUE"""),"173410620160600750")</f>
        <v>173410620160600750</v>
      </c>
      <c r="B2035" s="9" t="str">
        <f>IFERROR(__xludf.DUMMYFUNCTION("""COMPUTED_VALUE"""),"Italy")</f>
        <v>Italy</v>
      </c>
      <c r="C2035" s="9" t="str">
        <f>IFERROR(__xludf.DUMMYFUNCTION("""COMPUTED_VALUE"""),"piedmont")</f>
        <v>piedmont</v>
      </c>
      <c r="D2035" s="9" t="str">
        <f>IFERROR(__xludf.DUMMYFUNCTION("""COMPUTED_VALUE"""),"Roagna, Barbaresco, Faset")</f>
        <v>Roagna, Barbaresco, Faset</v>
      </c>
      <c r="E2035" s="9">
        <f>IFERROR(__xludf.DUMMYFUNCTION("""COMPUTED_VALUE"""),2016.0)</f>
        <v>2016</v>
      </c>
      <c r="F2035" s="9">
        <f>IFERROR(__xludf.DUMMYFUNCTION("""COMPUTED_VALUE"""),750.0)</f>
        <v>750</v>
      </c>
      <c r="G2035" s="9">
        <f>IFERROR(__xludf.DUMMYFUNCTION("""COMPUTED_VALUE"""),6.0)</f>
        <v>6</v>
      </c>
      <c r="H2035" s="10">
        <f>IFERROR(__xludf.DUMMYFUNCTION("""COMPUTED_VALUE"""),1.0)</f>
        <v>1</v>
      </c>
      <c r="I2035" s="11">
        <f>IFERROR(__xludf.DUMMYFUNCTION("""COMPUTED_VALUE"""),655.0)</f>
        <v>655</v>
      </c>
      <c r="J2035" s="9" t="str">
        <f>IFERROR(__xludf.DUMMYFUNCTION("""COMPUTED_VALUE"""),"UK")</f>
        <v>UK</v>
      </c>
      <c r="K2035" s="8"/>
      <c r="L2035" s="12"/>
      <c r="M2035" s="13"/>
      <c r="N2035" s="13" t="str">
        <f>IFERROR(__xludf.DUMMYFUNCTION("IF(ISBLANK(M2035),"""",M2035*GOOGLEFINANCE(""USDGBP""))"),"")</f>
        <v/>
      </c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  <c r="FG2035" s="8"/>
      <c r="FH2035" s="8"/>
      <c r="FI2035" s="8"/>
      <c r="FJ2035" s="8"/>
      <c r="FK2035" s="8"/>
      <c r="FL2035" s="8"/>
      <c r="FM2035" s="8"/>
      <c r="FN2035" s="8"/>
      <c r="FO2035" s="8"/>
      <c r="FP2035" s="8"/>
      <c r="FQ2035" s="8"/>
      <c r="FR2035" s="8"/>
      <c r="FS2035" s="8"/>
      <c r="FT2035" s="8"/>
      <c r="FU2035" s="8"/>
      <c r="FV2035" s="8"/>
      <c r="FW2035" s="8"/>
      <c r="FX2035" s="8"/>
      <c r="FY2035" s="8"/>
      <c r="FZ2035" s="8"/>
      <c r="GA2035" s="8"/>
      <c r="GB2035" s="8"/>
      <c r="GC2035" s="8"/>
      <c r="GD2035" s="8"/>
      <c r="GE2035" s="8"/>
      <c r="GF2035" s="8"/>
      <c r="GG2035" s="8"/>
      <c r="GH2035" s="8"/>
      <c r="GI2035" s="8"/>
      <c r="GJ2035" s="8"/>
      <c r="GK2035" s="8"/>
      <c r="GL2035" s="8"/>
      <c r="GM2035" s="8"/>
      <c r="GN2035" s="8"/>
      <c r="GO2035" s="8"/>
      <c r="GP2035" s="8"/>
      <c r="GQ2035" s="8"/>
      <c r="GR2035" s="8"/>
      <c r="GS2035" s="8"/>
      <c r="GT2035" s="8"/>
      <c r="GU2035" s="8"/>
      <c r="GV2035" s="8"/>
      <c r="GW2035" s="8"/>
      <c r="GX2035" s="8"/>
    </row>
    <row r="2036">
      <c r="A2036" s="8" t="str">
        <f>IFERROR(__xludf.DUMMYFUNCTION("""COMPUTED_VALUE"""),"112974620140600750")</f>
        <v>112974620140600750</v>
      </c>
      <c r="B2036" s="9" t="str">
        <f>IFERROR(__xludf.DUMMYFUNCTION("""COMPUTED_VALUE"""),"Italy")</f>
        <v>Italy</v>
      </c>
      <c r="C2036" s="9" t="str">
        <f>IFERROR(__xludf.DUMMYFUNCTION("""COMPUTED_VALUE"""),"piedmont")</f>
        <v>piedmont</v>
      </c>
      <c r="D2036" s="9" t="str">
        <f>IFERROR(__xludf.DUMMYFUNCTION("""COMPUTED_VALUE"""),"Roagna, Barbaresco, Paje")</f>
        <v>Roagna, Barbaresco, Paje</v>
      </c>
      <c r="E2036" s="9">
        <f>IFERROR(__xludf.DUMMYFUNCTION("""COMPUTED_VALUE"""),2014.0)</f>
        <v>2014</v>
      </c>
      <c r="F2036" s="9">
        <f>IFERROR(__xludf.DUMMYFUNCTION("""COMPUTED_VALUE"""),750.0)</f>
        <v>750</v>
      </c>
      <c r="G2036" s="9">
        <f>IFERROR(__xludf.DUMMYFUNCTION("""COMPUTED_VALUE"""),6.0)</f>
        <v>6</v>
      </c>
      <c r="H2036" s="10">
        <f>IFERROR(__xludf.DUMMYFUNCTION("""COMPUTED_VALUE"""),5.0)</f>
        <v>5</v>
      </c>
      <c r="I2036" s="11">
        <f>IFERROR(__xludf.DUMMYFUNCTION("""COMPUTED_VALUE"""),627.0)</f>
        <v>627</v>
      </c>
      <c r="J2036" s="9" t="str">
        <f>IFERROR(__xludf.DUMMYFUNCTION("""COMPUTED_VALUE"""),"UK")</f>
        <v>UK</v>
      </c>
      <c r="K2036" s="8"/>
      <c r="L2036" s="12"/>
      <c r="M2036" s="13"/>
      <c r="N2036" s="13" t="str">
        <f>IFERROR(__xludf.DUMMYFUNCTION("IF(ISBLANK(M2036),"""",M2036*GOOGLEFINANCE(""USDGBP""))"),"")</f>
        <v/>
      </c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  <c r="FG2036" s="8"/>
      <c r="FH2036" s="8"/>
      <c r="FI2036" s="8"/>
      <c r="FJ2036" s="8"/>
      <c r="FK2036" s="8"/>
      <c r="FL2036" s="8"/>
      <c r="FM2036" s="8"/>
      <c r="FN2036" s="8"/>
      <c r="FO2036" s="8"/>
      <c r="FP2036" s="8"/>
      <c r="FQ2036" s="8"/>
      <c r="FR2036" s="8"/>
      <c r="FS2036" s="8"/>
      <c r="FT2036" s="8"/>
      <c r="FU2036" s="8"/>
      <c r="FV2036" s="8"/>
      <c r="FW2036" s="8"/>
      <c r="FX2036" s="8"/>
      <c r="FY2036" s="8"/>
      <c r="FZ2036" s="8"/>
      <c r="GA2036" s="8"/>
      <c r="GB2036" s="8"/>
      <c r="GC2036" s="8"/>
      <c r="GD2036" s="8"/>
      <c r="GE2036" s="8"/>
      <c r="GF2036" s="8"/>
      <c r="GG2036" s="8"/>
      <c r="GH2036" s="8"/>
      <c r="GI2036" s="8"/>
      <c r="GJ2036" s="8"/>
      <c r="GK2036" s="8"/>
      <c r="GL2036" s="8"/>
      <c r="GM2036" s="8"/>
      <c r="GN2036" s="8"/>
      <c r="GO2036" s="8"/>
      <c r="GP2036" s="8"/>
      <c r="GQ2036" s="8"/>
      <c r="GR2036" s="8"/>
      <c r="GS2036" s="8"/>
      <c r="GT2036" s="8"/>
      <c r="GU2036" s="8"/>
      <c r="GV2036" s="8"/>
      <c r="GW2036" s="8"/>
      <c r="GX2036" s="8"/>
    </row>
    <row r="2037">
      <c r="A2037" s="8" t="str">
        <f>IFERROR(__xludf.DUMMYFUNCTION("""COMPUTED_VALUE"""),"112974620150600750")</f>
        <v>112974620150600750</v>
      </c>
      <c r="B2037" s="9" t="str">
        <f>IFERROR(__xludf.DUMMYFUNCTION("""COMPUTED_VALUE"""),"Italy")</f>
        <v>Italy</v>
      </c>
      <c r="C2037" s="9" t="str">
        <f>IFERROR(__xludf.DUMMYFUNCTION("""COMPUTED_VALUE"""),"piedmont")</f>
        <v>piedmont</v>
      </c>
      <c r="D2037" s="9" t="str">
        <f>IFERROR(__xludf.DUMMYFUNCTION("""COMPUTED_VALUE"""),"Roagna, Barbaresco, Paje")</f>
        <v>Roagna, Barbaresco, Paje</v>
      </c>
      <c r="E2037" s="9">
        <f>IFERROR(__xludf.DUMMYFUNCTION("""COMPUTED_VALUE"""),2015.0)</f>
        <v>2015</v>
      </c>
      <c r="F2037" s="9">
        <f>IFERROR(__xludf.DUMMYFUNCTION("""COMPUTED_VALUE"""),750.0)</f>
        <v>750</v>
      </c>
      <c r="G2037" s="9">
        <f>IFERROR(__xludf.DUMMYFUNCTION("""COMPUTED_VALUE"""),6.0)</f>
        <v>6</v>
      </c>
      <c r="H2037" s="10">
        <f>IFERROR(__xludf.DUMMYFUNCTION("""COMPUTED_VALUE"""),1.0)</f>
        <v>1</v>
      </c>
      <c r="I2037" s="11">
        <f>IFERROR(__xludf.DUMMYFUNCTION("""COMPUTED_VALUE"""),717.0)</f>
        <v>717</v>
      </c>
      <c r="J2037" s="9" t="str">
        <f>IFERROR(__xludf.DUMMYFUNCTION("""COMPUTED_VALUE"""),"UK")</f>
        <v>UK</v>
      </c>
      <c r="K2037" s="8"/>
      <c r="L2037" s="12"/>
      <c r="M2037" s="13"/>
      <c r="N2037" s="13" t="str">
        <f>IFERROR(__xludf.DUMMYFUNCTION("IF(ISBLANK(M2037),"""",M2037*GOOGLEFINANCE(""USDGBP""))"),"")</f>
        <v/>
      </c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  <c r="FG2037" s="8"/>
      <c r="FH2037" s="8"/>
      <c r="FI2037" s="8"/>
      <c r="FJ2037" s="8"/>
      <c r="FK2037" s="8"/>
      <c r="FL2037" s="8"/>
      <c r="FM2037" s="8"/>
      <c r="FN2037" s="8"/>
      <c r="FO2037" s="8"/>
      <c r="FP2037" s="8"/>
      <c r="FQ2037" s="8"/>
      <c r="FR2037" s="8"/>
      <c r="FS2037" s="8"/>
      <c r="FT2037" s="8"/>
      <c r="FU2037" s="8"/>
      <c r="FV2037" s="8"/>
      <c r="FW2037" s="8"/>
      <c r="FX2037" s="8"/>
      <c r="FY2037" s="8"/>
      <c r="FZ2037" s="8"/>
      <c r="GA2037" s="8"/>
      <c r="GB2037" s="8"/>
      <c r="GC2037" s="8"/>
      <c r="GD2037" s="8"/>
      <c r="GE2037" s="8"/>
      <c r="GF2037" s="8"/>
      <c r="GG2037" s="8"/>
      <c r="GH2037" s="8"/>
      <c r="GI2037" s="8"/>
      <c r="GJ2037" s="8"/>
      <c r="GK2037" s="8"/>
      <c r="GL2037" s="8"/>
      <c r="GM2037" s="8"/>
      <c r="GN2037" s="8"/>
      <c r="GO2037" s="8"/>
      <c r="GP2037" s="8"/>
      <c r="GQ2037" s="8"/>
      <c r="GR2037" s="8"/>
      <c r="GS2037" s="8"/>
      <c r="GT2037" s="8"/>
      <c r="GU2037" s="8"/>
      <c r="GV2037" s="8"/>
      <c r="GW2037" s="8"/>
      <c r="GX2037" s="8"/>
    </row>
    <row r="2038">
      <c r="A2038" s="8" t="str">
        <f>IFERROR(__xludf.DUMMYFUNCTION("""COMPUTED_VALUE"""),"119510520110100750")</f>
        <v>119510520110100750</v>
      </c>
      <c r="B2038" s="9" t="str">
        <f>IFERROR(__xludf.DUMMYFUNCTION("""COMPUTED_VALUE"""),"Italy")</f>
        <v>Italy</v>
      </c>
      <c r="C2038" s="9" t="str">
        <f>IFERROR(__xludf.DUMMYFUNCTION("""COMPUTED_VALUE"""),"piedmont")</f>
        <v>piedmont</v>
      </c>
      <c r="D2038" s="9" t="str">
        <f>IFERROR(__xludf.DUMMYFUNCTION("""COMPUTED_VALUE"""),"Roagna, Barbaresco, Paje Crichet")</f>
        <v>Roagna, Barbaresco, Paje Crichet</v>
      </c>
      <c r="E2038" s="9">
        <f>IFERROR(__xludf.DUMMYFUNCTION("""COMPUTED_VALUE"""),2011.0)</f>
        <v>2011</v>
      </c>
      <c r="F2038" s="9">
        <f>IFERROR(__xludf.DUMMYFUNCTION("""COMPUTED_VALUE"""),750.0)</f>
        <v>750</v>
      </c>
      <c r="G2038" s="9">
        <f>IFERROR(__xludf.DUMMYFUNCTION("""COMPUTED_VALUE"""),1.0)</f>
        <v>1</v>
      </c>
      <c r="H2038" s="10">
        <f>IFERROR(__xludf.DUMMYFUNCTION("""COMPUTED_VALUE"""),2.0)</f>
        <v>2</v>
      </c>
      <c r="I2038" s="11">
        <f>IFERROR(__xludf.DUMMYFUNCTION("""COMPUTED_VALUE"""),610.0)</f>
        <v>610</v>
      </c>
      <c r="J2038" s="9" t="str">
        <f>IFERROR(__xludf.DUMMYFUNCTION("""COMPUTED_VALUE"""),"UK")</f>
        <v>UK</v>
      </c>
      <c r="K2038" s="8"/>
      <c r="L2038" s="12"/>
      <c r="M2038" s="13"/>
      <c r="N2038" s="13" t="str">
        <f>IFERROR(__xludf.DUMMYFUNCTION("IF(ISBLANK(M2038),"""",M2038*GOOGLEFINANCE(""USDGBP""))"),"")</f>
        <v/>
      </c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  <c r="FG2038" s="8"/>
      <c r="FH2038" s="8"/>
      <c r="FI2038" s="8"/>
      <c r="FJ2038" s="8"/>
      <c r="FK2038" s="8"/>
      <c r="FL2038" s="8"/>
      <c r="FM2038" s="8"/>
      <c r="FN2038" s="8"/>
      <c r="FO2038" s="8"/>
      <c r="FP2038" s="8"/>
      <c r="FQ2038" s="8"/>
      <c r="FR2038" s="8"/>
      <c r="FS2038" s="8"/>
      <c r="FT2038" s="8"/>
      <c r="FU2038" s="8"/>
      <c r="FV2038" s="8"/>
      <c r="FW2038" s="8"/>
      <c r="FX2038" s="8"/>
      <c r="FY2038" s="8"/>
      <c r="FZ2038" s="8"/>
      <c r="GA2038" s="8"/>
      <c r="GB2038" s="8"/>
      <c r="GC2038" s="8"/>
      <c r="GD2038" s="8"/>
      <c r="GE2038" s="8"/>
      <c r="GF2038" s="8"/>
      <c r="GG2038" s="8"/>
      <c r="GH2038" s="8"/>
      <c r="GI2038" s="8"/>
      <c r="GJ2038" s="8"/>
      <c r="GK2038" s="8"/>
      <c r="GL2038" s="8"/>
      <c r="GM2038" s="8"/>
      <c r="GN2038" s="8"/>
      <c r="GO2038" s="8"/>
      <c r="GP2038" s="8"/>
      <c r="GQ2038" s="8"/>
      <c r="GR2038" s="8"/>
      <c r="GS2038" s="8"/>
      <c r="GT2038" s="8"/>
      <c r="GU2038" s="8"/>
      <c r="GV2038" s="8"/>
      <c r="GW2038" s="8"/>
      <c r="GX2038" s="8"/>
    </row>
    <row r="2039">
      <c r="A2039" s="8" t="str">
        <f>IFERROR(__xludf.DUMMYFUNCTION("""COMPUTED_VALUE"""),"119510520120100750")</f>
        <v>119510520120100750</v>
      </c>
      <c r="B2039" s="9" t="str">
        <f>IFERROR(__xludf.DUMMYFUNCTION("""COMPUTED_VALUE"""),"Italy")</f>
        <v>Italy</v>
      </c>
      <c r="C2039" s="9" t="str">
        <f>IFERROR(__xludf.DUMMYFUNCTION("""COMPUTED_VALUE"""),"piedmont")</f>
        <v>piedmont</v>
      </c>
      <c r="D2039" s="9" t="str">
        <f>IFERROR(__xludf.DUMMYFUNCTION("""COMPUTED_VALUE"""),"Roagna, Barbaresco, Paje Crichet")</f>
        <v>Roagna, Barbaresco, Paje Crichet</v>
      </c>
      <c r="E2039" s="9">
        <f>IFERROR(__xludf.DUMMYFUNCTION("""COMPUTED_VALUE"""),2012.0)</f>
        <v>2012</v>
      </c>
      <c r="F2039" s="9">
        <f>IFERROR(__xludf.DUMMYFUNCTION("""COMPUTED_VALUE"""),750.0)</f>
        <v>750</v>
      </c>
      <c r="G2039" s="9">
        <f>IFERROR(__xludf.DUMMYFUNCTION("""COMPUTED_VALUE"""),1.0)</f>
        <v>1</v>
      </c>
      <c r="H2039" s="10">
        <f>IFERROR(__xludf.DUMMYFUNCTION("""COMPUTED_VALUE"""),1.0)</f>
        <v>1</v>
      </c>
      <c r="I2039" s="11">
        <f>IFERROR(__xludf.DUMMYFUNCTION("""COMPUTED_VALUE"""),838.0)</f>
        <v>838</v>
      </c>
      <c r="J2039" s="9" t="str">
        <f>IFERROR(__xludf.DUMMYFUNCTION("""COMPUTED_VALUE"""),"UK")</f>
        <v>UK</v>
      </c>
      <c r="K2039" s="8"/>
      <c r="L2039" s="12"/>
      <c r="M2039" s="13"/>
      <c r="N2039" s="13" t="str">
        <f>IFERROR(__xludf.DUMMYFUNCTION("IF(ISBLANK(M2039),"""",M2039*GOOGLEFINANCE(""USDGBP""))"),"")</f>
        <v/>
      </c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  <c r="FG2039" s="8"/>
      <c r="FH2039" s="8"/>
      <c r="FI2039" s="8"/>
      <c r="FJ2039" s="8"/>
      <c r="FK2039" s="8"/>
      <c r="FL2039" s="8"/>
      <c r="FM2039" s="8"/>
      <c r="FN2039" s="8"/>
      <c r="FO2039" s="8"/>
      <c r="FP2039" s="8"/>
      <c r="FQ2039" s="8"/>
      <c r="FR2039" s="8"/>
      <c r="FS2039" s="8"/>
      <c r="FT2039" s="8"/>
      <c r="FU2039" s="8"/>
      <c r="FV2039" s="8"/>
      <c r="FW2039" s="8"/>
      <c r="FX2039" s="8"/>
      <c r="FY2039" s="8"/>
      <c r="FZ2039" s="8"/>
      <c r="GA2039" s="8"/>
      <c r="GB2039" s="8"/>
      <c r="GC2039" s="8"/>
      <c r="GD2039" s="8"/>
      <c r="GE2039" s="8"/>
      <c r="GF2039" s="8"/>
      <c r="GG2039" s="8"/>
      <c r="GH2039" s="8"/>
      <c r="GI2039" s="8"/>
      <c r="GJ2039" s="8"/>
      <c r="GK2039" s="8"/>
      <c r="GL2039" s="8"/>
      <c r="GM2039" s="8"/>
      <c r="GN2039" s="8"/>
      <c r="GO2039" s="8"/>
      <c r="GP2039" s="8"/>
      <c r="GQ2039" s="8"/>
      <c r="GR2039" s="8"/>
      <c r="GS2039" s="8"/>
      <c r="GT2039" s="8"/>
      <c r="GU2039" s="8"/>
      <c r="GV2039" s="8"/>
      <c r="GW2039" s="8"/>
      <c r="GX2039" s="8"/>
    </row>
    <row r="2040">
      <c r="A2040" s="8" t="str">
        <f>IFERROR(__xludf.DUMMYFUNCTION("""COMPUTED_VALUE"""),"119350520140600750")</f>
        <v>119350520140600750</v>
      </c>
      <c r="B2040" s="9" t="str">
        <f>IFERROR(__xludf.DUMMYFUNCTION("""COMPUTED_VALUE"""),"Italy")</f>
        <v>Italy</v>
      </c>
      <c r="C2040" s="9" t="str">
        <f>IFERROR(__xludf.DUMMYFUNCTION("""COMPUTED_VALUE"""),"piedmont")</f>
        <v>piedmont</v>
      </c>
      <c r="D2040" s="9" t="str">
        <f>IFERROR(__xludf.DUMMYFUNCTION("""COMPUTED_VALUE"""),"Roagna, Barolo, Pira")</f>
        <v>Roagna, Barolo, Pira</v>
      </c>
      <c r="E2040" s="9">
        <f>IFERROR(__xludf.DUMMYFUNCTION("""COMPUTED_VALUE"""),2014.0)</f>
        <v>2014</v>
      </c>
      <c r="F2040" s="9">
        <f>IFERROR(__xludf.DUMMYFUNCTION("""COMPUTED_VALUE"""),750.0)</f>
        <v>750</v>
      </c>
      <c r="G2040" s="9">
        <f>IFERROR(__xludf.DUMMYFUNCTION("""COMPUTED_VALUE"""),6.0)</f>
        <v>6</v>
      </c>
      <c r="H2040" s="10">
        <f>IFERROR(__xludf.DUMMYFUNCTION("""COMPUTED_VALUE"""),2.0)</f>
        <v>2</v>
      </c>
      <c r="I2040" s="11">
        <f>IFERROR(__xludf.DUMMYFUNCTION("""COMPUTED_VALUE"""),597.0)</f>
        <v>597</v>
      </c>
      <c r="J2040" s="9" t="str">
        <f>IFERROR(__xludf.DUMMYFUNCTION("""COMPUTED_VALUE"""),"UK")</f>
        <v>UK</v>
      </c>
      <c r="K2040" s="8"/>
      <c r="L2040" s="12"/>
      <c r="M2040" s="13"/>
      <c r="N2040" s="13" t="str">
        <f>IFERROR(__xludf.DUMMYFUNCTION("IF(ISBLANK(M2040),"""",M2040*GOOGLEFINANCE(""USDGBP""))"),"")</f>
        <v/>
      </c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  <c r="FG2040" s="8"/>
      <c r="FH2040" s="8"/>
      <c r="FI2040" s="8"/>
      <c r="FJ2040" s="8"/>
      <c r="FK2040" s="8"/>
      <c r="FL2040" s="8"/>
      <c r="FM2040" s="8"/>
      <c r="FN2040" s="8"/>
      <c r="FO2040" s="8"/>
      <c r="FP2040" s="8"/>
      <c r="FQ2040" s="8"/>
      <c r="FR2040" s="8"/>
      <c r="FS2040" s="8"/>
      <c r="FT2040" s="8"/>
      <c r="FU2040" s="8"/>
      <c r="FV2040" s="8"/>
      <c r="FW2040" s="8"/>
      <c r="FX2040" s="8"/>
      <c r="FY2040" s="8"/>
      <c r="FZ2040" s="8"/>
      <c r="GA2040" s="8"/>
      <c r="GB2040" s="8"/>
      <c r="GC2040" s="8"/>
      <c r="GD2040" s="8"/>
      <c r="GE2040" s="8"/>
      <c r="GF2040" s="8"/>
      <c r="GG2040" s="8"/>
      <c r="GH2040" s="8"/>
      <c r="GI2040" s="8"/>
      <c r="GJ2040" s="8"/>
      <c r="GK2040" s="8"/>
      <c r="GL2040" s="8"/>
      <c r="GM2040" s="8"/>
      <c r="GN2040" s="8"/>
      <c r="GO2040" s="8"/>
      <c r="GP2040" s="8"/>
      <c r="GQ2040" s="8"/>
      <c r="GR2040" s="8"/>
      <c r="GS2040" s="8"/>
      <c r="GT2040" s="8"/>
      <c r="GU2040" s="8"/>
      <c r="GV2040" s="8"/>
      <c r="GW2040" s="8"/>
      <c r="GX2040" s="8"/>
    </row>
    <row r="2041">
      <c r="A2041" s="8" t="str">
        <f>IFERROR(__xludf.DUMMYFUNCTION("""COMPUTED_VALUE"""),"119350520150600750")</f>
        <v>119350520150600750</v>
      </c>
      <c r="B2041" s="9" t="str">
        <f>IFERROR(__xludf.DUMMYFUNCTION("""COMPUTED_VALUE"""),"Italy")</f>
        <v>Italy</v>
      </c>
      <c r="C2041" s="9" t="str">
        <f>IFERROR(__xludf.DUMMYFUNCTION("""COMPUTED_VALUE"""),"piedmont")</f>
        <v>piedmont</v>
      </c>
      <c r="D2041" s="9" t="str">
        <f>IFERROR(__xludf.DUMMYFUNCTION("""COMPUTED_VALUE"""),"Roagna, Barolo, Pira")</f>
        <v>Roagna, Barolo, Pira</v>
      </c>
      <c r="E2041" s="9">
        <f>IFERROR(__xludf.DUMMYFUNCTION("""COMPUTED_VALUE"""),2015.0)</f>
        <v>2015</v>
      </c>
      <c r="F2041" s="9">
        <f>IFERROR(__xludf.DUMMYFUNCTION("""COMPUTED_VALUE"""),750.0)</f>
        <v>750</v>
      </c>
      <c r="G2041" s="9">
        <f>IFERROR(__xludf.DUMMYFUNCTION("""COMPUTED_VALUE"""),6.0)</f>
        <v>6</v>
      </c>
      <c r="H2041" s="10">
        <f>IFERROR(__xludf.DUMMYFUNCTION("""COMPUTED_VALUE"""),1.0)</f>
        <v>1</v>
      </c>
      <c r="I2041" s="11">
        <f>IFERROR(__xludf.DUMMYFUNCTION("""COMPUTED_VALUE"""),676.0)</f>
        <v>676</v>
      </c>
      <c r="J2041" s="9" t="str">
        <f>IFERROR(__xludf.DUMMYFUNCTION("""COMPUTED_VALUE"""),"UK")</f>
        <v>UK</v>
      </c>
      <c r="K2041" s="8"/>
      <c r="L2041" s="12"/>
      <c r="M2041" s="13"/>
      <c r="N2041" s="13" t="str">
        <f>IFERROR(__xludf.DUMMYFUNCTION("IF(ISBLANK(M2041),"""",M2041*GOOGLEFINANCE(""USDGBP""))"),"")</f>
        <v/>
      </c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  <c r="FG2041" s="8"/>
      <c r="FH2041" s="8"/>
      <c r="FI2041" s="8"/>
      <c r="FJ2041" s="8"/>
      <c r="FK2041" s="8"/>
      <c r="FL2041" s="8"/>
      <c r="FM2041" s="8"/>
      <c r="FN2041" s="8"/>
      <c r="FO2041" s="8"/>
      <c r="FP2041" s="8"/>
      <c r="FQ2041" s="8"/>
      <c r="FR2041" s="8"/>
      <c r="FS2041" s="8"/>
      <c r="FT2041" s="8"/>
      <c r="FU2041" s="8"/>
      <c r="FV2041" s="8"/>
      <c r="FW2041" s="8"/>
      <c r="FX2041" s="8"/>
      <c r="FY2041" s="8"/>
      <c r="FZ2041" s="8"/>
      <c r="GA2041" s="8"/>
      <c r="GB2041" s="8"/>
      <c r="GC2041" s="8"/>
      <c r="GD2041" s="8"/>
      <c r="GE2041" s="8"/>
      <c r="GF2041" s="8"/>
      <c r="GG2041" s="8"/>
      <c r="GH2041" s="8"/>
      <c r="GI2041" s="8"/>
      <c r="GJ2041" s="8"/>
      <c r="GK2041" s="8"/>
      <c r="GL2041" s="8"/>
      <c r="GM2041" s="8"/>
      <c r="GN2041" s="8"/>
      <c r="GO2041" s="8"/>
      <c r="GP2041" s="8"/>
      <c r="GQ2041" s="8"/>
      <c r="GR2041" s="8"/>
      <c r="GS2041" s="8"/>
      <c r="GT2041" s="8"/>
      <c r="GU2041" s="8"/>
      <c r="GV2041" s="8"/>
      <c r="GW2041" s="8"/>
      <c r="GX2041" s="8"/>
    </row>
    <row r="2042">
      <c r="A2042" s="8" t="str">
        <f>IFERROR(__xludf.DUMMYFUNCTION("""COMPUTED_VALUE"""),"119350520160600750")</f>
        <v>119350520160600750</v>
      </c>
      <c r="B2042" s="9" t="str">
        <f>IFERROR(__xludf.DUMMYFUNCTION("""COMPUTED_VALUE"""),"Italy")</f>
        <v>Italy</v>
      </c>
      <c r="C2042" s="9" t="str">
        <f>IFERROR(__xludf.DUMMYFUNCTION("""COMPUTED_VALUE"""),"piedmont")</f>
        <v>piedmont</v>
      </c>
      <c r="D2042" s="9" t="str">
        <f>IFERROR(__xludf.DUMMYFUNCTION("""COMPUTED_VALUE"""),"Roagna, Barolo, Pira")</f>
        <v>Roagna, Barolo, Pira</v>
      </c>
      <c r="E2042" s="9">
        <f>IFERROR(__xludf.DUMMYFUNCTION("""COMPUTED_VALUE"""),2016.0)</f>
        <v>2016</v>
      </c>
      <c r="F2042" s="9">
        <f>IFERROR(__xludf.DUMMYFUNCTION("""COMPUTED_VALUE"""),750.0)</f>
        <v>750</v>
      </c>
      <c r="G2042" s="9">
        <f>IFERROR(__xludf.DUMMYFUNCTION("""COMPUTED_VALUE"""),6.0)</f>
        <v>6</v>
      </c>
      <c r="H2042" s="10">
        <f>IFERROR(__xludf.DUMMYFUNCTION("""COMPUTED_VALUE"""),1.0)</f>
        <v>1</v>
      </c>
      <c r="I2042" s="11">
        <f>IFERROR(__xludf.DUMMYFUNCTION("""COMPUTED_VALUE"""),644.0)</f>
        <v>644</v>
      </c>
      <c r="J2042" s="9" t="str">
        <f>IFERROR(__xludf.DUMMYFUNCTION("""COMPUTED_VALUE"""),"UK")</f>
        <v>UK</v>
      </c>
      <c r="K2042" s="8"/>
      <c r="L2042" s="12"/>
      <c r="M2042" s="13"/>
      <c r="N2042" s="13" t="str">
        <f>IFERROR(__xludf.DUMMYFUNCTION("IF(ISBLANK(M2042),"""",M2042*GOOGLEFINANCE(""USDGBP""))"),"")</f>
        <v/>
      </c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  <c r="FG2042" s="8"/>
      <c r="FH2042" s="8"/>
      <c r="FI2042" s="8"/>
      <c r="FJ2042" s="8"/>
      <c r="FK2042" s="8"/>
      <c r="FL2042" s="8"/>
      <c r="FM2042" s="8"/>
      <c r="FN2042" s="8"/>
      <c r="FO2042" s="8"/>
      <c r="FP2042" s="8"/>
      <c r="FQ2042" s="8"/>
      <c r="FR2042" s="8"/>
      <c r="FS2042" s="8"/>
      <c r="FT2042" s="8"/>
      <c r="FU2042" s="8"/>
      <c r="FV2042" s="8"/>
      <c r="FW2042" s="8"/>
      <c r="FX2042" s="8"/>
      <c r="FY2042" s="8"/>
      <c r="FZ2042" s="8"/>
      <c r="GA2042" s="8"/>
      <c r="GB2042" s="8"/>
      <c r="GC2042" s="8"/>
      <c r="GD2042" s="8"/>
      <c r="GE2042" s="8"/>
      <c r="GF2042" s="8"/>
      <c r="GG2042" s="8"/>
      <c r="GH2042" s="8"/>
      <c r="GI2042" s="8"/>
      <c r="GJ2042" s="8"/>
      <c r="GK2042" s="8"/>
      <c r="GL2042" s="8"/>
      <c r="GM2042" s="8"/>
      <c r="GN2042" s="8"/>
      <c r="GO2042" s="8"/>
      <c r="GP2042" s="8"/>
      <c r="GQ2042" s="8"/>
      <c r="GR2042" s="8"/>
      <c r="GS2042" s="8"/>
      <c r="GT2042" s="8"/>
      <c r="GU2042" s="8"/>
      <c r="GV2042" s="8"/>
      <c r="GW2042" s="8"/>
      <c r="GX2042" s="8"/>
    </row>
    <row r="2043">
      <c r="A2043" s="8" t="str">
        <f>IFERROR(__xludf.DUMMYFUNCTION("""COMPUTED_VALUE"""),"163993520060100750")</f>
        <v>163993520060100750</v>
      </c>
      <c r="B2043" s="9" t="str">
        <f>IFERROR(__xludf.DUMMYFUNCTION("""COMPUTED_VALUE"""),"Italy")</f>
        <v>Italy</v>
      </c>
      <c r="C2043" s="9" t="str">
        <f>IFERROR(__xludf.DUMMYFUNCTION("""COMPUTED_VALUE"""),"piedmont")</f>
        <v>piedmont</v>
      </c>
      <c r="D2043" s="9" t="str">
        <f>IFERROR(__xludf.DUMMYFUNCTION("""COMPUTED_VALUE"""),"Roagna, Barolo, Pira Riserva")</f>
        <v>Roagna, Barolo, Pira Riserva</v>
      </c>
      <c r="E2043" s="9">
        <f>IFERROR(__xludf.DUMMYFUNCTION("""COMPUTED_VALUE"""),2006.0)</f>
        <v>2006</v>
      </c>
      <c r="F2043" s="9">
        <f>IFERROR(__xludf.DUMMYFUNCTION("""COMPUTED_VALUE"""),750.0)</f>
        <v>750</v>
      </c>
      <c r="G2043" s="9">
        <f>IFERROR(__xludf.DUMMYFUNCTION("""COMPUTED_VALUE"""),1.0)</f>
        <v>1</v>
      </c>
      <c r="H2043" s="10">
        <f>IFERROR(__xludf.DUMMYFUNCTION("""COMPUTED_VALUE"""),2.0)</f>
        <v>2</v>
      </c>
      <c r="I2043" s="11">
        <f>IFERROR(__xludf.DUMMYFUNCTION("""COMPUTED_VALUE"""),509.0)</f>
        <v>509</v>
      </c>
      <c r="J2043" s="9" t="str">
        <f>IFERROR(__xludf.DUMMYFUNCTION("""COMPUTED_VALUE"""),"UK")</f>
        <v>UK</v>
      </c>
      <c r="K2043" s="8"/>
      <c r="L2043" s="12"/>
      <c r="M2043" s="13"/>
      <c r="N2043" s="13" t="str">
        <f>IFERROR(__xludf.DUMMYFUNCTION("IF(ISBLANK(M2043),"""",M2043*GOOGLEFINANCE(""USDGBP""))"),"")</f>
        <v/>
      </c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  <c r="FG2043" s="8"/>
      <c r="FH2043" s="8"/>
      <c r="FI2043" s="8"/>
      <c r="FJ2043" s="8"/>
      <c r="FK2043" s="8"/>
      <c r="FL2043" s="8"/>
      <c r="FM2043" s="8"/>
      <c r="FN2043" s="8"/>
      <c r="FO2043" s="8"/>
      <c r="FP2043" s="8"/>
      <c r="FQ2043" s="8"/>
      <c r="FR2043" s="8"/>
      <c r="FS2043" s="8"/>
      <c r="FT2043" s="8"/>
      <c r="FU2043" s="8"/>
      <c r="FV2043" s="8"/>
      <c r="FW2043" s="8"/>
      <c r="FX2043" s="8"/>
      <c r="FY2043" s="8"/>
      <c r="FZ2043" s="8"/>
      <c r="GA2043" s="8"/>
      <c r="GB2043" s="8"/>
      <c r="GC2043" s="8"/>
      <c r="GD2043" s="8"/>
      <c r="GE2043" s="8"/>
      <c r="GF2043" s="8"/>
      <c r="GG2043" s="8"/>
      <c r="GH2043" s="8"/>
      <c r="GI2043" s="8"/>
      <c r="GJ2043" s="8"/>
      <c r="GK2043" s="8"/>
      <c r="GL2043" s="8"/>
      <c r="GM2043" s="8"/>
      <c r="GN2043" s="8"/>
      <c r="GO2043" s="8"/>
      <c r="GP2043" s="8"/>
      <c r="GQ2043" s="8"/>
      <c r="GR2043" s="8"/>
      <c r="GS2043" s="8"/>
      <c r="GT2043" s="8"/>
      <c r="GU2043" s="8"/>
      <c r="GV2043" s="8"/>
      <c r="GW2043" s="8"/>
      <c r="GX2043" s="8"/>
    </row>
    <row r="2044">
      <c r="A2044" s="8" t="str">
        <f>IFERROR(__xludf.DUMMYFUNCTION("""COMPUTED_VALUE"""),"110658520130600750")</f>
        <v>110658520130600750</v>
      </c>
      <c r="B2044" s="9" t="str">
        <f>IFERROR(__xludf.DUMMYFUNCTION("""COMPUTED_VALUE"""),"Italy")</f>
        <v>Italy</v>
      </c>
      <c r="C2044" s="9" t="str">
        <f>IFERROR(__xludf.DUMMYFUNCTION("""COMPUTED_VALUE"""),"piedmont")</f>
        <v>piedmont</v>
      </c>
      <c r="D2044" s="9" t="str">
        <f>IFERROR(__xludf.DUMMYFUNCTION("""COMPUTED_VALUE"""),"Roberto Voerzio, Barolo, Cerequio")</f>
        <v>Roberto Voerzio, Barolo, Cerequio</v>
      </c>
      <c r="E2044" s="9">
        <f>IFERROR(__xludf.DUMMYFUNCTION("""COMPUTED_VALUE"""),2013.0)</f>
        <v>2013</v>
      </c>
      <c r="F2044" s="9">
        <f>IFERROR(__xludf.DUMMYFUNCTION("""COMPUTED_VALUE"""),750.0)</f>
        <v>750</v>
      </c>
      <c r="G2044" s="9">
        <f>IFERROR(__xludf.DUMMYFUNCTION("""COMPUTED_VALUE"""),6.0)</f>
        <v>6</v>
      </c>
      <c r="H2044" s="10">
        <f>IFERROR(__xludf.DUMMYFUNCTION("""COMPUTED_VALUE"""),7.0)</f>
        <v>7</v>
      </c>
      <c r="I2044" s="11">
        <f>IFERROR(__xludf.DUMMYFUNCTION("""COMPUTED_VALUE"""),778.0)</f>
        <v>778</v>
      </c>
      <c r="J2044" s="9" t="str">
        <f>IFERROR(__xludf.DUMMYFUNCTION("""COMPUTED_VALUE"""),"UK")</f>
        <v>UK</v>
      </c>
      <c r="K2044" s="8"/>
      <c r="L2044" s="12"/>
      <c r="M2044" s="13"/>
      <c r="N2044" s="13" t="str">
        <f>IFERROR(__xludf.DUMMYFUNCTION("IF(ISBLANK(M2044),"""",M2044*GOOGLEFINANCE(""USDGBP""))"),"")</f>
        <v/>
      </c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  <c r="FG2044" s="8"/>
      <c r="FH2044" s="8"/>
      <c r="FI2044" s="8"/>
      <c r="FJ2044" s="8"/>
      <c r="FK2044" s="8"/>
      <c r="FL2044" s="8"/>
      <c r="FM2044" s="8"/>
      <c r="FN2044" s="8"/>
      <c r="FO2044" s="8"/>
      <c r="FP2044" s="8"/>
      <c r="FQ2044" s="8"/>
      <c r="FR2044" s="8"/>
      <c r="FS2044" s="8"/>
      <c r="FT2044" s="8"/>
      <c r="FU2044" s="8"/>
      <c r="FV2044" s="8"/>
      <c r="FW2044" s="8"/>
      <c r="FX2044" s="8"/>
      <c r="FY2044" s="8"/>
      <c r="FZ2044" s="8"/>
      <c r="GA2044" s="8"/>
      <c r="GB2044" s="8"/>
      <c r="GC2044" s="8"/>
      <c r="GD2044" s="8"/>
      <c r="GE2044" s="8"/>
      <c r="GF2044" s="8"/>
      <c r="GG2044" s="8"/>
      <c r="GH2044" s="8"/>
      <c r="GI2044" s="8"/>
      <c r="GJ2044" s="8"/>
      <c r="GK2044" s="8"/>
      <c r="GL2044" s="8"/>
      <c r="GM2044" s="8"/>
      <c r="GN2044" s="8"/>
      <c r="GO2044" s="8"/>
      <c r="GP2044" s="8"/>
      <c r="GQ2044" s="8"/>
      <c r="GR2044" s="8"/>
      <c r="GS2044" s="8"/>
      <c r="GT2044" s="8"/>
      <c r="GU2044" s="8"/>
      <c r="GV2044" s="8"/>
      <c r="GW2044" s="8"/>
      <c r="GX2044" s="8"/>
    </row>
    <row r="2045">
      <c r="A2045" s="8" t="str">
        <f>IFERROR(__xludf.DUMMYFUNCTION("""COMPUTED_VALUE"""),"110658520140600750")</f>
        <v>110658520140600750</v>
      </c>
      <c r="B2045" s="9" t="str">
        <f>IFERROR(__xludf.DUMMYFUNCTION("""COMPUTED_VALUE"""),"Italy")</f>
        <v>Italy</v>
      </c>
      <c r="C2045" s="9" t="str">
        <f>IFERROR(__xludf.DUMMYFUNCTION("""COMPUTED_VALUE"""),"piedmont")</f>
        <v>piedmont</v>
      </c>
      <c r="D2045" s="9" t="str">
        <f>IFERROR(__xludf.DUMMYFUNCTION("""COMPUTED_VALUE"""),"Roberto Voerzio, Barolo, Cerequio")</f>
        <v>Roberto Voerzio, Barolo, Cerequio</v>
      </c>
      <c r="E2045" s="9">
        <f>IFERROR(__xludf.DUMMYFUNCTION("""COMPUTED_VALUE"""),2014.0)</f>
        <v>2014</v>
      </c>
      <c r="F2045" s="9">
        <f>IFERROR(__xludf.DUMMYFUNCTION("""COMPUTED_VALUE"""),750.0)</f>
        <v>750</v>
      </c>
      <c r="G2045" s="9">
        <f>IFERROR(__xludf.DUMMYFUNCTION("""COMPUTED_VALUE"""),6.0)</f>
        <v>6</v>
      </c>
      <c r="H2045" s="10">
        <f>IFERROR(__xludf.DUMMYFUNCTION("""COMPUTED_VALUE"""),1.0)</f>
        <v>1</v>
      </c>
      <c r="I2045" s="11">
        <f>IFERROR(__xludf.DUMMYFUNCTION("""COMPUTED_VALUE"""),1086.0)</f>
        <v>1086</v>
      </c>
      <c r="J2045" s="9" t="str">
        <f>IFERROR(__xludf.DUMMYFUNCTION("""COMPUTED_VALUE"""),"UK")</f>
        <v>UK</v>
      </c>
      <c r="K2045" s="8"/>
      <c r="L2045" s="12"/>
      <c r="M2045" s="13"/>
      <c r="N2045" s="13" t="str">
        <f>IFERROR(__xludf.DUMMYFUNCTION("IF(ISBLANK(M2045),"""",M2045*GOOGLEFINANCE(""USDGBP""))"),"")</f>
        <v/>
      </c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  <c r="FG2045" s="8"/>
      <c r="FH2045" s="8"/>
      <c r="FI2045" s="8"/>
      <c r="FJ2045" s="8"/>
      <c r="FK2045" s="8"/>
      <c r="FL2045" s="8"/>
      <c r="FM2045" s="8"/>
      <c r="FN2045" s="8"/>
      <c r="FO2045" s="8"/>
      <c r="FP2045" s="8"/>
      <c r="FQ2045" s="8"/>
      <c r="FR2045" s="8"/>
      <c r="FS2045" s="8"/>
      <c r="FT2045" s="8"/>
      <c r="FU2045" s="8"/>
      <c r="FV2045" s="8"/>
      <c r="FW2045" s="8"/>
      <c r="FX2045" s="8"/>
      <c r="FY2045" s="8"/>
      <c r="FZ2045" s="8"/>
      <c r="GA2045" s="8"/>
      <c r="GB2045" s="8"/>
      <c r="GC2045" s="8"/>
      <c r="GD2045" s="8"/>
      <c r="GE2045" s="8"/>
      <c r="GF2045" s="8"/>
      <c r="GG2045" s="8"/>
      <c r="GH2045" s="8"/>
      <c r="GI2045" s="8"/>
      <c r="GJ2045" s="8"/>
      <c r="GK2045" s="8"/>
      <c r="GL2045" s="8"/>
      <c r="GM2045" s="8"/>
      <c r="GN2045" s="8"/>
      <c r="GO2045" s="8"/>
      <c r="GP2045" s="8"/>
      <c r="GQ2045" s="8"/>
      <c r="GR2045" s="8"/>
      <c r="GS2045" s="8"/>
      <c r="GT2045" s="8"/>
      <c r="GU2045" s="8"/>
      <c r="GV2045" s="8"/>
      <c r="GW2045" s="8"/>
      <c r="GX2045" s="8"/>
    </row>
    <row r="2046">
      <c r="A2046" s="8" t="str">
        <f>IFERROR(__xludf.DUMMYFUNCTION("""COMPUTED_VALUE"""),"186049620150600750")</f>
        <v>186049620150600750</v>
      </c>
      <c r="B2046" s="9" t="str">
        <f>IFERROR(__xludf.DUMMYFUNCTION("""COMPUTED_VALUE"""),"Italy")</f>
        <v>Italy</v>
      </c>
      <c r="C2046" s="9" t="str">
        <f>IFERROR(__xludf.DUMMYFUNCTION("""COMPUTED_VALUE"""),"piedmont")</f>
        <v>piedmont</v>
      </c>
      <c r="D2046" s="9" t="str">
        <f>IFERROR(__xludf.DUMMYFUNCTION("""COMPUTED_VALUE"""),"Roberto Voerzio, Barolo, Fossati")</f>
        <v>Roberto Voerzio, Barolo, Fossati</v>
      </c>
      <c r="E2046" s="9">
        <f>IFERROR(__xludf.DUMMYFUNCTION("""COMPUTED_VALUE"""),2015.0)</f>
        <v>2015</v>
      </c>
      <c r="F2046" s="9">
        <f>IFERROR(__xludf.DUMMYFUNCTION("""COMPUTED_VALUE"""),750.0)</f>
        <v>750</v>
      </c>
      <c r="G2046" s="9">
        <f>IFERROR(__xludf.DUMMYFUNCTION("""COMPUTED_VALUE"""),6.0)</f>
        <v>6</v>
      </c>
      <c r="H2046" s="10">
        <f>IFERROR(__xludf.DUMMYFUNCTION("""COMPUTED_VALUE"""),4.0)</f>
        <v>4</v>
      </c>
      <c r="I2046" s="11">
        <f>IFERROR(__xludf.DUMMYFUNCTION("""COMPUTED_VALUE"""),1178.0)</f>
        <v>1178</v>
      </c>
      <c r="J2046" s="9" t="str">
        <f>IFERROR(__xludf.DUMMYFUNCTION("""COMPUTED_VALUE"""),"UK")</f>
        <v>UK</v>
      </c>
      <c r="K2046" s="8"/>
      <c r="L2046" s="12"/>
      <c r="M2046" s="13"/>
      <c r="N2046" s="13" t="str">
        <f>IFERROR(__xludf.DUMMYFUNCTION("IF(ISBLANK(M2046),"""",M2046*GOOGLEFINANCE(""USDGBP""))"),"")</f>
        <v/>
      </c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  <c r="FG2046" s="8"/>
      <c r="FH2046" s="8"/>
      <c r="FI2046" s="8"/>
      <c r="FJ2046" s="8"/>
      <c r="FK2046" s="8"/>
      <c r="FL2046" s="8"/>
      <c r="FM2046" s="8"/>
      <c r="FN2046" s="8"/>
      <c r="FO2046" s="8"/>
      <c r="FP2046" s="8"/>
      <c r="FQ2046" s="8"/>
      <c r="FR2046" s="8"/>
      <c r="FS2046" s="8"/>
      <c r="FT2046" s="8"/>
      <c r="FU2046" s="8"/>
      <c r="FV2046" s="8"/>
      <c r="FW2046" s="8"/>
      <c r="FX2046" s="8"/>
      <c r="FY2046" s="8"/>
      <c r="FZ2046" s="8"/>
      <c r="GA2046" s="8"/>
      <c r="GB2046" s="8"/>
      <c r="GC2046" s="8"/>
      <c r="GD2046" s="8"/>
      <c r="GE2046" s="8"/>
      <c r="GF2046" s="8"/>
      <c r="GG2046" s="8"/>
      <c r="GH2046" s="8"/>
      <c r="GI2046" s="8"/>
      <c r="GJ2046" s="8"/>
      <c r="GK2046" s="8"/>
      <c r="GL2046" s="8"/>
      <c r="GM2046" s="8"/>
      <c r="GN2046" s="8"/>
      <c r="GO2046" s="8"/>
      <c r="GP2046" s="8"/>
      <c r="GQ2046" s="8"/>
      <c r="GR2046" s="8"/>
      <c r="GS2046" s="8"/>
      <c r="GT2046" s="8"/>
      <c r="GU2046" s="8"/>
      <c r="GV2046" s="8"/>
      <c r="GW2046" s="8"/>
      <c r="GX2046" s="8"/>
    </row>
    <row r="2047">
      <c r="A2047" s="8" t="str">
        <f>IFERROR(__xludf.DUMMYFUNCTION("""COMPUTED_VALUE"""),"186049620160600750")</f>
        <v>186049620160600750</v>
      </c>
      <c r="B2047" s="9" t="str">
        <f>IFERROR(__xludf.DUMMYFUNCTION("""COMPUTED_VALUE"""),"Italy")</f>
        <v>Italy</v>
      </c>
      <c r="C2047" s="9" t="str">
        <f>IFERROR(__xludf.DUMMYFUNCTION("""COMPUTED_VALUE"""),"piedmont")</f>
        <v>piedmont</v>
      </c>
      <c r="D2047" s="9" t="str">
        <f>IFERROR(__xludf.DUMMYFUNCTION("""COMPUTED_VALUE"""),"Roberto Voerzio, Barolo, Fossati")</f>
        <v>Roberto Voerzio, Barolo, Fossati</v>
      </c>
      <c r="E2047" s="9">
        <f>IFERROR(__xludf.DUMMYFUNCTION("""COMPUTED_VALUE"""),2016.0)</f>
        <v>2016</v>
      </c>
      <c r="F2047" s="9">
        <f>IFERROR(__xludf.DUMMYFUNCTION("""COMPUTED_VALUE"""),750.0)</f>
        <v>750</v>
      </c>
      <c r="G2047" s="9">
        <f>IFERROR(__xludf.DUMMYFUNCTION("""COMPUTED_VALUE"""),6.0)</f>
        <v>6</v>
      </c>
      <c r="H2047" s="10">
        <f>IFERROR(__xludf.DUMMYFUNCTION("""COMPUTED_VALUE"""),1.0)</f>
        <v>1</v>
      </c>
      <c r="I2047" s="11">
        <f>IFERROR(__xludf.DUMMYFUNCTION("""COMPUTED_VALUE"""),1013.0)</f>
        <v>1013</v>
      </c>
      <c r="J2047" s="9" t="str">
        <f>IFERROR(__xludf.DUMMYFUNCTION("""COMPUTED_VALUE"""),"UK")</f>
        <v>UK</v>
      </c>
      <c r="K2047" s="8"/>
      <c r="L2047" s="12"/>
      <c r="M2047" s="13"/>
      <c r="N2047" s="13" t="str">
        <f>IFERROR(__xludf.DUMMYFUNCTION("IF(ISBLANK(M2047),"""",M2047*GOOGLEFINANCE(""USDGBP""))"),"")</f>
        <v/>
      </c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  <c r="FG2047" s="8"/>
      <c r="FH2047" s="8"/>
      <c r="FI2047" s="8"/>
      <c r="FJ2047" s="8"/>
      <c r="FK2047" s="8"/>
      <c r="FL2047" s="8"/>
      <c r="FM2047" s="8"/>
      <c r="FN2047" s="8"/>
      <c r="FO2047" s="8"/>
      <c r="FP2047" s="8"/>
      <c r="FQ2047" s="8"/>
      <c r="FR2047" s="8"/>
      <c r="FS2047" s="8"/>
      <c r="FT2047" s="8"/>
      <c r="FU2047" s="8"/>
      <c r="FV2047" s="8"/>
      <c r="FW2047" s="8"/>
      <c r="FX2047" s="8"/>
      <c r="FY2047" s="8"/>
      <c r="FZ2047" s="8"/>
      <c r="GA2047" s="8"/>
      <c r="GB2047" s="8"/>
      <c r="GC2047" s="8"/>
      <c r="GD2047" s="8"/>
      <c r="GE2047" s="8"/>
      <c r="GF2047" s="8"/>
      <c r="GG2047" s="8"/>
      <c r="GH2047" s="8"/>
      <c r="GI2047" s="8"/>
      <c r="GJ2047" s="8"/>
      <c r="GK2047" s="8"/>
      <c r="GL2047" s="8"/>
      <c r="GM2047" s="8"/>
      <c r="GN2047" s="8"/>
      <c r="GO2047" s="8"/>
      <c r="GP2047" s="8"/>
      <c r="GQ2047" s="8"/>
      <c r="GR2047" s="8"/>
      <c r="GS2047" s="8"/>
      <c r="GT2047" s="8"/>
      <c r="GU2047" s="8"/>
      <c r="GV2047" s="8"/>
      <c r="GW2047" s="8"/>
      <c r="GX2047" s="8"/>
    </row>
    <row r="2048">
      <c r="A2048" s="8" t="str">
        <f>IFERROR(__xludf.DUMMYFUNCTION("""COMPUTED_VALUE"""),"186049620170600750")</f>
        <v>186049620170600750</v>
      </c>
      <c r="B2048" s="9" t="str">
        <f>IFERROR(__xludf.DUMMYFUNCTION("""COMPUTED_VALUE"""),"Italy")</f>
        <v>Italy</v>
      </c>
      <c r="C2048" s="9" t="str">
        <f>IFERROR(__xludf.DUMMYFUNCTION("""COMPUTED_VALUE"""),"piedmont")</f>
        <v>piedmont</v>
      </c>
      <c r="D2048" s="9" t="str">
        <f>IFERROR(__xludf.DUMMYFUNCTION("""COMPUTED_VALUE"""),"Roberto Voerzio, Barolo, Fossati")</f>
        <v>Roberto Voerzio, Barolo, Fossati</v>
      </c>
      <c r="E2048" s="9">
        <f>IFERROR(__xludf.DUMMYFUNCTION("""COMPUTED_VALUE"""),2017.0)</f>
        <v>2017</v>
      </c>
      <c r="F2048" s="9">
        <f>IFERROR(__xludf.DUMMYFUNCTION("""COMPUTED_VALUE"""),750.0)</f>
        <v>750</v>
      </c>
      <c r="G2048" s="9">
        <f>IFERROR(__xludf.DUMMYFUNCTION("""COMPUTED_VALUE"""),6.0)</f>
        <v>6</v>
      </c>
      <c r="H2048" s="10">
        <f>IFERROR(__xludf.DUMMYFUNCTION("""COMPUTED_VALUE"""),2.0)</f>
        <v>2</v>
      </c>
      <c r="I2048" s="11">
        <f>IFERROR(__xludf.DUMMYFUNCTION("""COMPUTED_VALUE"""),1060.0)</f>
        <v>1060</v>
      </c>
      <c r="J2048" s="9" t="str">
        <f>IFERROR(__xludf.DUMMYFUNCTION("""COMPUTED_VALUE"""),"UK")</f>
        <v>UK</v>
      </c>
      <c r="K2048" s="8"/>
      <c r="L2048" s="12"/>
      <c r="M2048" s="13"/>
      <c r="N2048" s="13" t="str">
        <f>IFERROR(__xludf.DUMMYFUNCTION("IF(ISBLANK(M2048),"""",M2048*GOOGLEFINANCE(""USDGBP""))"),"")</f>
        <v/>
      </c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  <c r="FG2048" s="8"/>
      <c r="FH2048" s="8"/>
      <c r="FI2048" s="8"/>
      <c r="FJ2048" s="8"/>
      <c r="FK2048" s="8"/>
      <c r="FL2048" s="8"/>
      <c r="FM2048" s="8"/>
      <c r="FN2048" s="8"/>
      <c r="FO2048" s="8"/>
      <c r="FP2048" s="8"/>
      <c r="FQ2048" s="8"/>
      <c r="FR2048" s="8"/>
      <c r="FS2048" s="8"/>
      <c r="FT2048" s="8"/>
      <c r="FU2048" s="8"/>
      <c r="FV2048" s="8"/>
      <c r="FW2048" s="8"/>
      <c r="FX2048" s="8"/>
      <c r="FY2048" s="8"/>
      <c r="FZ2048" s="8"/>
      <c r="GA2048" s="8"/>
      <c r="GB2048" s="8"/>
      <c r="GC2048" s="8"/>
      <c r="GD2048" s="8"/>
      <c r="GE2048" s="8"/>
      <c r="GF2048" s="8"/>
      <c r="GG2048" s="8"/>
      <c r="GH2048" s="8"/>
      <c r="GI2048" s="8"/>
      <c r="GJ2048" s="8"/>
      <c r="GK2048" s="8"/>
      <c r="GL2048" s="8"/>
      <c r="GM2048" s="8"/>
      <c r="GN2048" s="8"/>
      <c r="GO2048" s="8"/>
      <c r="GP2048" s="8"/>
      <c r="GQ2048" s="8"/>
      <c r="GR2048" s="8"/>
      <c r="GS2048" s="8"/>
      <c r="GT2048" s="8"/>
      <c r="GU2048" s="8"/>
      <c r="GV2048" s="8"/>
      <c r="GW2048" s="8"/>
      <c r="GX2048" s="8"/>
    </row>
    <row r="2049">
      <c r="A2049" s="8" t="str">
        <f>IFERROR(__xludf.DUMMYFUNCTION("""COMPUTED_VALUE"""),"110663120130600750")</f>
        <v>110663120130600750</v>
      </c>
      <c r="B2049" s="9" t="str">
        <f>IFERROR(__xludf.DUMMYFUNCTION("""COMPUTED_VALUE"""),"Italy")</f>
        <v>Italy</v>
      </c>
      <c r="C2049" s="9" t="str">
        <f>IFERROR(__xludf.DUMMYFUNCTION("""COMPUTED_VALUE"""),"piedmont")</f>
        <v>piedmont</v>
      </c>
      <c r="D2049" s="9" t="str">
        <f>IFERROR(__xludf.DUMMYFUNCTION("""COMPUTED_VALUE"""),"Roberto Voerzio, Barolo, La Serra")</f>
        <v>Roberto Voerzio, Barolo, La Serra</v>
      </c>
      <c r="E2049" s="9">
        <f>IFERROR(__xludf.DUMMYFUNCTION("""COMPUTED_VALUE"""),2013.0)</f>
        <v>2013</v>
      </c>
      <c r="F2049" s="9">
        <f>IFERROR(__xludf.DUMMYFUNCTION("""COMPUTED_VALUE"""),750.0)</f>
        <v>750</v>
      </c>
      <c r="G2049" s="9">
        <f>IFERROR(__xludf.DUMMYFUNCTION("""COMPUTED_VALUE"""),6.0)</f>
        <v>6</v>
      </c>
      <c r="H2049" s="10">
        <f>IFERROR(__xludf.DUMMYFUNCTION("""COMPUTED_VALUE"""),1.0)</f>
        <v>1</v>
      </c>
      <c r="I2049" s="11">
        <f>IFERROR(__xludf.DUMMYFUNCTION("""COMPUTED_VALUE"""),756.0)</f>
        <v>756</v>
      </c>
      <c r="J2049" s="9" t="str">
        <f>IFERROR(__xludf.DUMMYFUNCTION("""COMPUTED_VALUE"""),"UK")</f>
        <v>UK</v>
      </c>
      <c r="K2049" s="8"/>
      <c r="L2049" s="12"/>
      <c r="M2049" s="13"/>
      <c r="N2049" s="13" t="str">
        <f>IFERROR(__xludf.DUMMYFUNCTION("IF(ISBLANK(M2049),"""",M2049*GOOGLEFINANCE(""USDGBP""))"),"")</f>
        <v/>
      </c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  <c r="FG2049" s="8"/>
      <c r="FH2049" s="8"/>
      <c r="FI2049" s="8"/>
      <c r="FJ2049" s="8"/>
      <c r="FK2049" s="8"/>
      <c r="FL2049" s="8"/>
      <c r="FM2049" s="8"/>
      <c r="FN2049" s="8"/>
      <c r="FO2049" s="8"/>
      <c r="FP2049" s="8"/>
      <c r="FQ2049" s="8"/>
      <c r="FR2049" s="8"/>
      <c r="FS2049" s="8"/>
      <c r="FT2049" s="8"/>
      <c r="FU2049" s="8"/>
      <c r="FV2049" s="8"/>
      <c r="FW2049" s="8"/>
      <c r="FX2049" s="8"/>
      <c r="FY2049" s="8"/>
      <c r="FZ2049" s="8"/>
      <c r="GA2049" s="8"/>
      <c r="GB2049" s="8"/>
      <c r="GC2049" s="8"/>
      <c r="GD2049" s="8"/>
      <c r="GE2049" s="8"/>
      <c r="GF2049" s="8"/>
      <c r="GG2049" s="8"/>
      <c r="GH2049" s="8"/>
      <c r="GI2049" s="8"/>
      <c r="GJ2049" s="8"/>
      <c r="GK2049" s="8"/>
      <c r="GL2049" s="8"/>
      <c r="GM2049" s="8"/>
      <c r="GN2049" s="8"/>
      <c r="GO2049" s="8"/>
      <c r="GP2049" s="8"/>
      <c r="GQ2049" s="8"/>
      <c r="GR2049" s="8"/>
      <c r="GS2049" s="8"/>
      <c r="GT2049" s="8"/>
      <c r="GU2049" s="8"/>
      <c r="GV2049" s="8"/>
      <c r="GW2049" s="8"/>
      <c r="GX2049" s="8"/>
    </row>
    <row r="2050">
      <c r="A2050" s="8" t="str">
        <f>IFERROR(__xludf.DUMMYFUNCTION("""COMPUTED_VALUE"""),"110663120140600750")</f>
        <v>110663120140600750</v>
      </c>
      <c r="B2050" s="9" t="str">
        <f>IFERROR(__xludf.DUMMYFUNCTION("""COMPUTED_VALUE"""),"Italy")</f>
        <v>Italy</v>
      </c>
      <c r="C2050" s="9" t="str">
        <f>IFERROR(__xludf.DUMMYFUNCTION("""COMPUTED_VALUE"""),"piedmont")</f>
        <v>piedmont</v>
      </c>
      <c r="D2050" s="9" t="str">
        <f>IFERROR(__xludf.DUMMYFUNCTION("""COMPUTED_VALUE"""),"Roberto Voerzio, Barolo, La Serra")</f>
        <v>Roberto Voerzio, Barolo, La Serra</v>
      </c>
      <c r="E2050" s="9">
        <f>IFERROR(__xludf.DUMMYFUNCTION("""COMPUTED_VALUE"""),2014.0)</f>
        <v>2014</v>
      </c>
      <c r="F2050" s="9">
        <f>IFERROR(__xludf.DUMMYFUNCTION("""COMPUTED_VALUE"""),750.0)</f>
        <v>750</v>
      </c>
      <c r="G2050" s="9">
        <f>IFERROR(__xludf.DUMMYFUNCTION("""COMPUTED_VALUE"""),6.0)</f>
        <v>6</v>
      </c>
      <c r="H2050" s="10">
        <f>IFERROR(__xludf.DUMMYFUNCTION("""COMPUTED_VALUE"""),3.0)</f>
        <v>3</v>
      </c>
      <c r="I2050" s="11">
        <f>IFERROR(__xludf.DUMMYFUNCTION("""COMPUTED_VALUE"""),1012.0)</f>
        <v>1012</v>
      </c>
      <c r="J2050" s="9" t="str">
        <f>IFERROR(__xludf.DUMMYFUNCTION("""COMPUTED_VALUE"""),"UK")</f>
        <v>UK</v>
      </c>
      <c r="K2050" s="8"/>
      <c r="L2050" s="12"/>
      <c r="M2050" s="13"/>
      <c r="N2050" s="13" t="str">
        <f>IFERROR(__xludf.DUMMYFUNCTION("IF(ISBLANK(M2050),"""",M2050*GOOGLEFINANCE(""USDGBP""))"),"")</f>
        <v/>
      </c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  <c r="FG2050" s="8"/>
      <c r="FH2050" s="8"/>
      <c r="FI2050" s="8"/>
      <c r="FJ2050" s="8"/>
      <c r="FK2050" s="8"/>
      <c r="FL2050" s="8"/>
      <c r="FM2050" s="8"/>
      <c r="FN2050" s="8"/>
      <c r="FO2050" s="8"/>
      <c r="FP2050" s="8"/>
      <c r="FQ2050" s="8"/>
      <c r="FR2050" s="8"/>
      <c r="FS2050" s="8"/>
      <c r="FT2050" s="8"/>
      <c r="FU2050" s="8"/>
      <c r="FV2050" s="8"/>
      <c r="FW2050" s="8"/>
      <c r="FX2050" s="8"/>
      <c r="FY2050" s="8"/>
      <c r="FZ2050" s="8"/>
      <c r="GA2050" s="8"/>
      <c r="GB2050" s="8"/>
      <c r="GC2050" s="8"/>
      <c r="GD2050" s="8"/>
      <c r="GE2050" s="8"/>
      <c r="GF2050" s="8"/>
      <c r="GG2050" s="8"/>
      <c r="GH2050" s="8"/>
      <c r="GI2050" s="8"/>
      <c r="GJ2050" s="8"/>
      <c r="GK2050" s="8"/>
      <c r="GL2050" s="8"/>
      <c r="GM2050" s="8"/>
      <c r="GN2050" s="8"/>
      <c r="GO2050" s="8"/>
      <c r="GP2050" s="8"/>
      <c r="GQ2050" s="8"/>
      <c r="GR2050" s="8"/>
      <c r="GS2050" s="8"/>
      <c r="GT2050" s="8"/>
      <c r="GU2050" s="8"/>
      <c r="GV2050" s="8"/>
      <c r="GW2050" s="8"/>
      <c r="GX2050" s="8"/>
    </row>
    <row r="2051">
      <c r="A2051" s="8" t="str">
        <f>IFERROR(__xludf.DUMMYFUNCTION("""COMPUTED_VALUE"""),"110626620160600750")</f>
        <v>110626620160600750</v>
      </c>
      <c r="B2051" s="9" t="str">
        <f>IFERROR(__xludf.DUMMYFUNCTION("""COMPUTED_VALUE"""),"Italy")</f>
        <v>Italy</v>
      </c>
      <c r="C2051" s="9" t="str">
        <f>IFERROR(__xludf.DUMMYFUNCTION("""COMPUTED_VALUE"""),"piedmont")</f>
        <v>piedmont</v>
      </c>
      <c r="D2051" s="9" t="str">
        <f>IFERROR(__xludf.DUMMYFUNCTION("""COMPUTED_VALUE"""),"Vietti, Barbaresco, Roncaglie Masseria")</f>
        <v>Vietti, Barbaresco, Roncaglie Masseria</v>
      </c>
      <c r="E2051" s="9">
        <f>IFERROR(__xludf.DUMMYFUNCTION("""COMPUTED_VALUE"""),2016.0)</f>
        <v>2016</v>
      </c>
      <c r="F2051" s="9">
        <f>IFERROR(__xludf.DUMMYFUNCTION("""COMPUTED_VALUE"""),750.0)</f>
        <v>750</v>
      </c>
      <c r="G2051" s="9">
        <f>IFERROR(__xludf.DUMMYFUNCTION("""COMPUTED_VALUE"""),6.0)</f>
        <v>6</v>
      </c>
      <c r="H2051" s="10">
        <f>IFERROR(__xludf.DUMMYFUNCTION("""COMPUTED_VALUE"""),3.0)</f>
        <v>3</v>
      </c>
      <c r="I2051" s="11">
        <f>IFERROR(__xludf.DUMMYFUNCTION("""COMPUTED_VALUE"""),789.0)</f>
        <v>789</v>
      </c>
      <c r="J2051" s="9" t="str">
        <f>IFERROR(__xludf.DUMMYFUNCTION("""COMPUTED_VALUE"""),"UK")</f>
        <v>UK</v>
      </c>
      <c r="K2051" s="8"/>
      <c r="L2051" s="12"/>
      <c r="M2051" s="13"/>
      <c r="N2051" s="13" t="str">
        <f>IFERROR(__xludf.DUMMYFUNCTION("IF(ISBLANK(M2051),"""",M2051*GOOGLEFINANCE(""USDGBP""))"),"")</f>
        <v/>
      </c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  <c r="FG2051" s="8"/>
      <c r="FH2051" s="8"/>
      <c r="FI2051" s="8"/>
      <c r="FJ2051" s="8"/>
      <c r="FK2051" s="8"/>
      <c r="FL2051" s="8"/>
      <c r="FM2051" s="8"/>
      <c r="FN2051" s="8"/>
      <c r="FO2051" s="8"/>
      <c r="FP2051" s="8"/>
      <c r="FQ2051" s="8"/>
      <c r="FR2051" s="8"/>
      <c r="FS2051" s="8"/>
      <c r="FT2051" s="8"/>
      <c r="FU2051" s="8"/>
      <c r="FV2051" s="8"/>
      <c r="FW2051" s="8"/>
      <c r="FX2051" s="8"/>
      <c r="FY2051" s="8"/>
      <c r="FZ2051" s="8"/>
      <c r="GA2051" s="8"/>
      <c r="GB2051" s="8"/>
      <c r="GC2051" s="8"/>
      <c r="GD2051" s="8"/>
      <c r="GE2051" s="8"/>
      <c r="GF2051" s="8"/>
      <c r="GG2051" s="8"/>
      <c r="GH2051" s="8"/>
      <c r="GI2051" s="8"/>
      <c r="GJ2051" s="8"/>
      <c r="GK2051" s="8"/>
      <c r="GL2051" s="8"/>
      <c r="GM2051" s="8"/>
      <c r="GN2051" s="8"/>
      <c r="GO2051" s="8"/>
      <c r="GP2051" s="8"/>
      <c r="GQ2051" s="8"/>
      <c r="GR2051" s="8"/>
      <c r="GS2051" s="8"/>
      <c r="GT2051" s="8"/>
      <c r="GU2051" s="8"/>
      <c r="GV2051" s="8"/>
      <c r="GW2051" s="8"/>
      <c r="GX2051" s="8"/>
    </row>
    <row r="2052">
      <c r="A2052" s="8" t="str">
        <f>IFERROR(__xludf.DUMMYFUNCTION("""COMPUTED_VALUE"""),"110631220130600750")</f>
        <v>110631220130600750</v>
      </c>
      <c r="B2052" s="9" t="str">
        <f>IFERROR(__xludf.DUMMYFUNCTION("""COMPUTED_VALUE"""),"Italy")</f>
        <v>Italy</v>
      </c>
      <c r="C2052" s="9" t="str">
        <f>IFERROR(__xludf.DUMMYFUNCTION("""COMPUTED_VALUE"""),"piedmont")</f>
        <v>piedmont</v>
      </c>
      <c r="D2052" s="9" t="str">
        <f>IFERROR(__xludf.DUMMYFUNCTION("""COMPUTED_VALUE"""),"Vietti, Barolo, Brunate")</f>
        <v>Vietti, Barolo, Brunate</v>
      </c>
      <c r="E2052" s="9">
        <f>IFERROR(__xludf.DUMMYFUNCTION("""COMPUTED_VALUE"""),2013.0)</f>
        <v>2013</v>
      </c>
      <c r="F2052" s="9">
        <f>IFERROR(__xludf.DUMMYFUNCTION("""COMPUTED_VALUE"""),750.0)</f>
        <v>750</v>
      </c>
      <c r="G2052" s="9">
        <f>IFERROR(__xludf.DUMMYFUNCTION("""COMPUTED_VALUE"""),6.0)</f>
        <v>6</v>
      </c>
      <c r="H2052" s="10">
        <f>IFERROR(__xludf.DUMMYFUNCTION("""COMPUTED_VALUE"""),6.0)</f>
        <v>6</v>
      </c>
      <c r="I2052" s="11">
        <f>IFERROR(__xludf.DUMMYFUNCTION("""COMPUTED_VALUE"""),817.0)</f>
        <v>817</v>
      </c>
      <c r="J2052" s="9" t="str">
        <f>IFERROR(__xludf.DUMMYFUNCTION("""COMPUTED_VALUE"""),"UK")</f>
        <v>UK</v>
      </c>
      <c r="K2052" s="8"/>
      <c r="L2052" s="12"/>
      <c r="M2052" s="13"/>
      <c r="N2052" s="13" t="str">
        <f>IFERROR(__xludf.DUMMYFUNCTION("IF(ISBLANK(M2052),"""",M2052*GOOGLEFINANCE(""USDGBP""))"),"")</f>
        <v/>
      </c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  <c r="FG2052" s="8"/>
      <c r="FH2052" s="8"/>
      <c r="FI2052" s="8"/>
      <c r="FJ2052" s="8"/>
      <c r="FK2052" s="8"/>
      <c r="FL2052" s="8"/>
      <c r="FM2052" s="8"/>
      <c r="FN2052" s="8"/>
      <c r="FO2052" s="8"/>
      <c r="FP2052" s="8"/>
      <c r="FQ2052" s="8"/>
      <c r="FR2052" s="8"/>
      <c r="FS2052" s="8"/>
      <c r="FT2052" s="8"/>
      <c r="FU2052" s="8"/>
      <c r="FV2052" s="8"/>
      <c r="FW2052" s="8"/>
      <c r="FX2052" s="8"/>
      <c r="FY2052" s="8"/>
      <c r="FZ2052" s="8"/>
      <c r="GA2052" s="8"/>
      <c r="GB2052" s="8"/>
      <c r="GC2052" s="8"/>
      <c r="GD2052" s="8"/>
      <c r="GE2052" s="8"/>
      <c r="GF2052" s="8"/>
      <c r="GG2052" s="8"/>
      <c r="GH2052" s="8"/>
      <c r="GI2052" s="8"/>
      <c r="GJ2052" s="8"/>
      <c r="GK2052" s="8"/>
      <c r="GL2052" s="8"/>
      <c r="GM2052" s="8"/>
      <c r="GN2052" s="8"/>
      <c r="GO2052" s="8"/>
      <c r="GP2052" s="8"/>
      <c r="GQ2052" s="8"/>
      <c r="GR2052" s="8"/>
      <c r="GS2052" s="8"/>
      <c r="GT2052" s="8"/>
      <c r="GU2052" s="8"/>
      <c r="GV2052" s="8"/>
      <c r="GW2052" s="8"/>
      <c r="GX2052" s="8"/>
    </row>
    <row r="2053">
      <c r="A2053" s="8" t="str">
        <f>IFERROR(__xludf.DUMMYFUNCTION("""COMPUTED_VALUE"""),"110631220150300750")</f>
        <v>110631220150300750</v>
      </c>
      <c r="B2053" s="9" t="str">
        <f>IFERROR(__xludf.DUMMYFUNCTION("""COMPUTED_VALUE"""),"Italy")</f>
        <v>Italy</v>
      </c>
      <c r="C2053" s="9" t="str">
        <f>IFERROR(__xludf.DUMMYFUNCTION("""COMPUTED_VALUE"""),"piedmont")</f>
        <v>piedmont</v>
      </c>
      <c r="D2053" s="9" t="str">
        <f>IFERROR(__xludf.DUMMYFUNCTION("""COMPUTED_VALUE"""),"Vietti, Barolo, Brunate")</f>
        <v>Vietti, Barolo, Brunate</v>
      </c>
      <c r="E2053" s="9">
        <f>IFERROR(__xludf.DUMMYFUNCTION("""COMPUTED_VALUE"""),2015.0)</f>
        <v>2015</v>
      </c>
      <c r="F2053" s="9">
        <f>IFERROR(__xludf.DUMMYFUNCTION("""COMPUTED_VALUE"""),750.0)</f>
        <v>750</v>
      </c>
      <c r="G2053" s="9">
        <f>IFERROR(__xludf.DUMMYFUNCTION("""COMPUTED_VALUE"""),3.0)</f>
        <v>3</v>
      </c>
      <c r="H2053" s="10">
        <f>IFERROR(__xludf.DUMMYFUNCTION("""COMPUTED_VALUE"""),1.0)</f>
        <v>1</v>
      </c>
      <c r="I2053" s="11">
        <f>IFERROR(__xludf.DUMMYFUNCTION("""COMPUTED_VALUE"""),411.0)</f>
        <v>411</v>
      </c>
      <c r="J2053" s="9" t="str">
        <f>IFERROR(__xludf.DUMMYFUNCTION("""COMPUTED_VALUE"""),"UK")</f>
        <v>UK</v>
      </c>
      <c r="K2053" s="8"/>
      <c r="L2053" s="12"/>
      <c r="M2053" s="13"/>
      <c r="N2053" s="13" t="str">
        <f>IFERROR(__xludf.DUMMYFUNCTION("IF(ISBLANK(M2053),"""",M2053*GOOGLEFINANCE(""USDGBP""))"),"")</f>
        <v/>
      </c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  <c r="FG2053" s="8"/>
      <c r="FH2053" s="8"/>
      <c r="FI2053" s="8"/>
      <c r="FJ2053" s="8"/>
      <c r="FK2053" s="8"/>
      <c r="FL2053" s="8"/>
      <c r="FM2053" s="8"/>
      <c r="FN2053" s="8"/>
      <c r="FO2053" s="8"/>
      <c r="FP2053" s="8"/>
      <c r="FQ2053" s="8"/>
      <c r="FR2053" s="8"/>
      <c r="FS2053" s="8"/>
      <c r="FT2053" s="8"/>
      <c r="FU2053" s="8"/>
      <c r="FV2053" s="8"/>
      <c r="FW2053" s="8"/>
      <c r="FX2053" s="8"/>
      <c r="FY2053" s="8"/>
      <c r="FZ2053" s="8"/>
      <c r="GA2053" s="8"/>
      <c r="GB2053" s="8"/>
      <c r="GC2053" s="8"/>
      <c r="GD2053" s="8"/>
      <c r="GE2053" s="8"/>
      <c r="GF2053" s="8"/>
      <c r="GG2053" s="8"/>
      <c r="GH2053" s="8"/>
      <c r="GI2053" s="8"/>
      <c r="GJ2053" s="8"/>
      <c r="GK2053" s="8"/>
      <c r="GL2053" s="8"/>
      <c r="GM2053" s="8"/>
      <c r="GN2053" s="8"/>
      <c r="GO2053" s="8"/>
      <c r="GP2053" s="8"/>
      <c r="GQ2053" s="8"/>
      <c r="GR2053" s="8"/>
      <c r="GS2053" s="8"/>
      <c r="GT2053" s="8"/>
      <c r="GU2053" s="8"/>
      <c r="GV2053" s="8"/>
      <c r="GW2053" s="8"/>
      <c r="GX2053" s="8"/>
    </row>
    <row r="2054">
      <c r="A2054" s="8" t="str">
        <f>IFERROR(__xludf.DUMMYFUNCTION("""COMPUTED_VALUE"""),"110631220160600750")</f>
        <v>110631220160600750</v>
      </c>
      <c r="B2054" s="9" t="str">
        <f>IFERROR(__xludf.DUMMYFUNCTION("""COMPUTED_VALUE"""),"Italy")</f>
        <v>Italy</v>
      </c>
      <c r="C2054" s="9" t="str">
        <f>IFERROR(__xludf.DUMMYFUNCTION("""COMPUTED_VALUE"""),"piedmont")</f>
        <v>piedmont</v>
      </c>
      <c r="D2054" s="9" t="str">
        <f>IFERROR(__xludf.DUMMYFUNCTION("""COMPUTED_VALUE"""),"Vietti, Barolo, Brunate")</f>
        <v>Vietti, Barolo, Brunate</v>
      </c>
      <c r="E2054" s="9">
        <f>IFERROR(__xludf.DUMMYFUNCTION("""COMPUTED_VALUE"""),2016.0)</f>
        <v>2016</v>
      </c>
      <c r="F2054" s="9">
        <f>IFERROR(__xludf.DUMMYFUNCTION("""COMPUTED_VALUE"""),750.0)</f>
        <v>750</v>
      </c>
      <c r="G2054" s="9">
        <f>IFERROR(__xludf.DUMMYFUNCTION("""COMPUTED_VALUE"""),6.0)</f>
        <v>6</v>
      </c>
      <c r="H2054" s="10">
        <f>IFERROR(__xludf.DUMMYFUNCTION("""COMPUTED_VALUE"""),1.0)</f>
        <v>1</v>
      </c>
      <c r="I2054" s="11">
        <f>IFERROR(__xludf.DUMMYFUNCTION("""COMPUTED_VALUE"""),1125.0)</f>
        <v>1125</v>
      </c>
      <c r="J2054" s="9" t="str">
        <f>IFERROR(__xludf.DUMMYFUNCTION("""COMPUTED_VALUE"""),"UK")</f>
        <v>UK</v>
      </c>
      <c r="K2054" s="8"/>
      <c r="L2054" s="12"/>
      <c r="M2054" s="13"/>
      <c r="N2054" s="13" t="str">
        <f>IFERROR(__xludf.DUMMYFUNCTION("IF(ISBLANK(M2054),"""",M2054*GOOGLEFINANCE(""USDGBP""))"),"")</f>
        <v/>
      </c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  <c r="FG2054" s="8"/>
      <c r="FH2054" s="8"/>
      <c r="FI2054" s="8"/>
      <c r="FJ2054" s="8"/>
      <c r="FK2054" s="8"/>
      <c r="FL2054" s="8"/>
      <c r="FM2054" s="8"/>
      <c r="FN2054" s="8"/>
      <c r="FO2054" s="8"/>
      <c r="FP2054" s="8"/>
      <c r="FQ2054" s="8"/>
      <c r="FR2054" s="8"/>
      <c r="FS2054" s="8"/>
      <c r="FT2054" s="8"/>
      <c r="FU2054" s="8"/>
      <c r="FV2054" s="8"/>
      <c r="FW2054" s="8"/>
      <c r="FX2054" s="8"/>
      <c r="FY2054" s="8"/>
      <c r="FZ2054" s="8"/>
      <c r="GA2054" s="8"/>
      <c r="GB2054" s="8"/>
      <c r="GC2054" s="8"/>
      <c r="GD2054" s="8"/>
      <c r="GE2054" s="8"/>
      <c r="GF2054" s="8"/>
      <c r="GG2054" s="8"/>
      <c r="GH2054" s="8"/>
      <c r="GI2054" s="8"/>
      <c r="GJ2054" s="8"/>
      <c r="GK2054" s="8"/>
      <c r="GL2054" s="8"/>
      <c r="GM2054" s="8"/>
      <c r="GN2054" s="8"/>
      <c r="GO2054" s="8"/>
      <c r="GP2054" s="8"/>
      <c r="GQ2054" s="8"/>
      <c r="GR2054" s="8"/>
      <c r="GS2054" s="8"/>
      <c r="GT2054" s="8"/>
      <c r="GU2054" s="8"/>
      <c r="GV2054" s="8"/>
      <c r="GW2054" s="8"/>
      <c r="GX2054" s="8"/>
    </row>
    <row r="2055">
      <c r="A2055" s="8" t="str">
        <f>IFERROR(__xludf.DUMMYFUNCTION("""COMPUTED_VALUE"""),"110631220160300750")</f>
        <v>110631220160300750</v>
      </c>
      <c r="B2055" s="9" t="str">
        <f>IFERROR(__xludf.DUMMYFUNCTION("""COMPUTED_VALUE"""),"Italy")</f>
        <v>Italy</v>
      </c>
      <c r="C2055" s="9" t="str">
        <f>IFERROR(__xludf.DUMMYFUNCTION("""COMPUTED_VALUE"""),"piedmont")</f>
        <v>piedmont</v>
      </c>
      <c r="D2055" s="9" t="str">
        <f>IFERROR(__xludf.DUMMYFUNCTION("""COMPUTED_VALUE"""),"Vietti, Barolo, Brunate")</f>
        <v>Vietti, Barolo, Brunate</v>
      </c>
      <c r="E2055" s="9">
        <f>IFERROR(__xludf.DUMMYFUNCTION("""COMPUTED_VALUE"""),2016.0)</f>
        <v>2016</v>
      </c>
      <c r="F2055" s="9">
        <f>IFERROR(__xludf.DUMMYFUNCTION("""COMPUTED_VALUE"""),750.0)</f>
        <v>750</v>
      </c>
      <c r="G2055" s="9">
        <f>IFERROR(__xludf.DUMMYFUNCTION("""COMPUTED_VALUE"""),3.0)</f>
        <v>3</v>
      </c>
      <c r="H2055" s="10">
        <f>IFERROR(__xludf.DUMMYFUNCTION("""COMPUTED_VALUE"""),2.0)</f>
        <v>2</v>
      </c>
      <c r="I2055" s="11">
        <f>IFERROR(__xludf.DUMMYFUNCTION("""COMPUTED_VALUE"""),563.0)</f>
        <v>563</v>
      </c>
      <c r="J2055" s="9" t="str">
        <f>IFERROR(__xludf.DUMMYFUNCTION("""COMPUTED_VALUE"""),"UK")</f>
        <v>UK</v>
      </c>
      <c r="K2055" s="8"/>
      <c r="L2055" s="12"/>
      <c r="M2055" s="13"/>
      <c r="N2055" s="13" t="str">
        <f>IFERROR(__xludf.DUMMYFUNCTION("IF(ISBLANK(M2055),"""",M2055*GOOGLEFINANCE(""USDGBP""))"),"")</f>
        <v/>
      </c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  <c r="FG2055" s="8"/>
      <c r="FH2055" s="8"/>
      <c r="FI2055" s="8"/>
      <c r="FJ2055" s="8"/>
      <c r="FK2055" s="8"/>
      <c r="FL2055" s="8"/>
      <c r="FM2055" s="8"/>
      <c r="FN2055" s="8"/>
      <c r="FO2055" s="8"/>
      <c r="FP2055" s="8"/>
      <c r="FQ2055" s="8"/>
      <c r="FR2055" s="8"/>
      <c r="FS2055" s="8"/>
      <c r="FT2055" s="8"/>
      <c r="FU2055" s="8"/>
      <c r="FV2055" s="8"/>
      <c r="FW2055" s="8"/>
      <c r="FX2055" s="8"/>
      <c r="FY2055" s="8"/>
      <c r="FZ2055" s="8"/>
      <c r="GA2055" s="8"/>
      <c r="GB2055" s="8"/>
      <c r="GC2055" s="8"/>
      <c r="GD2055" s="8"/>
      <c r="GE2055" s="8"/>
      <c r="GF2055" s="8"/>
      <c r="GG2055" s="8"/>
      <c r="GH2055" s="8"/>
      <c r="GI2055" s="8"/>
      <c r="GJ2055" s="8"/>
      <c r="GK2055" s="8"/>
      <c r="GL2055" s="8"/>
      <c r="GM2055" s="8"/>
      <c r="GN2055" s="8"/>
      <c r="GO2055" s="8"/>
      <c r="GP2055" s="8"/>
      <c r="GQ2055" s="8"/>
      <c r="GR2055" s="8"/>
      <c r="GS2055" s="8"/>
      <c r="GT2055" s="8"/>
      <c r="GU2055" s="8"/>
      <c r="GV2055" s="8"/>
      <c r="GW2055" s="8"/>
      <c r="GX2055" s="8"/>
    </row>
    <row r="2056">
      <c r="A2056" s="8" t="str">
        <f>IFERROR(__xludf.DUMMYFUNCTION("""COMPUTED_VALUE"""),"110633820110600750")</f>
        <v>110633820110600750</v>
      </c>
      <c r="B2056" s="9" t="str">
        <f>IFERROR(__xludf.DUMMYFUNCTION("""COMPUTED_VALUE"""),"Italy")</f>
        <v>Italy</v>
      </c>
      <c r="C2056" s="9" t="str">
        <f>IFERROR(__xludf.DUMMYFUNCTION("""COMPUTED_VALUE"""),"piedmont")</f>
        <v>piedmont</v>
      </c>
      <c r="D2056" s="9" t="str">
        <f>IFERROR(__xludf.DUMMYFUNCTION("""COMPUTED_VALUE"""),"Vietti, Barolo, Lazzarito")</f>
        <v>Vietti, Barolo, Lazzarito</v>
      </c>
      <c r="E2056" s="9">
        <f>IFERROR(__xludf.DUMMYFUNCTION("""COMPUTED_VALUE"""),2011.0)</f>
        <v>2011</v>
      </c>
      <c r="F2056" s="9">
        <f>IFERROR(__xludf.DUMMYFUNCTION("""COMPUTED_VALUE"""),750.0)</f>
        <v>750</v>
      </c>
      <c r="G2056" s="9">
        <f>IFERROR(__xludf.DUMMYFUNCTION("""COMPUTED_VALUE"""),6.0)</f>
        <v>6</v>
      </c>
      <c r="H2056" s="10">
        <f>IFERROR(__xludf.DUMMYFUNCTION("""COMPUTED_VALUE"""),1.0)</f>
        <v>1</v>
      </c>
      <c r="I2056" s="11">
        <f>IFERROR(__xludf.DUMMYFUNCTION("""COMPUTED_VALUE"""),632.0)</f>
        <v>632</v>
      </c>
      <c r="J2056" s="9" t="str">
        <f>IFERROR(__xludf.DUMMYFUNCTION("""COMPUTED_VALUE"""),"UK")</f>
        <v>UK</v>
      </c>
      <c r="K2056" s="8"/>
      <c r="L2056" s="12"/>
      <c r="M2056" s="13"/>
      <c r="N2056" s="13" t="str">
        <f>IFERROR(__xludf.DUMMYFUNCTION("IF(ISBLANK(M2056),"""",M2056*GOOGLEFINANCE(""USDGBP""))"),"")</f>
        <v/>
      </c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  <c r="FG2056" s="8"/>
      <c r="FH2056" s="8"/>
      <c r="FI2056" s="8"/>
      <c r="FJ2056" s="8"/>
      <c r="FK2056" s="8"/>
      <c r="FL2056" s="8"/>
      <c r="FM2056" s="8"/>
      <c r="FN2056" s="8"/>
      <c r="FO2056" s="8"/>
      <c r="FP2056" s="8"/>
      <c r="FQ2056" s="8"/>
      <c r="FR2056" s="8"/>
      <c r="FS2056" s="8"/>
      <c r="FT2056" s="8"/>
      <c r="FU2056" s="8"/>
      <c r="FV2056" s="8"/>
      <c r="FW2056" s="8"/>
      <c r="FX2056" s="8"/>
      <c r="FY2056" s="8"/>
      <c r="FZ2056" s="8"/>
      <c r="GA2056" s="8"/>
      <c r="GB2056" s="8"/>
      <c r="GC2056" s="8"/>
      <c r="GD2056" s="8"/>
      <c r="GE2056" s="8"/>
      <c r="GF2056" s="8"/>
      <c r="GG2056" s="8"/>
      <c r="GH2056" s="8"/>
      <c r="GI2056" s="8"/>
      <c r="GJ2056" s="8"/>
      <c r="GK2056" s="8"/>
      <c r="GL2056" s="8"/>
      <c r="GM2056" s="8"/>
      <c r="GN2056" s="8"/>
      <c r="GO2056" s="8"/>
      <c r="GP2056" s="8"/>
      <c r="GQ2056" s="8"/>
      <c r="GR2056" s="8"/>
      <c r="GS2056" s="8"/>
      <c r="GT2056" s="8"/>
      <c r="GU2056" s="8"/>
      <c r="GV2056" s="8"/>
      <c r="GW2056" s="8"/>
      <c r="GX2056" s="8"/>
    </row>
    <row r="2057">
      <c r="A2057" s="8" t="str">
        <f>IFERROR(__xludf.DUMMYFUNCTION("""COMPUTED_VALUE"""),"110633820120600750")</f>
        <v>110633820120600750</v>
      </c>
      <c r="B2057" s="9" t="str">
        <f>IFERROR(__xludf.DUMMYFUNCTION("""COMPUTED_VALUE"""),"Italy")</f>
        <v>Italy</v>
      </c>
      <c r="C2057" s="9" t="str">
        <f>IFERROR(__xludf.DUMMYFUNCTION("""COMPUTED_VALUE"""),"piedmont")</f>
        <v>piedmont</v>
      </c>
      <c r="D2057" s="9" t="str">
        <f>IFERROR(__xludf.DUMMYFUNCTION("""COMPUTED_VALUE"""),"Vietti, Barolo, Lazzarito")</f>
        <v>Vietti, Barolo, Lazzarito</v>
      </c>
      <c r="E2057" s="9">
        <f>IFERROR(__xludf.DUMMYFUNCTION("""COMPUTED_VALUE"""),2012.0)</f>
        <v>2012</v>
      </c>
      <c r="F2057" s="9">
        <f>IFERROR(__xludf.DUMMYFUNCTION("""COMPUTED_VALUE"""),750.0)</f>
        <v>750</v>
      </c>
      <c r="G2057" s="9">
        <f>IFERROR(__xludf.DUMMYFUNCTION("""COMPUTED_VALUE"""),6.0)</f>
        <v>6</v>
      </c>
      <c r="H2057" s="10">
        <f>IFERROR(__xludf.DUMMYFUNCTION("""COMPUTED_VALUE"""),1.0)</f>
        <v>1</v>
      </c>
      <c r="I2057" s="11">
        <f>IFERROR(__xludf.DUMMYFUNCTION("""COMPUTED_VALUE"""),765.0)</f>
        <v>765</v>
      </c>
      <c r="J2057" s="9" t="str">
        <f>IFERROR(__xludf.DUMMYFUNCTION("""COMPUTED_VALUE"""),"UK")</f>
        <v>UK</v>
      </c>
      <c r="K2057" s="8"/>
      <c r="L2057" s="12"/>
      <c r="M2057" s="13"/>
      <c r="N2057" s="13" t="str">
        <f>IFERROR(__xludf.DUMMYFUNCTION("IF(ISBLANK(M2057),"""",M2057*GOOGLEFINANCE(""USDGBP""))"),"")</f>
        <v/>
      </c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  <c r="FG2057" s="8"/>
      <c r="FH2057" s="8"/>
      <c r="FI2057" s="8"/>
      <c r="FJ2057" s="8"/>
      <c r="FK2057" s="8"/>
      <c r="FL2057" s="8"/>
      <c r="FM2057" s="8"/>
      <c r="FN2057" s="8"/>
      <c r="FO2057" s="8"/>
      <c r="FP2057" s="8"/>
      <c r="FQ2057" s="8"/>
      <c r="FR2057" s="8"/>
      <c r="FS2057" s="8"/>
      <c r="FT2057" s="8"/>
      <c r="FU2057" s="8"/>
      <c r="FV2057" s="8"/>
      <c r="FW2057" s="8"/>
      <c r="FX2057" s="8"/>
      <c r="FY2057" s="8"/>
      <c r="FZ2057" s="8"/>
      <c r="GA2057" s="8"/>
      <c r="GB2057" s="8"/>
      <c r="GC2057" s="8"/>
      <c r="GD2057" s="8"/>
      <c r="GE2057" s="8"/>
      <c r="GF2057" s="8"/>
      <c r="GG2057" s="8"/>
      <c r="GH2057" s="8"/>
      <c r="GI2057" s="8"/>
      <c r="GJ2057" s="8"/>
      <c r="GK2057" s="8"/>
      <c r="GL2057" s="8"/>
      <c r="GM2057" s="8"/>
      <c r="GN2057" s="8"/>
      <c r="GO2057" s="8"/>
      <c r="GP2057" s="8"/>
      <c r="GQ2057" s="8"/>
      <c r="GR2057" s="8"/>
      <c r="GS2057" s="8"/>
      <c r="GT2057" s="8"/>
      <c r="GU2057" s="8"/>
      <c r="GV2057" s="8"/>
      <c r="GW2057" s="8"/>
      <c r="GX2057" s="8"/>
    </row>
    <row r="2058">
      <c r="A2058" s="8" t="str">
        <f>IFERROR(__xludf.DUMMYFUNCTION("""COMPUTED_VALUE"""),"110633820140600750")</f>
        <v>110633820140600750</v>
      </c>
      <c r="B2058" s="9" t="str">
        <f>IFERROR(__xludf.DUMMYFUNCTION("""COMPUTED_VALUE"""),"Italy")</f>
        <v>Italy</v>
      </c>
      <c r="C2058" s="9" t="str">
        <f>IFERROR(__xludf.DUMMYFUNCTION("""COMPUTED_VALUE"""),"piedmont")</f>
        <v>piedmont</v>
      </c>
      <c r="D2058" s="9" t="str">
        <f>IFERROR(__xludf.DUMMYFUNCTION("""COMPUTED_VALUE"""),"Vietti, Barolo, Lazzarito")</f>
        <v>Vietti, Barolo, Lazzarito</v>
      </c>
      <c r="E2058" s="9">
        <f>IFERROR(__xludf.DUMMYFUNCTION("""COMPUTED_VALUE"""),2014.0)</f>
        <v>2014</v>
      </c>
      <c r="F2058" s="9">
        <f>IFERROR(__xludf.DUMMYFUNCTION("""COMPUTED_VALUE"""),750.0)</f>
        <v>750</v>
      </c>
      <c r="G2058" s="9">
        <f>IFERROR(__xludf.DUMMYFUNCTION("""COMPUTED_VALUE"""),6.0)</f>
        <v>6</v>
      </c>
      <c r="H2058" s="10">
        <f>IFERROR(__xludf.DUMMYFUNCTION("""COMPUTED_VALUE"""),1.0)</f>
        <v>1</v>
      </c>
      <c r="I2058" s="11">
        <f>IFERROR(__xludf.DUMMYFUNCTION("""COMPUTED_VALUE"""),627.0)</f>
        <v>627</v>
      </c>
      <c r="J2058" s="9" t="str">
        <f>IFERROR(__xludf.DUMMYFUNCTION("""COMPUTED_VALUE"""),"UK")</f>
        <v>UK</v>
      </c>
      <c r="K2058" s="8"/>
      <c r="L2058" s="12"/>
      <c r="M2058" s="13"/>
      <c r="N2058" s="13" t="str">
        <f>IFERROR(__xludf.DUMMYFUNCTION("IF(ISBLANK(M2058),"""",M2058*GOOGLEFINANCE(""USDGBP""))"),"")</f>
        <v/>
      </c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  <c r="FG2058" s="8"/>
      <c r="FH2058" s="8"/>
      <c r="FI2058" s="8"/>
      <c r="FJ2058" s="8"/>
      <c r="FK2058" s="8"/>
      <c r="FL2058" s="8"/>
      <c r="FM2058" s="8"/>
      <c r="FN2058" s="8"/>
      <c r="FO2058" s="8"/>
      <c r="FP2058" s="8"/>
      <c r="FQ2058" s="8"/>
      <c r="FR2058" s="8"/>
      <c r="FS2058" s="8"/>
      <c r="FT2058" s="8"/>
      <c r="FU2058" s="8"/>
      <c r="FV2058" s="8"/>
      <c r="FW2058" s="8"/>
      <c r="FX2058" s="8"/>
      <c r="FY2058" s="8"/>
      <c r="FZ2058" s="8"/>
      <c r="GA2058" s="8"/>
      <c r="GB2058" s="8"/>
      <c r="GC2058" s="8"/>
      <c r="GD2058" s="8"/>
      <c r="GE2058" s="8"/>
      <c r="GF2058" s="8"/>
      <c r="GG2058" s="8"/>
      <c r="GH2058" s="8"/>
      <c r="GI2058" s="8"/>
      <c r="GJ2058" s="8"/>
      <c r="GK2058" s="8"/>
      <c r="GL2058" s="8"/>
      <c r="GM2058" s="8"/>
      <c r="GN2058" s="8"/>
      <c r="GO2058" s="8"/>
      <c r="GP2058" s="8"/>
      <c r="GQ2058" s="8"/>
      <c r="GR2058" s="8"/>
      <c r="GS2058" s="8"/>
      <c r="GT2058" s="8"/>
      <c r="GU2058" s="8"/>
      <c r="GV2058" s="8"/>
      <c r="GW2058" s="8"/>
      <c r="GX2058" s="8"/>
    </row>
    <row r="2059">
      <c r="A2059" s="8" t="str">
        <f>IFERROR(__xludf.DUMMYFUNCTION("""COMPUTED_VALUE"""),"110633820150600750")</f>
        <v>110633820150600750</v>
      </c>
      <c r="B2059" s="9" t="str">
        <f>IFERROR(__xludf.DUMMYFUNCTION("""COMPUTED_VALUE"""),"Italy")</f>
        <v>Italy</v>
      </c>
      <c r="C2059" s="9" t="str">
        <f>IFERROR(__xludf.DUMMYFUNCTION("""COMPUTED_VALUE"""),"piedmont")</f>
        <v>piedmont</v>
      </c>
      <c r="D2059" s="9" t="str">
        <f>IFERROR(__xludf.DUMMYFUNCTION("""COMPUTED_VALUE"""),"Vietti, Barolo, Lazzarito")</f>
        <v>Vietti, Barolo, Lazzarito</v>
      </c>
      <c r="E2059" s="9">
        <f>IFERROR(__xludf.DUMMYFUNCTION("""COMPUTED_VALUE"""),2015.0)</f>
        <v>2015</v>
      </c>
      <c r="F2059" s="9">
        <f>IFERROR(__xludf.DUMMYFUNCTION("""COMPUTED_VALUE"""),750.0)</f>
        <v>750</v>
      </c>
      <c r="G2059" s="9">
        <f>IFERROR(__xludf.DUMMYFUNCTION("""COMPUTED_VALUE"""),6.0)</f>
        <v>6</v>
      </c>
      <c r="H2059" s="10">
        <f>IFERROR(__xludf.DUMMYFUNCTION("""COMPUTED_VALUE"""),4.0)</f>
        <v>4</v>
      </c>
      <c r="I2059" s="11">
        <f>IFERROR(__xludf.DUMMYFUNCTION("""COMPUTED_VALUE"""),646.0)</f>
        <v>646</v>
      </c>
      <c r="J2059" s="9" t="str">
        <f>IFERROR(__xludf.DUMMYFUNCTION("""COMPUTED_VALUE"""),"UK")</f>
        <v>UK</v>
      </c>
      <c r="K2059" s="8"/>
      <c r="L2059" s="12"/>
      <c r="M2059" s="13"/>
      <c r="N2059" s="13" t="str">
        <f>IFERROR(__xludf.DUMMYFUNCTION("IF(ISBLANK(M2059),"""",M2059*GOOGLEFINANCE(""USDGBP""))"),"")</f>
        <v/>
      </c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  <c r="FG2059" s="8"/>
      <c r="FH2059" s="8"/>
      <c r="FI2059" s="8"/>
      <c r="FJ2059" s="8"/>
      <c r="FK2059" s="8"/>
      <c r="FL2059" s="8"/>
      <c r="FM2059" s="8"/>
      <c r="FN2059" s="8"/>
      <c r="FO2059" s="8"/>
      <c r="FP2059" s="8"/>
      <c r="FQ2059" s="8"/>
      <c r="FR2059" s="8"/>
      <c r="FS2059" s="8"/>
      <c r="FT2059" s="8"/>
      <c r="FU2059" s="8"/>
      <c r="FV2059" s="8"/>
      <c r="FW2059" s="8"/>
      <c r="FX2059" s="8"/>
      <c r="FY2059" s="8"/>
      <c r="FZ2059" s="8"/>
      <c r="GA2059" s="8"/>
      <c r="GB2059" s="8"/>
      <c r="GC2059" s="8"/>
      <c r="GD2059" s="8"/>
      <c r="GE2059" s="8"/>
      <c r="GF2059" s="8"/>
      <c r="GG2059" s="8"/>
      <c r="GH2059" s="8"/>
      <c r="GI2059" s="8"/>
      <c r="GJ2059" s="8"/>
      <c r="GK2059" s="8"/>
      <c r="GL2059" s="8"/>
      <c r="GM2059" s="8"/>
      <c r="GN2059" s="8"/>
      <c r="GO2059" s="8"/>
      <c r="GP2059" s="8"/>
      <c r="GQ2059" s="8"/>
      <c r="GR2059" s="8"/>
      <c r="GS2059" s="8"/>
      <c r="GT2059" s="8"/>
      <c r="GU2059" s="8"/>
      <c r="GV2059" s="8"/>
      <c r="GW2059" s="8"/>
      <c r="GX2059" s="8"/>
    </row>
    <row r="2060">
      <c r="A2060" s="8" t="str">
        <f>IFERROR(__xludf.DUMMYFUNCTION("""COMPUTED_VALUE"""),"110633820160600750")</f>
        <v>110633820160600750</v>
      </c>
      <c r="B2060" s="9" t="str">
        <f>IFERROR(__xludf.DUMMYFUNCTION("""COMPUTED_VALUE"""),"Italy")</f>
        <v>Italy</v>
      </c>
      <c r="C2060" s="9" t="str">
        <f>IFERROR(__xludf.DUMMYFUNCTION("""COMPUTED_VALUE"""),"piedmont")</f>
        <v>piedmont</v>
      </c>
      <c r="D2060" s="9" t="str">
        <f>IFERROR(__xludf.DUMMYFUNCTION("""COMPUTED_VALUE"""),"Vietti, Barolo, Lazzarito")</f>
        <v>Vietti, Barolo, Lazzarito</v>
      </c>
      <c r="E2060" s="9">
        <f>IFERROR(__xludf.DUMMYFUNCTION("""COMPUTED_VALUE"""),2016.0)</f>
        <v>2016</v>
      </c>
      <c r="F2060" s="9">
        <f>IFERROR(__xludf.DUMMYFUNCTION("""COMPUTED_VALUE"""),750.0)</f>
        <v>750</v>
      </c>
      <c r="G2060" s="9">
        <f>IFERROR(__xludf.DUMMYFUNCTION("""COMPUTED_VALUE"""),6.0)</f>
        <v>6</v>
      </c>
      <c r="H2060" s="10">
        <f>IFERROR(__xludf.DUMMYFUNCTION("""COMPUTED_VALUE"""),5.0)</f>
        <v>5</v>
      </c>
      <c r="I2060" s="11">
        <f>IFERROR(__xludf.DUMMYFUNCTION("""COMPUTED_VALUE"""),939.0)</f>
        <v>939</v>
      </c>
      <c r="J2060" s="9" t="str">
        <f>IFERROR(__xludf.DUMMYFUNCTION("""COMPUTED_VALUE"""),"UK")</f>
        <v>UK</v>
      </c>
      <c r="K2060" s="8"/>
      <c r="L2060" s="12"/>
      <c r="M2060" s="13"/>
      <c r="N2060" s="13" t="str">
        <f>IFERROR(__xludf.DUMMYFUNCTION("IF(ISBLANK(M2060),"""",M2060*GOOGLEFINANCE(""USDGBP""))"),"")</f>
        <v/>
      </c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  <c r="FG2060" s="8"/>
      <c r="FH2060" s="8"/>
      <c r="FI2060" s="8"/>
      <c r="FJ2060" s="8"/>
      <c r="FK2060" s="8"/>
      <c r="FL2060" s="8"/>
      <c r="FM2060" s="8"/>
      <c r="FN2060" s="8"/>
      <c r="FO2060" s="8"/>
      <c r="FP2060" s="8"/>
      <c r="FQ2060" s="8"/>
      <c r="FR2060" s="8"/>
      <c r="FS2060" s="8"/>
      <c r="FT2060" s="8"/>
      <c r="FU2060" s="8"/>
      <c r="FV2060" s="8"/>
      <c r="FW2060" s="8"/>
      <c r="FX2060" s="8"/>
      <c r="FY2060" s="8"/>
      <c r="FZ2060" s="8"/>
      <c r="GA2060" s="8"/>
      <c r="GB2060" s="8"/>
      <c r="GC2060" s="8"/>
      <c r="GD2060" s="8"/>
      <c r="GE2060" s="8"/>
      <c r="GF2060" s="8"/>
      <c r="GG2060" s="8"/>
      <c r="GH2060" s="8"/>
      <c r="GI2060" s="8"/>
      <c r="GJ2060" s="8"/>
      <c r="GK2060" s="8"/>
      <c r="GL2060" s="8"/>
      <c r="GM2060" s="8"/>
      <c r="GN2060" s="8"/>
      <c r="GO2060" s="8"/>
      <c r="GP2060" s="8"/>
      <c r="GQ2060" s="8"/>
      <c r="GR2060" s="8"/>
      <c r="GS2060" s="8"/>
      <c r="GT2060" s="8"/>
      <c r="GU2060" s="8"/>
      <c r="GV2060" s="8"/>
      <c r="GW2060" s="8"/>
      <c r="GX2060" s="8"/>
    </row>
    <row r="2061">
      <c r="A2061" s="8" t="str">
        <f>IFERROR(__xludf.DUMMYFUNCTION("""COMPUTED_VALUE"""),"110633820160300750")</f>
        <v>110633820160300750</v>
      </c>
      <c r="B2061" s="9" t="str">
        <f>IFERROR(__xludf.DUMMYFUNCTION("""COMPUTED_VALUE"""),"Italy")</f>
        <v>Italy</v>
      </c>
      <c r="C2061" s="9" t="str">
        <f>IFERROR(__xludf.DUMMYFUNCTION("""COMPUTED_VALUE"""),"piedmont")</f>
        <v>piedmont</v>
      </c>
      <c r="D2061" s="9" t="str">
        <f>IFERROR(__xludf.DUMMYFUNCTION("""COMPUTED_VALUE"""),"Vietti, Barolo, Lazzarito")</f>
        <v>Vietti, Barolo, Lazzarito</v>
      </c>
      <c r="E2061" s="9">
        <f>IFERROR(__xludf.DUMMYFUNCTION("""COMPUTED_VALUE"""),2016.0)</f>
        <v>2016</v>
      </c>
      <c r="F2061" s="9">
        <f>IFERROR(__xludf.DUMMYFUNCTION("""COMPUTED_VALUE"""),750.0)</f>
        <v>750</v>
      </c>
      <c r="G2061" s="9">
        <f>IFERROR(__xludf.DUMMYFUNCTION("""COMPUTED_VALUE"""),3.0)</f>
        <v>3</v>
      </c>
      <c r="H2061" s="10">
        <f>IFERROR(__xludf.DUMMYFUNCTION("""COMPUTED_VALUE"""),5.0)</f>
        <v>5</v>
      </c>
      <c r="I2061" s="11">
        <f>IFERROR(__xludf.DUMMYFUNCTION("""COMPUTED_VALUE"""),468.0)</f>
        <v>468</v>
      </c>
      <c r="J2061" s="9" t="str">
        <f>IFERROR(__xludf.DUMMYFUNCTION("""COMPUTED_VALUE"""),"UK")</f>
        <v>UK</v>
      </c>
      <c r="K2061" s="8"/>
      <c r="L2061" s="12"/>
      <c r="M2061" s="13"/>
      <c r="N2061" s="13" t="str">
        <f>IFERROR(__xludf.DUMMYFUNCTION("IF(ISBLANK(M2061),"""",M2061*GOOGLEFINANCE(""USDGBP""))"),"")</f>
        <v/>
      </c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  <c r="FG2061" s="8"/>
      <c r="FH2061" s="8"/>
      <c r="FI2061" s="8"/>
      <c r="FJ2061" s="8"/>
      <c r="FK2061" s="8"/>
      <c r="FL2061" s="8"/>
      <c r="FM2061" s="8"/>
      <c r="FN2061" s="8"/>
      <c r="FO2061" s="8"/>
      <c r="FP2061" s="8"/>
      <c r="FQ2061" s="8"/>
      <c r="FR2061" s="8"/>
      <c r="FS2061" s="8"/>
      <c r="FT2061" s="8"/>
      <c r="FU2061" s="8"/>
      <c r="FV2061" s="8"/>
      <c r="FW2061" s="8"/>
      <c r="FX2061" s="8"/>
      <c r="FY2061" s="8"/>
      <c r="FZ2061" s="8"/>
      <c r="GA2061" s="8"/>
      <c r="GB2061" s="8"/>
      <c r="GC2061" s="8"/>
      <c r="GD2061" s="8"/>
      <c r="GE2061" s="8"/>
      <c r="GF2061" s="8"/>
      <c r="GG2061" s="8"/>
      <c r="GH2061" s="8"/>
      <c r="GI2061" s="8"/>
      <c r="GJ2061" s="8"/>
      <c r="GK2061" s="8"/>
      <c r="GL2061" s="8"/>
      <c r="GM2061" s="8"/>
      <c r="GN2061" s="8"/>
      <c r="GO2061" s="8"/>
      <c r="GP2061" s="8"/>
      <c r="GQ2061" s="8"/>
      <c r="GR2061" s="8"/>
      <c r="GS2061" s="8"/>
      <c r="GT2061" s="8"/>
      <c r="GU2061" s="8"/>
      <c r="GV2061" s="8"/>
      <c r="GW2061" s="8"/>
      <c r="GX2061" s="8"/>
    </row>
    <row r="2062">
      <c r="A2062" s="8" t="str">
        <f>IFERROR(__xludf.DUMMYFUNCTION("""COMPUTED_VALUE"""),"110633820180300750")</f>
        <v>110633820180300750</v>
      </c>
      <c r="B2062" s="9" t="str">
        <f>IFERROR(__xludf.DUMMYFUNCTION("""COMPUTED_VALUE"""),"Italy")</f>
        <v>Italy</v>
      </c>
      <c r="C2062" s="9" t="str">
        <f>IFERROR(__xludf.DUMMYFUNCTION("""COMPUTED_VALUE"""),"piedmont")</f>
        <v>piedmont</v>
      </c>
      <c r="D2062" s="9" t="str">
        <f>IFERROR(__xludf.DUMMYFUNCTION("""COMPUTED_VALUE"""),"Vietti, Barolo, Lazzarito")</f>
        <v>Vietti, Barolo, Lazzarito</v>
      </c>
      <c r="E2062" s="9">
        <f>IFERROR(__xludf.DUMMYFUNCTION("""COMPUTED_VALUE"""),2018.0)</f>
        <v>2018</v>
      </c>
      <c r="F2062" s="9">
        <f>IFERROR(__xludf.DUMMYFUNCTION("""COMPUTED_VALUE"""),750.0)</f>
        <v>750</v>
      </c>
      <c r="G2062" s="9">
        <f>IFERROR(__xludf.DUMMYFUNCTION("""COMPUTED_VALUE"""),3.0)</f>
        <v>3</v>
      </c>
      <c r="H2062" s="10">
        <f>IFERROR(__xludf.DUMMYFUNCTION("""COMPUTED_VALUE"""),2.0)</f>
        <v>2</v>
      </c>
      <c r="I2062" s="11">
        <f>IFERROR(__xludf.DUMMYFUNCTION("""COMPUTED_VALUE"""),378.0)</f>
        <v>378</v>
      </c>
      <c r="J2062" s="9" t="str">
        <f>IFERROR(__xludf.DUMMYFUNCTION("""COMPUTED_VALUE"""),"UK")</f>
        <v>UK</v>
      </c>
      <c r="K2062" s="8"/>
      <c r="L2062" s="12"/>
      <c r="M2062" s="13"/>
      <c r="N2062" s="13" t="str">
        <f>IFERROR(__xludf.DUMMYFUNCTION("IF(ISBLANK(M2062),"""",M2062*GOOGLEFINANCE(""USDGBP""))"),"")</f>
        <v/>
      </c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  <c r="FG2062" s="8"/>
      <c r="FH2062" s="8"/>
      <c r="FI2062" s="8"/>
      <c r="FJ2062" s="8"/>
      <c r="FK2062" s="8"/>
      <c r="FL2062" s="8"/>
      <c r="FM2062" s="8"/>
      <c r="FN2062" s="8"/>
      <c r="FO2062" s="8"/>
      <c r="FP2062" s="8"/>
      <c r="FQ2062" s="8"/>
      <c r="FR2062" s="8"/>
      <c r="FS2062" s="8"/>
      <c r="FT2062" s="8"/>
      <c r="FU2062" s="8"/>
      <c r="FV2062" s="8"/>
      <c r="FW2062" s="8"/>
      <c r="FX2062" s="8"/>
      <c r="FY2062" s="8"/>
      <c r="FZ2062" s="8"/>
      <c r="GA2062" s="8"/>
      <c r="GB2062" s="8"/>
      <c r="GC2062" s="8"/>
      <c r="GD2062" s="8"/>
      <c r="GE2062" s="8"/>
      <c r="GF2062" s="8"/>
      <c r="GG2062" s="8"/>
      <c r="GH2062" s="8"/>
      <c r="GI2062" s="8"/>
      <c r="GJ2062" s="8"/>
      <c r="GK2062" s="8"/>
      <c r="GL2062" s="8"/>
      <c r="GM2062" s="8"/>
      <c r="GN2062" s="8"/>
      <c r="GO2062" s="8"/>
      <c r="GP2062" s="8"/>
      <c r="GQ2062" s="8"/>
      <c r="GR2062" s="8"/>
      <c r="GS2062" s="8"/>
      <c r="GT2062" s="8"/>
      <c r="GU2062" s="8"/>
      <c r="GV2062" s="8"/>
      <c r="GW2062" s="8"/>
      <c r="GX2062" s="8"/>
    </row>
    <row r="2063">
      <c r="A2063" s="8" t="str">
        <f>IFERROR(__xludf.DUMMYFUNCTION("""COMPUTED_VALUE"""),"110633820180600750")</f>
        <v>110633820180600750</v>
      </c>
      <c r="B2063" s="9" t="str">
        <f>IFERROR(__xludf.DUMMYFUNCTION("""COMPUTED_VALUE"""),"Italy")</f>
        <v>Italy</v>
      </c>
      <c r="C2063" s="9" t="str">
        <f>IFERROR(__xludf.DUMMYFUNCTION("""COMPUTED_VALUE"""),"piedmont")</f>
        <v>piedmont</v>
      </c>
      <c r="D2063" s="9" t="str">
        <f>IFERROR(__xludf.DUMMYFUNCTION("""COMPUTED_VALUE"""),"Vietti, Barolo, Lazzarito")</f>
        <v>Vietti, Barolo, Lazzarito</v>
      </c>
      <c r="E2063" s="9">
        <f>IFERROR(__xludf.DUMMYFUNCTION("""COMPUTED_VALUE"""),2018.0)</f>
        <v>2018</v>
      </c>
      <c r="F2063" s="9">
        <f>IFERROR(__xludf.DUMMYFUNCTION("""COMPUTED_VALUE"""),750.0)</f>
        <v>750</v>
      </c>
      <c r="G2063" s="9">
        <f>IFERROR(__xludf.DUMMYFUNCTION("""COMPUTED_VALUE"""),6.0)</f>
        <v>6</v>
      </c>
      <c r="H2063" s="10">
        <f>IFERROR(__xludf.DUMMYFUNCTION("""COMPUTED_VALUE"""),1.0)</f>
        <v>1</v>
      </c>
      <c r="I2063" s="11">
        <f>IFERROR(__xludf.DUMMYFUNCTION("""COMPUTED_VALUE"""),756.0)</f>
        <v>756</v>
      </c>
      <c r="J2063" s="9" t="str">
        <f>IFERROR(__xludf.DUMMYFUNCTION("""COMPUTED_VALUE"""),"UK")</f>
        <v>UK</v>
      </c>
      <c r="K2063" s="8"/>
      <c r="L2063" s="12"/>
      <c r="M2063" s="13"/>
      <c r="N2063" s="13" t="str">
        <f>IFERROR(__xludf.DUMMYFUNCTION("IF(ISBLANK(M2063),"""",M2063*GOOGLEFINANCE(""USDGBP""))"),"")</f>
        <v/>
      </c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  <c r="FG2063" s="8"/>
      <c r="FH2063" s="8"/>
      <c r="FI2063" s="8"/>
      <c r="FJ2063" s="8"/>
      <c r="FK2063" s="8"/>
      <c r="FL2063" s="8"/>
      <c r="FM2063" s="8"/>
      <c r="FN2063" s="8"/>
      <c r="FO2063" s="8"/>
      <c r="FP2063" s="8"/>
      <c r="FQ2063" s="8"/>
      <c r="FR2063" s="8"/>
      <c r="FS2063" s="8"/>
      <c r="FT2063" s="8"/>
      <c r="FU2063" s="8"/>
      <c r="FV2063" s="8"/>
      <c r="FW2063" s="8"/>
      <c r="FX2063" s="8"/>
      <c r="FY2063" s="8"/>
      <c r="FZ2063" s="8"/>
      <c r="GA2063" s="8"/>
      <c r="GB2063" s="8"/>
      <c r="GC2063" s="8"/>
      <c r="GD2063" s="8"/>
      <c r="GE2063" s="8"/>
      <c r="GF2063" s="8"/>
      <c r="GG2063" s="8"/>
      <c r="GH2063" s="8"/>
      <c r="GI2063" s="8"/>
      <c r="GJ2063" s="8"/>
      <c r="GK2063" s="8"/>
      <c r="GL2063" s="8"/>
      <c r="GM2063" s="8"/>
      <c r="GN2063" s="8"/>
      <c r="GO2063" s="8"/>
      <c r="GP2063" s="8"/>
      <c r="GQ2063" s="8"/>
      <c r="GR2063" s="8"/>
      <c r="GS2063" s="8"/>
      <c r="GT2063" s="8"/>
      <c r="GU2063" s="8"/>
      <c r="GV2063" s="8"/>
      <c r="GW2063" s="8"/>
      <c r="GX2063" s="8"/>
    </row>
    <row r="2064">
      <c r="A2064" s="8" t="str">
        <f>IFERROR(__xludf.DUMMYFUNCTION("""COMPUTED_VALUE"""),"110634120120600750")</f>
        <v>110634120120600750</v>
      </c>
      <c r="B2064" s="9" t="str">
        <f>IFERROR(__xludf.DUMMYFUNCTION("""COMPUTED_VALUE"""),"Italy")</f>
        <v>Italy</v>
      </c>
      <c r="C2064" s="9" t="str">
        <f>IFERROR(__xludf.DUMMYFUNCTION("""COMPUTED_VALUE"""),"piedmont")</f>
        <v>piedmont</v>
      </c>
      <c r="D2064" s="9" t="str">
        <f>IFERROR(__xludf.DUMMYFUNCTION("""COMPUTED_VALUE"""),"Vietti, Barolo, Ravera")</f>
        <v>Vietti, Barolo, Ravera</v>
      </c>
      <c r="E2064" s="9">
        <f>IFERROR(__xludf.DUMMYFUNCTION("""COMPUTED_VALUE"""),2012.0)</f>
        <v>2012</v>
      </c>
      <c r="F2064" s="9">
        <f>IFERROR(__xludf.DUMMYFUNCTION("""COMPUTED_VALUE"""),750.0)</f>
        <v>750</v>
      </c>
      <c r="G2064" s="9">
        <f>IFERROR(__xludf.DUMMYFUNCTION("""COMPUTED_VALUE"""),6.0)</f>
        <v>6</v>
      </c>
      <c r="H2064" s="10">
        <f>IFERROR(__xludf.DUMMYFUNCTION("""COMPUTED_VALUE"""),1.0)</f>
        <v>1</v>
      </c>
      <c r="I2064" s="11">
        <f>IFERROR(__xludf.DUMMYFUNCTION("""COMPUTED_VALUE"""),632.0)</f>
        <v>632</v>
      </c>
      <c r="J2064" s="9" t="str">
        <f>IFERROR(__xludf.DUMMYFUNCTION("""COMPUTED_VALUE"""),"UK")</f>
        <v>UK</v>
      </c>
      <c r="K2064" s="8"/>
      <c r="L2064" s="12"/>
      <c r="M2064" s="13"/>
      <c r="N2064" s="13" t="str">
        <f>IFERROR(__xludf.DUMMYFUNCTION("IF(ISBLANK(M2064),"""",M2064*GOOGLEFINANCE(""USDGBP""))"),"")</f>
        <v/>
      </c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  <c r="FG2064" s="8"/>
      <c r="FH2064" s="8"/>
      <c r="FI2064" s="8"/>
      <c r="FJ2064" s="8"/>
      <c r="FK2064" s="8"/>
      <c r="FL2064" s="8"/>
      <c r="FM2064" s="8"/>
      <c r="FN2064" s="8"/>
      <c r="FO2064" s="8"/>
      <c r="FP2064" s="8"/>
      <c r="FQ2064" s="8"/>
      <c r="FR2064" s="8"/>
      <c r="FS2064" s="8"/>
      <c r="FT2064" s="8"/>
      <c r="FU2064" s="8"/>
      <c r="FV2064" s="8"/>
      <c r="FW2064" s="8"/>
      <c r="FX2064" s="8"/>
      <c r="FY2064" s="8"/>
      <c r="FZ2064" s="8"/>
      <c r="GA2064" s="8"/>
      <c r="GB2064" s="8"/>
      <c r="GC2064" s="8"/>
      <c r="GD2064" s="8"/>
      <c r="GE2064" s="8"/>
      <c r="GF2064" s="8"/>
      <c r="GG2064" s="8"/>
      <c r="GH2064" s="8"/>
      <c r="GI2064" s="8"/>
      <c r="GJ2064" s="8"/>
      <c r="GK2064" s="8"/>
      <c r="GL2064" s="8"/>
      <c r="GM2064" s="8"/>
      <c r="GN2064" s="8"/>
      <c r="GO2064" s="8"/>
      <c r="GP2064" s="8"/>
      <c r="GQ2064" s="8"/>
      <c r="GR2064" s="8"/>
      <c r="GS2064" s="8"/>
      <c r="GT2064" s="8"/>
      <c r="GU2064" s="8"/>
      <c r="GV2064" s="8"/>
      <c r="GW2064" s="8"/>
      <c r="GX2064" s="8"/>
    </row>
    <row r="2065">
      <c r="A2065" s="8" t="str">
        <f>IFERROR(__xludf.DUMMYFUNCTION("""COMPUTED_VALUE"""),"110634120140600750")</f>
        <v>110634120140600750</v>
      </c>
      <c r="B2065" s="9" t="str">
        <f>IFERROR(__xludf.DUMMYFUNCTION("""COMPUTED_VALUE"""),"Italy")</f>
        <v>Italy</v>
      </c>
      <c r="C2065" s="9" t="str">
        <f>IFERROR(__xludf.DUMMYFUNCTION("""COMPUTED_VALUE"""),"piedmont")</f>
        <v>piedmont</v>
      </c>
      <c r="D2065" s="9" t="str">
        <f>IFERROR(__xludf.DUMMYFUNCTION("""COMPUTED_VALUE"""),"Vietti, Barolo, Ravera")</f>
        <v>Vietti, Barolo, Ravera</v>
      </c>
      <c r="E2065" s="9">
        <f>IFERROR(__xludf.DUMMYFUNCTION("""COMPUTED_VALUE"""),2014.0)</f>
        <v>2014</v>
      </c>
      <c r="F2065" s="9">
        <f>IFERROR(__xludf.DUMMYFUNCTION("""COMPUTED_VALUE"""),750.0)</f>
        <v>750</v>
      </c>
      <c r="G2065" s="9">
        <f>IFERROR(__xludf.DUMMYFUNCTION("""COMPUTED_VALUE"""),6.0)</f>
        <v>6</v>
      </c>
      <c r="H2065" s="10">
        <f>IFERROR(__xludf.DUMMYFUNCTION("""COMPUTED_VALUE"""),2.0)</f>
        <v>2</v>
      </c>
      <c r="I2065" s="11">
        <f>IFERROR(__xludf.DUMMYFUNCTION("""COMPUTED_VALUE"""),614.0)</f>
        <v>614</v>
      </c>
      <c r="J2065" s="9" t="str">
        <f>IFERROR(__xludf.DUMMYFUNCTION("""COMPUTED_VALUE"""),"UK")</f>
        <v>UK</v>
      </c>
      <c r="K2065" s="8"/>
      <c r="L2065" s="12"/>
      <c r="M2065" s="13"/>
      <c r="N2065" s="13" t="str">
        <f>IFERROR(__xludf.DUMMYFUNCTION("IF(ISBLANK(M2065),"""",M2065*GOOGLEFINANCE(""USDGBP""))"),"")</f>
        <v/>
      </c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  <c r="FG2065" s="8"/>
      <c r="FH2065" s="8"/>
      <c r="FI2065" s="8"/>
      <c r="FJ2065" s="8"/>
      <c r="FK2065" s="8"/>
      <c r="FL2065" s="8"/>
      <c r="FM2065" s="8"/>
      <c r="FN2065" s="8"/>
      <c r="FO2065" s="8"/>
      <c r="FP2065" s="8"/>
      <c r="FQ2065" s="8"/>
      <c r="FR2065" s="8"/>
      <c r="FS2065" s="8"/>
      <c r="FT2065" s="8"/>
      <c r="FU2065" s="8"/>
      <c r="FV2065" s="8"/>
      <c r="FW2065" s="8"/>
      <c r="FX2065" s="8"/>
      <c r="FY2065" s="8"/>
      <c r="FZ2065" s="8"/>
      <c r="GA2065" s="8"/>
      <c r="GB2065" s="8"/>
      <c r="GC2065" s="8"/>
      <c r="GD2065" s="8"/>
      <c r="GE2065" s="8"/>
      <c r="GF2065" s="8"/>
      <c r="GG2065" s="8"/>
      <c r="GH2065" s="8"/>
      <c r="GI2065" s="8"/>
      <c r="GJ2065" s="8"/>
      <c r="GK2065" s="8"/>
      <c r="GL2065" s="8"/>
      <c r="GM2065" s="8"/>
      <c r="GN2065" s="8"/>
      <c r="GO2065" s="8"/>
      <c r="GP2065" s="8"/>
      <c r="GQ2065" s="8"/>
      <c r="GR2065" s="8"/>
      <c r="GS2065" s="8"/>
      <c r="GT2065" s="8"/>
      <c r="GU2065" s="8"/>
      <c r="GV2065" s="8"/>
      <c r="GW2065" s="8"/>
      <c r="GX2065" s="8"/>
    </row>
    <row r="2066">
      <c r="A2066" s="8" t="str">
        <f>IFERROR(__xludf.DUMMYFUNCTION("""COMPUTED_VALUE"""),"110634120150300750")</f>
        <v>110634120150300750</v>
      </c>
      <c r="B2066" s="9" t="str">
        <f>IFERROR(__xludf.DUMMYFUNCTION("""COMPUTED_VALUE"""),"Italy")</f>
        <v>Italy</v>
      </c>
      <c r="C2066" s="9" t="str">
        <f>IFERROR(__xludf.DUMMYFUNCTION("""COMPUTED_VALUE"""),"piedmont")</f>
        <v>piedmont</v>
      </c>
      <c r="D2066" s="9" t="str">
        <f>IFERROR(__xludf.DUMMYFUNCTION("""COMPUTED_VALUE"""),"Vietti, Barolo, Ravera")</f>
        <v>Vietti, Barolo, Ravera</v>
      </c>
      <c r="E2066" s="9">
        <f>IFERROR(__xludf.DUMMYFUNCTION("""COMPUTED_VALUE"""),2015.0)</f>
        <v>2015</v>
      </c>
      <c r="F2066" s="9">
        <f>IFERROR(__xludf.DUMMYFUNCTION("""COMPUTED_VALUE"""),750.0)</f>
        <v>750</v>
      </c>
      <c r="G2066" s="9">
        <f>IFERROR(__xludf.DUMMYFUNCTION("""COMPUTED_VALUE"""),3.0)</f>
        <v>3</v>
      </c>
      <c r="H2066" s="10">
        <f>IFERROR(__xludf.DUMMYFUNCTION("""COMPUTED_VALUE"""),1.0)</f>
        <v>1</v>
      </c>
      <c r="I2066" s="11">
        <f>IFERROR(__xludf.DUMMYFUNCTION("""COMPUTED_VALUE"""),423.0)</f>
        <v>423</v>
      </c>
      <c r="J2066" s="9" t="str">
        <f>IFERROR(__xludf.DUMMYFUNCTION("""COMPUTED_VALUE"""),"UK")</f>
        <v>UK</v>
      </c>
      <c r="K2066" s="8"/>
      <c r="L2066" s="12"/>
      <c r="M2066" s="13"/>
      <c r="N2066" s="13" t="str">
        <f>IFERROR(__xludf.DUMMYFUNCTION("IF(ISBLANK(M2066),"""",M2066*GOOGLEFINANCE(""USDGBP""))"),"")</f>
        <v/>
      </c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  <c r="FG2066" s="8"/>
      <c r="FH2066" s="8"/>
      <c r="FI2066" s="8"/>
      <c r="FJ2066" s="8"/>
      <c r="FK2066" s="8"/>
      <c r="FL2066" s="8"/>
      <c r="FM2066" s="8"/>
      <c r="FN2066" s="8"/>
      <c r="FO2066" s="8"/>
      <c r="FP2066" s="8"/>
      <c r="FQ2066" s="8"/>
      <c r="FR2066" s="8"/>
      <c r="FS2066" s="8"/>
      <c r="FT2066" s="8"/>
      <c r="FU2066" s="8"/>
      <c r="FV2066" s="8"/>
      <c r="FW2066" s="8"/>
      <c r="FX2066" s="8"/>
      <c r="FY2066" s="8"/>
      <c r="FZ2066" s="8"/>
      <c r="GA2066" s="8"/>
      <c r="GB2066" s="8"/>
      <c r="GC2066" s="8"/>
      <c r="GD2066" s="8"/>
      <c r="GE2066" s="8"/>
      <c r="GF2066" s="8"/>
      <c r="GG2066" s="8"/>
      <c r="GH2066" s="8"/>
      <c r="GI2066" s="8"/>
      <c r="GJ2066" s="8"/>
      <c r="GK2066" s="8"/>
      <c r="GL2066" s="8"/>
      <c r="GM2066" s="8"/>
      <c r="GN2066" s="8"/>
      <c r="GO2066" s="8"/>
      <c r="GP2066" s="8"/>
      <c r="GQ2066" s="8"/>
      <c r="GR2066" s="8"/>
      <c r="GS2066" s="8"/>
      <c r="GT2066" s="8"/>
      <c r="GU2066" s="8"/>
      <c r="GV2066" s="8"/>
      <c r="GW2066" s="8"/>
      <c r="GX2066" s="8"/>
    </row>
    <row r="2067">
      <c r="A2067" s="8" t="str">
        <f>IFERROR(__xludf.DUMMYFUNCTION("""COMPUTED_VALUE"""),"110634120170300750")</f>
        <v>110634120170300750</v>
      </c>
      <c r="B2067" s="9" t="str">
        <f>IFERROR(__xludf.DUMMYFUNCTION("""COMPUTED_VALUE"""),"Italy")</f>
        <v>Italy</v>
      </c>
      <c r="C2067" s="9" t="str">
        <f>IFERROR(__xludf.DUMMYFUNCTION("""COMPUTED_VALUE"""),"piedmont")</f>
        <v>piedmont</v>
      </c>
      <c r="D2067" s="9" t="str">
        <f>IFERROR(__xludf.DUMMYFUNCTION("""COMPUTED_VALUE"""),"Vietti, Barolo, Ravera")</f>
        <v>Vietti, Barolo, Ravera</v>
      </c>
      <c r="E2067" s="9">
        <f>IFERROR(__xludf.DUMMYFUNCTION("""COMPUTED_VALUE"""),2017.0)</f>
        <v>2017</v>
      </c>
      <c r="F2067" s="9">
        <f>IFERROR(__xludf.DUMMYFUNCTION("""COMPUTED_VALUE"""),750.0)</f>
        <v>750</v>
      </c>
      <c r="G2067" s="9">
        <f>IFERROR(__xludf.DUMMYFUNCTION("""COMPUTED_VALUE"""),3.0)</f>
        <v>3</v>
      </c>
      <c r="H2067" s="10">
        <f>IFERROR(__xludf.DUMMYFUNCTION("""COMPUTED_VALUE"""),1.0)</f>
        <v>1</v>
      </c>
      <c r="I2067" s="11">
        <f>IFERROR(__xludf.DUMMYFUNCTION("""COMPUTED_VALUE"""),361.0)</f>
        <v>361</v>
      </c>
      <c r="J2067" s="9" t="str">
        <f>IFERROR(__xludf.DUMMYFUNCTION("""COMPUTED_VALUE"""),"UK")</f>
        <v>UK</v>
      </c>
      <c r="K2067" s="8"/>
      <c r="L2067" s="12"/>
      <c r="M2067" s="13"/>
      <c r="N2067" s="13" t="str">
        <f>IFERROR(__xludf.DUMMYFUNCTION("IF(ISBLANK(M2067),"""",M2067*GOOGLEFINANCE(""USDGBP""))"),"")</f>
        <v/>
      </c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  <c r="FG2067" s="8"/>
      <c r="FH2067" s="8"/>
      <c r="FI2067" s="8"/>
      <c r="FJ2067" s="8"/>
      <c r="FK2067" s="8"/>
      <c r="FL2067" s="8"/>
      <c r="FM2067" s="8"/>
      <c r="FN2067" s="8"/>
      <c r="FO2067" s="8"/>
      <c r="FP2067" s="8"/>
      <c r="FQ2067" s="8"/>
      <c r="FR2067" s="8"/>
      <c r="FS2067" s="8"/>
      <c r="FT2067" s="8"/>
      <c r="FU2067" s="8"/>
      <c r="FV2067" s="8"/>
      <c r="FW2067" s="8"/>
      <c r="FX2067" s="8"/>
      <c r="FY2067" s="8"/>
      <c r="FZ2067" s="8"/>
      <c r="GA2067" s="8"/>
      <c r="GB2067" s="8"/>
      <c r="GC2067" s="8"/>
      <c r="GD2067" s="8"/>
      <c r="GE2067" s="8"/>
      <c r="GF2067" s="8"/>
      <c r="GG2067" s="8"/>
      <c r="GH2067" s="8"/>
      <c r="GI2067" s="8"/>
      <c r="GJ2067" s="8"/>
      <c r="GK2067" s="8"/>
      <c r="GL2067" s="8"/>
      <c r="GM2067" s="8"/>
      <c r="GN2067" s="8"/>
      <c r="GO2067" s="8"/>
      <c r="GP2067" s="8"/>
      <c r="GQ2067" s="8"/>
      <c r="GR2067" s="8"/>
      <c r="GS2067" s="8"/>
      <c r="GT2067" s="8"/>
      <c r="GU2067" s="8"/>
      <c r="GV2067" s="8"/>
      <c r="GW2067" s="8"/>
      <c r="GX2067" s="8"/>
    </row>
    <row r="2068">
      <c r="A2068" s="8" t="str">
        <f>IFERROR(__xludf.DUMMYFUNCTION("""COMPUTED_VALUE"""),"110634120180600750")</f>
        <v>110634120180600750</v>
      </c>
      <c r="B2068" s="9" t="str">
        <f>IFERROR(__xludf.DUMMYFUNCTION("""COMPUTED_VALUE"""),"Italy")</f>
        <v>Italy</v>
      </c>
      <c r="C2068" s="9" t="str">
        <f>IFERROR(__xludf.DUMMYFUNCTION("""COMPUTED_VALUE"""),"piedmont")</f>
        <v>piedmont</v>
      </c>
      <c r="D2068" s="9" t="str">
        <f>IFERROR(__xludf.DUMMYFUNCTION("""COMPUTED_VALUE"""),"Vietti, Barolo, Ravera")</f>
        <v>Vietti, Barolo, Ravera</v>
      </c>
      <c r="E2068" s="9">
        <f>IFERROR(__xludf.DUMMYFUNCTION("""COMPUTED_VALUE"""),2018.0)</f>
        <v>2018</v>
      </c>
      <c r="F2068" s="9">
        <f>IFERROR(__xludf.DUMMYFUNCTION("""COMPUTED_VALUE"""),750.0)</f>
        <v>750</v>
      </c>
      <c r="G2068" s="9">
        <f>IFERROR(__xludf.DUMMYFUNCTION("""COMPUTED_VALUE"""),6.0)</f>
        <v>6</v>
      </c>
      <c r="H2068" s="10">
        <f>IFERROR(__xludf.DUMMYFUNCTION("""COMPUTED_VALUE"""),1.0)</f>
        <v>1</v>
      </c>
      <c r="I2068" s="11">
        <f>IFERROR(__xludf.DUMMYFUNCTION("""COMPUTED_VALUE"""),795.0)</f>
        <v>795</v>
      </c>
      <c r="J2068" s="9" t="str">
        <f>IFERROR(__xludf.DUMMYFUNCTION("""COMPUTED_VALUE"""),"UK")</f>
        <v>UK</v>
      </c>
      <c r="K2068" s="8"/>
      <c r="L2068" s="12"/>
      <c r="M2068" s="13"/>
      <c r="N2068" s="13" t="str">
        <f>IFERROR(__xludf.DUMMYFUNCTION("IF(ISBLANK(M2068),"""",M2068*GOOGLEFINANCE(""USDGBP""))"),"")</f>
        <v/>
      </c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  <c r="FG2068" s="8"/>
      <c r="FH2068" s="8"/>
      <c r="FI2068" s="8"/>
      <c r="FJ2068" s="8"/>
      <c r="FK2068" s="8"/>
      <c r="FL2068" s="8"/>
      <c r="FM2068" s="8"/>
      <c r="FN2068" s="8"/>
      <c r="FO2068" s="8"/>
      <c r="FP2068" s="8"/>
      <c r="FQ2068" s="8"/>
      <c r="FR2068" s="8"/>
      <c r="FS2068" s="8"/>
      <c r="FT2068" s="8"/>
      <c r="FU2068" s="8"/>
      <c r="FV2068" s="8"/>
      <c r="FW2068" s="8"/>
      <c r="FX2068" s="8"/>
      <c r="FY2068" s="8"/>
      <c r="FZ2068" s="8"/>
      <c r="GA2068" s="8"/>
      <c r="GB2068" s="8"/>
      <c r="GC2068" s="8"/>
      <c r="GD2068" s="8"/>
      <c r="GE2068" s="8"/>
      <c r="GF2068" s="8"/>
      <c r="GG2068" s="8"/>
      <c r="GH2068" s="8"/>
      <c r="GI2068" s="8"/>
      <c r="GJ2068" s="8"/>
      <c r="GK2068" s="8"/>
      <c r="GL2068" s="8"/>
      <c r="GM2068" s="8"/>
      <c r="GN2068" s="8"/>
      <c r="GO2068" s="8"/>
      <c r="GP2068" s="8"/>
      <c r="GQ2068" s="8"/>
      <c r="GR2068" s="8"/>
      <c r="GS2068" s="8"/>
      <c r="GT2068" s="8"/>
      <c r="GU2068" s="8"/>
      <c r="GV2068" s="8"/>
      <c r="GW2068" s="8"/>
      <c r="GX2068" s="8"/>
    </row>
    <row r="2069">
      <c r="A2069" s="8" t="str">
        <f>IFERROR(__xludf.DUMMYFUNCTION("""COMPUTED_VALUE"""),"110634120180300750")</f>
        <v>110634120180300750</v>
      </c>
      <c r="B2069" s="9" t="str">
        <f>IFERROR(__xludf.DUMMYFUNCTION("""COMPUTED_VALUE"""),"Italy")</f>
        <v>Italy</v>
      </c>
      <c r="C2069" s="9" t="str">
        <f>IFERROR(__xludf.DUMMYFUNCTION("""COMPUTED_VALUE"""),"piedmont")</f>
        <v>piedmont</v>
      </c>
      <c r="D2069" s="9" t="str">
        <f>IFERROR(__xludf.DUMMYFUNCTION("""COMPUTED_VALUE"""),"Vietti, Barolo, Ravera")</f>
        <v>Vietti, Barolo, Ravera</v>
      </c>
      <c r="E2069" s="9">
        <f>IFERROR(__xludf.DUMMYFUNCTION("""COMPUTED_VALUE"""),2018.0)</f>
        <v>2018</v>
      </c>
      <c r="F2069" s="9">
        <f>IFERROR(__xludf.DUMMYFUNCTION("""COMPUTED_VALUE"""),750.0)</f>
        <v>750</v>
      </c>
      <c r="G2069" s="9">
        <f>IFERROR(__xludf.DUMMYFUNCTION("""COMPUTED_VALUE"""),3.0)</f>
        <v>3</v>
      </c>
      <c r="H2069" s="10">
        <f>IFERROR(__xludf.DUMMYFUNCTION("""COMPUTED_VALUE"""),1.0)</f>
        <v>1</v>
      </c>
      <c r="I2069" s="11">
        <f>IFERROR(__xludf.DUMMYFUNCTION("""COMPUTED_VALUE"""),397.0)</f>
        <v>397</v>
      </c>
      <c r="J2069" s="9" t="str">
        <f>IFERROR(__xludf.DUMMYFUNCTION("""COMPUTED_VALUE"""),"UK")</f>
        <v>UK</v>
      </c>
      <c r="K2069" s="8"/>
      <c r="L2069" s="12"/>
      <c r="M2069" s="13"/>
      <c r="N2069" s="13" t="str">
        <f>IFERROR(__xludf.DUMMYFUNCTION("IF(ISBLANK(M2069),"""",M2069*GOOGLEFINANCE(""USDGBP""))"),"")</f>
        <v/>
      </c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  <c r="FG2069" s="8"/>
      <c r="FH2069" s="8"/>
      <c r="FI2069" s="8"/>
      <c r="FJ2069" s="8"/>
      <c r="FK2069" s="8"/>
      <c r="FL2069" s="8"/>
      <c r="FM2069" s="8"/>
      <c r="FN2069" s="8"/>
      <c r="FO2069" s="8"/>
      <c r="FP2069" s="8"/>
      <c r="FQ2069" s="8"/>
      <c r="FR2069" s="8"/>
      <c r="FS2069" s="8"/>
      <c r="FT2069" s="8"/>
      <c r="FU2069" s="8"/>
      <c r="FV2069" s="8"/>
      <c r="FW2069" s="8"/>
      <c r="FX2069" s="8"/>
      <c r="FY2069" s="8"/>
      <c r="FZ2069" s="8"/>
      <c r="GA2069" s="8"/>
      <c r="GB2069" s="8"/>
      <c r="GC2069" s="8"/>
      <c r="GD2069" s="8"/>
      <c r="GE2069" s="8"/>
      <c r="GF2069" s="8"/>
      <c r="GG2069" s="8"/>
      <c r="GH2069" s="8"/>
      <c r="GI2069" s="8"/>
      <c r="GJ2069" s="8"/>
      <c r="GK2069" s="8"/>
      <c r="GL2069" s="8"/>
      <c r="GM2069" s="8"/>
      <c r="GN2069" s="8"/>
      <c r="GO2069" s="8"/>
      <c r="GP2069" s="8"/>
      <c r="GQ2069" s="8"/>
      <c r="GR2069" s="8"/>
      <c r="GS2069" s="8"/>
      <c r="GT2069" s="8"/>
      <c r="GU2069" s="8"/>
      <c r="GV2069" s="8"/>
      <c r="GW2069" s="8"/>
      <c r="GX2069" s="8"/>
    </row>
    <row r="2070">
      <c r="A2070" s="8" t="str">
        <f>IFERROR(__xludf.DUMMYFUNCTION("""COMPUTED_VALUE"""),"110637020080600750")</f>
        <v>110637020080600750</v>
      </c>
      <c r="B2070" s="9" t="str">
        <f>IFERROR(__xludf.DUMMYFUNCTION("""COMPUTED_VALUE"""),"Italy")</f>
        <v>Italy</v>
      </c>
      <c r="C2070" s="9" t="str">
        <f>IFERROR(__xludf.DUMMYFUNCTION("""COMPUTED_VALUE"""),"piedmont")</f>
        <v>piedmont</v>
      </c>
      <c r="D2070" s="9" t="str">
        <f>IFERROR(__xludf.DUMMYFUNCTION("""COMPUTED_VALUE"""),"Vietti, Barolo, Rocche di Castiglione")</f>
        <v>Vietti, Barolo, Rocche di Castiglione</v>
      </c>
      <c r="E2070" s="9">
        <f>IFERROR(__xludf.DUMMYFUNCTION("""COMPUTED_VALUE"""),2008.0)</f>
        <v>2008</v>
      </c>
      <c r="F2070" s="9">
        <f>IFERROR(__xludf.DUMMYFUNCTION("""COMPUTED_VALUE"""),750.0)</f>
        <v>750</v>
      </c>
      <c r="G2070" s="9">
        <f>IFERROR(__xludf.DUMMYFUNCTION("""COMPUTED_VALUE"""),6.0)</f>
        <v>6</v>
      </c>
      <c r="H2070" s="10">
        <f>IFERROR(__xludf.DUMMYFUNCTION("""COMPUTED_VALUE"""),2.0)</f>
        <v>2</v>
      </c>
      <c r="I2070" s="11">
        <f>IFERROR(__xludf.DUMMYFUNCTION("""COMPUTED_VALUE"""),1217.0)</f>
        <v>1217</v>
      </c>
      <c r="J2070" s="9" t="str">
        <f>IFERROR(__xludf.DUMMYFUNCTION("""COMPUTED_VALUE"""),"UK")</f>
        <v>UK</v>
      </c>
      <c r="K2070" s="8"/>
      <c r="L2070" s="12"/>
      <c r="M2070" s="13"/>
      <c r="N2070" s="13" t="str">
        <f>IFERROR(__xludf.DUMMYFUNCTION("IF(ISBLANK(M2070),"""",M2070*GOOGLEFINANCE(""USDGBP""))"),"")</f>
        <v/>
      </c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  <c r="FG2070" s="8"/>
      <c r="FH2070" s="8"/>
      <c r="FI2070" s="8"/>
      <c r="FJ2070" s="8"/>
      <c r="FK2070" s="8"/>
      <c r="FL2070" s="8"/>
      <c r="FM2070" s="8"/>
      <c r="FN2070" s="8"/>
      <c r="FO2070" s="8"/>
      <c r="FP2070" s="8"/>
      <c r="FQ2070" s="8"/>
      <c r="FR2070" s="8"/>
      <c r="FS2070" s="8"/>
      <c r="FT2070" s="8"/>
      <c r="FU2070" s="8"/>
      <c r="FV2070" s="8"/>
      <c r="FW2070" s="8"/>
      <c r="FX2070" s="8"/>
      <c r="FY2070" s="8"/>
      <c r="FZ2070" s="8"/>
      <c r="GA2070" s="8"/>
      <c r="GB2070" s="8"/>
      <c r="GC2070" s="8"/>
      <c r="GD2070" s="8"/>
      <c r="GE2070" s="8"/>
      <c r="GF2070" s="8"/>
      <c r="GG2070" s="8"/>
      <c r="GH2070" s="8"/>
      <c r="GI2070" s="8"/>
      <c r="GJ2070" s="8"/>
      <c r="GK2070" s="8"/>
      <c r="GL2070" s="8"/>
      <c r="GM2070" s="8"/>
      <c r="GN2070" s="8"/>
      <c r="GO2070" s="8"/>
      <c r="GP2070" s="8"/>
      <c r="GQ2070" s="8"/>
      <c r="GR2070" s="8"/>
      <c r="GS2070" s="8"/>
      <c r="GT2070" s="8"/>
      <c r="GU2070" s="8"/>
      <c r="GV2070" s="8"/>
      <c r="GW2070" s="8"/>
      <c r="GX2070" s="8"/>
    </row>
    <row r="2071">
      <c r="A2071" s="8" t="str">
        <f>IFERROR(__xludf.DUMMYFUNCTION("""COMPUTED_VALUE"""),"110637020150600750")</f>
        <v>110637020150600750</v>
      </c>
      <c r="B2071" s="9" t="str">
        <f>IFERROR(__xludf.DUMMYFUNCTION("""COMPUTED_VALUE"""),"Italy")</f>
        <v>Italy</v>
      </c>
      <c r="C2071" s="9" t="str">
        <f>IFERROR(__xludf.DUMMYFUNCTION("""COMPUTED_VALUE"""),"piedmont")</f>
        <v>piedmont</v>
      </c>
      <c r="D2071" s="9" t="str">
        <f>IFERROR(__xludf.DUMMYFUNCTION("""COMPUTED_VALUE"""),"Vietti, Barolo, Rocche di Castiglione")</f>
        <v>Vietti, Barolo, Rocche di Castiglione</v>
      </c>
      <c r="E2071" s="9">
        <f>IFERROR(__xludf.DUMMYFUNCTION("""COMPUTED_VALUE"""),2015.0)</f>
        <v>2015</v>
      </c>
      <c r="F2071" s="9">
        <f>IFERROR(__xludf.DUMMYFUNCTION("""COMPUTED_VALUE"""),750.0)</f>
        <v>750</v>
      </c>
      <c r="G2071" s="9">
        <f>IFERROR(__xludf.DUMMYFUNCTION("""COMPUTED_VALUE"""),6.0)</f>
        <v>6</v>
      </c>
      <c r="H2071" s="10">
        <f>IFERROR(__xludf.DUMMYFUNCTION("""COMPUTED_VALUE"""),1.0)</f>
        <v>1</v>
      </c>
      <c r="I2071" s="11">
        <f>IFERROR(__xludf.DUMMYFUNCTION("""COMPUTED_VALUE"""),818.0)</f>
        <v>818</v>
      </c>
      <c r="J2071" s="9" t="str">
        <f>IFERROR(__xludf.DUMMYFUNCTION("""COMPUTED_VALUE"""),"UK")</f>
        <v>UK</v>
      </c>
      <c r="K2071" s="8"/>
      <c r="L2071" s="12"/>
      <c r="M2071" s="13"/>
      <c r="N2071" s="13" t="str">
        <f>IFERROR(__xludf.DUMMYFUNCTION("IF(ISBLANK(M2071),"""",M2071*GOOGLEFINANCE(""USDGBP""))"),"")</f>
        <v/>
      </c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  <c r="FG2071" s="8"/>
      <c r="FH2071" s="8"/>
      <c r="FI2071" s="8"/>
      <c r="FJ2071" s="8"/>
      <c r="FK2071" s="8"/>
      <c r="FL2071" s="8"/>
      <c r="FM2071" s="8"/>
      <c r="FN2071" s="8"/>
      <c r="FO2071" s="8"/>
      <c r="FP2071" s="8"/>
      <c r="FQ2071" s="8"/>
      <c r="FR2071" s="8"/>
      <c r="FS2071" s="8"/>
      <c r="FT2071" s="8"/>
      <c r="FU2071" s="8"/>
      <c r="FV2071" s="8"/>
      <c r="FW2071" s="8"/>
      <c r="FX2071" s="8"/>
      <c r="FY2071" s="8"/>
      <c r="FZ2071" s="8"/>
      <c r="GA2071" s="8"/>
      <c r="GB2071" s="8"/>
      <c r="GC2071" s="8"/>
      <c r="GD2071" s="8"/>
      <c r="GE2071" s="8"/>
      <c r="GF2071" s="8"/>
      <c r="GG2071" s="8"/>
      <c r="GH2071" s="8"/>
      <c r="GI2071" s="8"/>
      <c r="GJ2071" s="8"/>
      <c r="GK2071" s="8"/>
      <c r="GL2071" s="8"/>
      <c r="GM2071" s="8"/>
      <c r="GN2071" s="8"/>
      <c r="GO2071" s="8"/>
      <c r="GP2071" s="8"/>
      <c r="GQ2071" s="8"/>
      <c r="GR2071" s="8"/>
      <c r="GS2071" s="8"/>
      <c r="GT2071" s="8"/>
      <c r="GU2071" s="8"/>
      <c r="GV2071" s="8"/>
      <c r="GW2071" s="8"/>
      <c r="GX2071" s="8"/>
    </row>
    <row r="2072">
      <c r="A2072" s="8" t="str">
        <f>IFERROR(__xludf.DUMMYFUNCTION("""COMPUTED_VALUE"""),"110637020150300750")</f>
        <v>110637020150300750</v>
      </c>
      <c r="B2072" s="9" t="str">
        <f>IFERROR(__xludf.DUMMYFUNCTION("""COMPUTED_VALUE"""),"Italy")</f>
        <v>Italy</v>
      </c>
      <c r="C2072" s="9" t="str">
        <f>IFERROR(__xludf.DUMMYFUNCTION("""COMPUTED_VALUE"""),"piedmont")</f>
        <v>piedmont</v>
      </c>
      <c r="D2072" s="9" t="str">
        <f>IFERROR(__xludf.DUMMYFUNCTION("""COMPUTED_VALUE"""),"Vietti, Barolo, Rocche di Castiglione")</f>
        <v>Vietti, Barolo, Rocche di Castiglione</v>
      </c>
      <c r="E2072" s="9">
        <f>IFERROR(__xludf.DUMMYFUNCTION("""COMPUTED_VALUE"""),2015.0)</f>
        <v>2015</v>
      </c>
      <c r="F2072" s="9">
        <f>IFERROR(__xludf.DUMMYFUNCTION("""COMPUTED_VALUE"""),750.0)</f>
        <v>750</v>
      </c>
      <c r="G2072" s="9">
        <f>IFERROR(__xludf.DUMMYFUNCTION("""COMPUTED_VALUE"""),3.0)</f>
        <v>3</v>
      </c>
      <c r="H2072" s="10">
        <f>IFERROR(__xludf.DUMMYFUNCTION("""COMPUTED_VALUE"""),1.0)</f>
        <v>1</v>
      </c>
      <c r="I2072" s="11">
        <f>IFERROR(__xludf.DUMMYFUNCTION("""COMPUTED_VALUE"""),415.0)</f>
        <v>415</v>
      </c>
      <c r="J2072" s="9" t="str">
        <f>IFERROR(__xludf.DUMMYFUNCTION("""COMPUTED_VALUE"""),"UK")</f>
        <v>UK</v>
      </c>
      <c r="K2072" s="8"/>
      <c r="L2072" s="12"/>
      <c r="M2072" s="13"/>
      <c r="N2072" s="13" t="str">
        <f>IFERROR(__xludf.DUMMYFUNCTION("IF(ISBLANK(M2072),"""",M2072*GOOGLEFINANCE(""USDGBP""))"),"")</f>
        <v/>
      </c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  <c r="FG2072" s="8"/>
      <c r="FH2072" s="8"/>
      <c r="FI2072" s="8"/>
      <c r="FJ2072" s="8"/>
      <c r="FK2072" s="8"/>
      <c r="FL2072" s="8"/>
      <c r="FM2072" s="8"/>
      <c r="FN2072" s="8"/>
      <c r="FO2072" s="8"/>
      <c r="FP2072" s="8"/>
      <c r="FQ2072" s="8"/>
      <c r="FR2072" s="8"/>
      <c r="FS2072" s="8"/>
      <c r="FT2072" s="8"/>
      <c r="FU2072" s="8"/>
      <c r="FV2072" s="8"/>
      <c r="FW2072" s="8"/>
      <c r="FX2072" s="8"/>
      <c r="FY2072" s="8"/>
      <c r="FZ2072" s="8"/>
      <c r="GA2072" s="8"/>
      <c r="GB2072" s="8"/>
      <c r="GC2072" s="8"/>
      <c r="GD2072" s="8"/>
      <c r="GE2072" s="8"/>
      <c r="GF2072" s="8"/>
      <c r="GG2072" s="8"/>
      <c r="GH2072" s="8"/>
      <c r="GI2072" s="8"/>
      <c r="GJ2072" s="8"/>
      <c r="GK2072" s="8"/>
      <c r="GL2072" s="8"/>
      <c r="GM2072" s="8"/>
      <c r="GN2072" s="8"/>
      <c r="GO2072" s="8"/>
      <c r="GP2072" s="8"/>
      <c r="GQ2072" s="8"/>
      <c r="GR2072" s="8"/>
      <c r="GS2072" s="8"/>
      <c r="GT2072" s="8"/>
      <c r="GU2072" s="8"/>
      <c r="GV2072" s="8"/>
      <c r="GW2072" s="8"/>
      <c r="GX2072" s="8"/>
    </row>
    <row r="2073">
      <c r="A2073" s="8" t="str">
        <f>IFERROR(__xludf.DUMMYFUNCTION("""COMPUTED_VALUE"""),"110637020170300750")</f>
        <v>110637020170300750</v>
      </c>
      <c r="B2073" s="9" t="str">
        <f>IFERROR(__xludf.DUMMYFUNCTION("""COMPUTED_VALUE"""),"Italy")</f>
        <v>Italy</v>
      </c>
      <c r="C2073" s="9" t="str">
        <f>IFERROR(__xludf.DUMMYFUNCTION("""COMPUTED_VALUE"""),"piedmont")</f>
        <v>piedmont</v>
      </c>
      <c r="D2073" s="9" t="str">
        <f>IFERROR(__xludf.DUMMYFUNCTION("""COMPUTED_VALUE"""),"Vietti, Barolo, Rocche di Castiglione")</f>
        <v>Vietti, Barolo, Rocche di Castiglione</v>
      </c>
      <c r="E2073" s="9">
        <f>IFERROR(__xludf.DUMMYFUNCTION("""COMPUTED_VALUE"""),2017.0)</f>
        <v>2017</v>
      </c>
      <c r="F2073" s="9">
        <f>IFERROR(__xludf.DUMMYFUNCTION("""COMPUTED_VALUE"""),750.0)</f>
        <v>750</v>
      </c>
      <c r="G2073" s="9">
        <f>IFERROR(__xludf.DUMMYFUNCTION("""COMPUTED_VALUE"""),3.0)</f>
        <v>3</v>
      </c>
      <c r="H2073" s="10">
        <f>IFERROR(__xludf.DUMMYFUNCTION("""COMPUTED_VALUE"""),1.0)</f>
        <v>1</v>
      </c>
      <c r="I2073" s="11">
        <f>IFERROR(__xludf.DUMMYFUNCTION("""COMPUTED_VALUE"""),381.0)</f>
        <v>381</v>
      </c>
      <c r="J2073" s="9" t="str">
        <f>IFERROR(__xludf.DUMMYFUNCTION("""COMPUTED_VALUE"""),"UK")</f>
        <v>UK</v>
      </c>
      <c r="K2073" s="8"/>
      <c r="L2073" s="12"/>
      <c r="M2073" s="13"/>
      <c r="N2073" s="13" t="str">
        <f>IFERROR(__xludf.DUMMYFUNCTION("IF(ISBLANK(M2073),"""",M2073*GOOGLEFINANCE(""USDGBP""))"),"")</f>
        <v/>
      </c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  <c r="FG2073" s="8"/>
      <c r="FH2073" s="8"/>
      <c r="FI2073" s="8"/>
      <c r="FJ2073" s="8"/>
      <c r="FK2073" s="8"/>
      <c r="FL2073" s="8"/>
      <c r="FM2073" s="8"/>
      <c r="FN2073" s="8"/>
      <c r="FO2073" s="8"/>
      <c r="FP2073" s="8"/>
      <c r="FQ2073" s="8"/>
      <c r="FR2073" s="8"/>
      <c r="FS2073" s="8"/>
      <c r="FT2073" s="8"/>
      <c r="FU2073" s="8"/>
      <c r="FV2073" s="8"/>
      <c r="FW2073" s="8"/>
      <c r="FX2073" s="8"/>
      <c r="FY2073" s="8"/>
      <c r="FZ2073" s="8"/>
      <c r="GA2073" s="8"/>
      <c r="GB2073" s="8"/>
      <c r="GC2073" s="8"/>
      <c r="GD2073" s="8"/>
      <c r="GE2073" s="8"/>
      <c r="GF2073" s="8"/>
      <c r="GG2073" s="8"/>
      <c r="GH2073" s="8"/>
      <c r="GI2073" s="8"/>
      <c r="GJ2073" s="8"/>
      <c r="GK2073" s="8"/>
      <c r="GL2073" s="8"/>
      <c r="GM2073" s="8"/>
      <c r="GN2073" s="8"/>
      <c r="GO2073" s="8"/>
      <c r="GP2073" s="8"/>
      <c r="GQ2073" s="8"/>
      <c r="GR2073" s="8"/>
      <c r="GS2073" s="8"/>
      <c r="GT2073" s="8"/>
      <c r="GU2073" s="8"/>
      <c r="GV2073" s="8"/>
      <c r="GW2073" s="8"/>
      <c r="GX2073" s="8"/>
    </row>
    <row r="2074">
      <c r="A2074" s="8" t="str">
        <f>IFERROR(__xludf.DUMMYFUNCTION("""COMPUTED_VALUE"""),"110636720100300750")</f>
        <v>110636720100300750</v>
      </c>
      <c r="B2074" s="9" t="str">
        <f>IFERROR(__xludf.DUMMYFUNCTION("""COMPUTED_VALUE"""),"Italy")</f>
        <v>Italy</v>
      </c>
      <c r="C2074" s="9" t="str">
        <f>IFERROR(__xludf.DUMMYFUNCTION("""COMPUTED_VALUE"""),"piedmont")</f>
        <v>piedmont</v>
      </c>
      <c r="D2074" s="9" t="str">
        <f>IFERROR(__xludf.DUMMYFUNCTION("""COMPUTED_VALUE"""),"Vietti, Barolo, Villero Riserva")</f>
        <v>Vietti, Barolo, Villero Riserva</v>
      </c>
      <c r="E2074" s="9">
        <f>IFERROR(__xludf.DUMMYFUNCTION("""COMPUTED_VALUE"""),2010.0)</f>
        <v>2010</v>
      </c>
      <c r="F2074" s="9">
        <f>IFERROR(__xludf.DUMMYFUNCTION("""COMPUTED_VALUE"""),750.0)</f>
        <v>750</v>
      </c>
      <c r="G2074" s="9">
        <f>IFERROR(__xludf.DUMMYFUNCTION("""COMPUTED_VALUE"""),3.0)</f>
        <v>3</v>
      </c>
      <c r="H2074" s="10">
        <f>IFERROR(__xludf.DUMMYFUNCTION("""COMPUTED_VALUE"""),1.0)</f>
        <v>1</v>
      </c>
      <c r="I2074" s="11">
        <f>IFERROR(__xludf.DUMMYFUNCTION("""COMPUTED_VALUE"""),1075.0)</f>
        <v>1075</v>
      </c>
      <c r="J2074" s="9" t="str">
        <f>IFERROR(__xludf.DUMMYFUNCTION("""COMPUTED_VALUE"""),"UK")</f>
        <v>UK</v>
      </c>
      <c r="K2074" s="8"/>
      <c r="L2074" s="12"/>
      <c r="M2074" s="13"/>
      <c r="N2074" s="13" t="str">
        <f>IFERROR(__xludf.DUMMYFUNCTION("IF(ISBLANK(M2074),"""",M2074*GOOGLEFINANCE(""USDGBP""))"),"")</f>
        <v/>
      </c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  <c r="FG2074" s="8"/>
      <c r="FH2074" s="8"/>
      <c r="FI2074" s="8"/>
      <c r="FJ2074" s="8"/>
      <c r="FK2074" s="8"/>
      <c r="FL2074" s="8"/>
      <c r="FM2074" s="8"/>
      <c r="FN2074" s="8"/>
      <c r="FO2074" s="8"/>
      <c r="FP2074" s="8"/>
      <c r="FQ2074" s="8"/>
      <c r="FR2074" s="8"/>
      <c r="FS2074" s="8"/>
      <c r="FT2074" s="8"/>
      <c r="FU2074" s="8"/>
      <c r="FV2074" s="8"/>
      <c r="FW2074" s="8"/>
      <c r="FX2074" s="8"/>
      <c r="FY2074" s="8"/>
      <c r="FZ2074" s="8"/>
      <c r="GA2074" s="8"/>
      <c r="GB2074" s="8"/>
      <c r="GC2074" s="8"/>
      <c r="GD2074" s="8"/>
      <c r="GE2074" s="8"/>
      <c r="GF2074" s="8"/>
      <c r="GG2074" s="8"/>
      <c r="GH2074" s="8"/>
      <c r="GI2074" s="8"/>
      <c r="GJ2074" s="8"/>
      <c r="GK2074" s="8"/>
      <c r="GL2074" s="8"/>
      <c r="GM2074" s="8"/>
      <c r="GN2074" s="8"/>
      <c r="GO2074" s="8"/>
      <c r="GP2074" s="8"/>
      <c r="GQ2074" s="8"/>
      <c r="GR2074" s="8"/>
      <c r="GS2074" s="8"/>
      <c r="GT2074" s="8"/>
      <c r="GU2074" s="8"/>
      <c r="GV2074" s="8"/>
      <c r="GW2074" s="8"/>
      <c r="GX2074" s="8"/>
    </row>
    <row r="2075">
      <c r="A2075" s="8" t="str">
        <f>IFERROR(__xludf.DUMMYFUNCTION("""COMPUTED_VALUE"""),"109969220060600750")</f>
        <v>109969220060600750</v>
      </c>
      <c r="B2075" s="9" t="str">
        <f>IFERROR(__xludf.DUMMYFUNCTION("""COMPUTED_VALUE"""),"Italy")</f>
        <v>Italy</v>
      </c>
      <c r="C2075" s="9" t="str">
        <f>IFERROR(__xludf.DUMMYFUNCTION("""COMPUTED_VALUE"""),"piedmont")</f>
        <v>piedmont</v>
      </c>
      <c r="D2075" s="9" t="str">
        <f>IFERROR(__xludf.DUMMYFUNCTION("""COMPUTED_VALUE"""),"Gaja, Langhe, Gaia &amp; Rey")</f>
        <v>Gaja, Langhe, Gaia &amp; Rey</v>
      </c>
      <c r="E2075" s="9">
        <f>IFERROR(__xludf.DUMMYFUNCTION("""COMPUTED_VALUE"""),2006.0)</f>
        <v>2006</v>
      </c>
      <c r="F2075" s="9">
        <f>IFERROR(__xludf.DUMMYFUNCTION("""COMPUTED_VALUE"""),750.0)</f>
        <v>750</v>
      </c>
      <c r="G2075" s="9">
        <f>IFERROR(__xludf.DUMMYFUNCTION("""COMPUTED_VALUE"""),6.0)</f>
        <v>6</v>
      </c>
      <c r="H2075" s="10">
        <f>IFERROR(__xludf.DUMMYFUNCTION("""COMPUTED_VALUE"""),1.0)</f>
        <v>1</v>
      </c>
      <c r="I2075" s="11">
        <f>IFERROR(__xludf.DUMMYFUNCTION("""COMPUTED_VALUE"""),2312.0)</f>
        <v>2312</v>
      </c>
      <c r="J2075" s="9" t="str">
        <f>IFERROR(__xludf.DUMMYFUNCTION("""COMPUTED_VALUE"""),"UK")</f>
        <v>UK</v>
      </c>
      <c r="K2075" s="8"/>
      <c r="L2075" s="12"/>
      <c r="M2075" s="13"/>
      <c r="N2075" s="13" t="str">
        <f>IFERROR(__xludf.DUMMYFUNCTION("IF(ISBLANK(M2075),"""",M2075*GOOGLEFINANCE(""USDGBP""))"),"")</f>
        <v/>
      </c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  <c r="FG2075" s="8"/>
      <c r="FH2075" s="8"/>
      <c r="FI2075" s="8"/>
      <c r="FJ2075" s="8"/>
      <c r="FK2075" s="8"/>
      <c r="FL2075" s="8"/>
      <c r="FM2075" s="8"/>
      <c r="FN2075" s="8"/>
      <c r="FO2075" s="8"/>
      <c r="FP2075" s="8"/>
      <c r="FQ2075" s="8"/>
      <c r="FR2075" s="8"/>
      <c r="FS2075" s="8"/>
      <c r="FT2075" s="8"/>
      <c r="FU2075" s="8"/>
      <c r="FV2075" s="8"/>
      <c r="FW2075" s="8"/>
      <c r="FX2075" s="8"/>
      <c r="FY2075" s="8"/>
      <c r="FZ2075" s="8"/>
      <c r="GA2075" s="8"/>
      <c r="GB2075" s="8"/>
      <c r="GC2075" s="8"/>
      <c r="GD2075" s="8"/>
      <c r="GE2075" s="8"/>
      <c r="GF2075" s="8"/>
      <c r="GG2075" s="8"/>
      <c r="GH2075" s="8"/>
      <c r="GI2075" s="8"/>
      <c r="GJ2075" s="8"/>
      <c r="GK2075" s="8"/>
      <c r="GL2075" s="8"/>
      <c r="GM2075" s="8"/>
      <c r="GN2075" s="8"/>
      <c r="GO2075" s="8"/>
      <c r="GP2075" s="8"/>
      <c r="GQ2075" s="8"/>
      <c r="GR2075" s="8"/>
      <c r="GS2075" s="8"/>
      <c r="GT2075" s="8"/>
      <c r="GU2075" s="8"/>
      <c r="GV2075" s="8"/>
      <c r="GW2075" s="8"/>
      <c r="GX2075" s="8"/>
    </row>
    <row r="2076">
      <c r="A2076" s="8" t="str">
        <f>IFERROR(__xludf.DUMMYFUNCTION("""COMPUTED_VALUE"""),"109969220170600750")</f>
        <v>109969220170600750</v>
      </c>
      <c r="B2076" s="9" t="str">
        <f>IFERROR(__xludf.DUMMYFUNCTION("""COMPUTED_VALUE"""),"Italy")</f>
        <v>Italy</v>
      </c>
      <c r="C2076" s="9" t="str">
        <f>IFERROR(__xludf.DUMMYFUNCTION("""COMPUTED_VALUE"""),"piedmont")</f>
        <v>piedmont</v>
      </c>
      <c r="D2076" s="9" t="str">
        <f>IFERROR(__xludf.DUMMYFUNCTION("""COMPUTED_VALUE"""),"Gaja, Langhe, Gaia &amp; Rey")</f>
        <v>Gaja, Langhe, Gaia &amp; Rey</v>
      </c>
      <c r="E2076" s="9">
        <f>IFERROR(__xludf.DUMMYFUNCTION("""COMPUTED_VALUE"""),2017.0)</f>
        <v>2017</v>
      </c>
      <c r="F2076" s="9">
        <f>IFERROR(__xludf.DUMMYFUNCTION("""COMPUTED_VALUE"""),750.0)</f>
        <v>750</v>
      </c>
      <c r="G2076" s="9">
        <f>IFERROR(__xludf.DUMMYFUNCTION("""COMPUTED_VALUE"""),6.0)</f>
        <v>6</v>
      </c>
      <c r="H2076" s="10">
        <f>IFERROR(__xludf.DUMMYFUNCTION("""COMPUTED_VALUE"""),2.0)</f>
        <v>2</v>
      </c>
      <c r="I2076" s="11">
        <f>IFERROR(__xludf.DUMMYFUNCTION("""COMPUTED_VALUE"""),1186.0)</f>
        <v>1186</v>
      </c>
      <c r="J2076" s="9" t="str">
        <f>IFERROR(__xludf.DUMMYFUNCTION("""COMPUTED_VALUE"""),"UK")</f>
        <v>UK</v>
      </c>
      <c r="K2076" s="8"/>
      <c r="L2076" s="12"/>
      <c r="M2076" s="13"/>
      <c r="N2076" s="13" t="str">
        <f>IFERROR(__xludf.DUMMYFUNCTION("IF(ISBLANK(M2076),"""",M2076*GOOGLEFINANCE(""USDGBP""))"),"")</f>
        <v/>
      </c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  <c r="FG2076" s="8"/>
      <c r="FH2076" s="8"/>
      <c r="FI2076" s="8"/>
      <c r="FJ2076" s="8"/>
      <c r="FK2076" s="8"/>
      <c r="FL2076" s="8"/>
      <c r="FM2076" s="8"/>
      <c r="FN2076" s="8"/>
      <c r="FO2076" s="8"/>
      <c r="FP2076" s="8"/>
      <c r="FQ2076" s="8"/>
      <c r="FR2076" s="8"/>
      <c r="FS2076" s="8"/>
      <c r="FT2076" s="8"/>
      <c r="FU2076" s="8"/>
      <c r="FV2076" s="8"/>
      <c r="FW2076" s="8"/>
      <c r="FX2076" s="8"/>
      <c r="FY2076" s="8"/>
      <c r="FZ2076" s="8"/>
      <c r="GA2076" s="8"/>
      <c r="GB2076" s="8"/>
      <c r="GC2076" s="8"/>
      <c r="GD2076" s="8"/>
      <c r="GE2076" s="8"/>
      <c r="GF2076" s="8"/>
      <c r="GG2076" s="8"/>
      <c r="GH2076" s="8"/>
      <c r="GI2076" s="8"/>
      <c r="GJ2076" s="8"/>
      <c r="GK2076" s="8"/>
      <c r="GL2076" s="8"/>
      <c r="GM2076" s="8"/>
      <c r="GN2076" s="8"/>
      <c r="GO2076" s="8"/>
      <c r="GP2076" s="8"/>
      <c r="GQ2076" s="8"/>
      <c r="GR2076" s="8"/>
      <c r="GS2076" s="8"/>
      <c r="GT2076" s="8"/>
      <c r="GU2076" s="8"/>
      <c r="GV2076" s="8"/>
      <c r="GW2076" s="8"/>
      <c r="GX2076" s="8"/>
    </row>
    <row r="2077">
      <c r="A2077" s="8" t="str">
        <f>IFERROR(__xludf.DUMMYFUNCTION("""COMPUTED_VALUE"""),"109969220180600750")</f>
        <v>109969220180600750</v>
      </c>
      <c r="B2077" s="9" t="str">
        <f>IFERROR(__xludf.DUMMYFUNCTION("""COMPUTED_VALUE"""),"Italy")</f>
        <v>Italy</v>
      </c>
      <c r="C2077" s="9" t="str">
        <f>IFERROR(__xludf.DUMMYFUNCTION("""COMPUTED_VALUE"""),"piedmont")</f>
        <v>piedmont</v>
      </c>
      <c r="D2077" s="9" t="str">
        <f>IFERROR(__xludf.DUMMYFUNCTION("""COMPUTED_VALUE"""),"Gaja, Langhe, Gaia &amp; Rey")</f>
        <v>Gaja, Langhe, Gaia &amp; Rey</v>
      </c>
      <c r="E2077" s="9">
        <f>IFERROR(__xludf.DUMMYFUNCTION("""COMPUTED_VALUE"""),2018.0)</f>
        <v>2018</v>
      </c>
      <c r="F2077" s="9">
        <f>IFERROR(__xludf.DUMMYFUNCTION("""COMPUTED_VALUE"""),750.0)</f>
        <v>750</v>
      </c>
      <c r="G2077" s="9">
        <f>IFERROR(__xludf.DUMMYFUNCTION("""COMPUTED_VALUE"""),6.0)</f>
        <v>6</v>
      </c>
      <c r="H2077" s="10">
        <f>IFERROR(__xludf.DUMMYFUNCTION("""COMPUTED_VALUE"""),3.0)</f>
        <v>3</v>
      </c>
      <c r="I2077" s="11">
        <f>IFERROR(__xludf.DUMMYFUNCTION("""COMPUTED_VALUE"""),1506.0)</f>
        <v>1506</v>
      </c>
      <c r="J2077" s="9" t="str">
        <f>IFERROR(__xludf.DUMMYFUNCTION("""COMPUTED_VALUE"""),"UK")</f>
        <v>UK</v>
      </c>
      <c r="K2077" s="8"/>
      <c r="L2077" s="12"/>
      <c r="M2077" s="13"/>
      <c r="N2077" s="13" t="str">
        <f>IFERROR(__xludf.DUMMYFUNCTION("IF(ISBLANK(M2077),"""",M2077*GOOGLEFINANCE(""USDGBP""))"),"")</f>
        <v/>
      </c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  <c r="FG2077" s="8"/>
      <c r="FH2077" s="8"/>
      <c r="FI2077" s="8"/>
      <c r="FJ2077" s="8"/>
      <c r="FK2077" s="8"/>
      <c r="FL2077" s="8"/>
      <c r="FM2077" s="8"/>
      <c r="FN2077" s="8"/>
      <c r="FO2077" s="8"/>
      <c r="FP2077" s="8"/>
      <c r="FQ2077" s="8"/>
      <c r="FR2077" s="8"/>
      <c r="FS2077" s="8"/>
      <c r="FT2077" s="8"/>
      <c r="FU2077" s="8"/>
      <c r="FV2077" s="8"/>
      <c r="FW2077" s="8"/>
      <c r="FX2077" s="8"/>
      <c r="FY2077" s="8"/>
      <c r="FZ2077" s="8"/>
      <c r="GA2077" s="8"/>
      <c r="GB2077" s="8"/>
      <c r="GC2077" s="8"/>
      <c r="GD2077" s="8"/>
      <c r="GE2077" s="8"/>
      <c r="GF2077" s="8"/>
      <c r="GG2077" s="8"/>
      <c r="GH2077" s="8"/>
      <c r="GI2077" s="8"/>
      <c r="GJ2077" s="8"/>
      <c r="GK2077" s="8"/>
      <c r="GL2077" s="8"/>
      <c r="GM2077" s="8"/>
      <c r="GN2077" s="8"/>
      <c r="GO2077" s="8"/>
      <c r="GP2077" s="8"/>
      <c r="GQ2077" s="8"/>
      <c r="GR2077" s="8"/>
      <c r="GS2077" s="8"/>
      <c r="GT2077" s="8"/>
      <c r="GU2077" s="8"/>
      <c r="GV2077" s="8"/>
      <c r="GW2077" s="8"/>
      <c r="GX2077" s="8"/>
    </row>
    <row r="2078">
      <c r="A2078" s="8" t="str">
        <f>IFERROR(__xludf.DUMMYFUNCTION("""COMPUTED_VALUE"""),"109969220190600750")</f>
        <v>109969220190600750</v>
      </c>
      <c r="B2078" s="9" t="str">
        <f>IFERROR(__xludf.DUMMYFUNCTION("""COMPUTED_VALUE"""),"Italy")</f>
        <v>Italy</v>
      </c>
      <c r="C2078" s="9" t="str">
        <f>IFERROR(__xludf.DUMMYFUNCTION("""COMPUTED_VALUE"""),"piedmont")</f>
        <v>piedmont</v>
      </c>
      <c r="D2078" s="9" t="str">
        <f>IFERROR(__xludf.DUMMYFUNCTION("""COMPUTED_VALUE"""),"Gaja, Langhe, Gaia &amp; Rey")</f>
        <v>Gaja, Langhe, Gaia &amp; Rey</v>
      </c>
      <c r="E2078" s="9">
        <f>IFERROR(__xludf.DUMMYFUNCTION("""COMPUTED_VALUE"""),2019.0)</f>
        <v>2019</v>
      </c>
      <c r="F2078" s="9">
        <f>IFERROR(__xludf.DUMMYFUNCTION("""COMPUTED_VALUE"""),750.0)</f>
        <v>750</v>
      </c>
      <c r="G2078" s="9">
        <f>IFERROR(__xludf.DUMMYFUNCTION("""COMPUTED_VALUE"""),6.0)</f>
        <v>6</v>
      </c>
      <c r="H2078" s="10">
        <f>IFERROR(__xludf.DUMMYFUNCTION("""COMPUTED_VALUE"""),3.0)</f>
        <v>3</v>
      </c>
      <c r="I2078" s="11">
        <f>IFERROR(__xludf.DUMMYFUNCTION("""COMPUTED_VALUE"""),1450.0)</f>
        <v>1450</v>
      </c>
      <c r="J2078" s="9" t="str">
        <f>IFERROR(__xludf.DUMMYFUNCTION("""COMPUTED_VALUE"""),"UK")</f>
        <v>UK</v>
      </c>
      <c r="K2078" s="8"/>
      <c r="L2078" s="12"/>
      <c r="M2078" s="13"/>
      <c r="N2078" s="13" t="str">
        <f>IFERROR(__xludf.DUMMYFUNCTION("IF(ISBLANK(M2078),"""",M2078*GOOGLEFINANCE(""USDGBP""))"),"")</f>
        <v/>
      </c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  <c r="FG2078" s="8"/>
      <c r="FH2078" s="8"/>
      <c r="FI2078" s="8"/>
      <c r="FJ2078" s="8"/>
      <c r="FK2078" s="8"/>
      <c r="FL2078" s="8"/>
      <c r="FM2078" s="8"/>
      <c r="FN2078" s="8"/>
      <c r="FO2078" s="8"/>
      <c r="FP2078" s="8"/>
      <c r="FQ2078" s="8"/>
      <c r="FR2078" s="8"/>
      <c r="FS2078" s="8"/>
      <c r="FT2078" s="8"/>
      <c r="FU2078" s="8"/>
      <c r="FV2078" s="8"/>
      <c r="FW2078" s="8"/>
      <c r="FX2078" s="8"/>
      <c r="FY2078" s="8"/>
      <c r="FZ2078" s="8"/>
      <c r="GA2078" s="8"/>
      <c r="GB2078" s="8"/>
      <c r="GC2078" s="8"/>
      <c r="GD2078" s="8"/>
      <c r="GE2078" s="8"/>
      <c r="GF2078" s="8"/>
      <c r="GG2078" s="8"/>
      <c r="GH2078" s="8"/>
      <c r="GI2078" s="8"/>
      <c r="GJ2078" s="8"/>
      <c r="GK2078" s="8"/>
      <c r="GL2078" s="8"/>
      <c r="GM2078" s="8"/>
      <c r="GN2078" s="8"/>
      <c r="GO2078" s="8"/>
      <c r="GP2078" s="8"/>
      <c r="GQ2078" s="8"/>
      <c r="GR2078" s="8"/>
      <c r="GS2078" s="8"/>
      <c r="GT2078" s="8"/>
      <c r="GU2078" s="8"/>
      <c r="GV2078" s="8"/>
      <c r="GW2078" s="8"/>
      <c r="GX2078" s="8"/>
    </row>
    <row r="2079">
      <c r="A2079" s="8" t="str">
        <f>IFERROR(__xludf.DUMMYFUNCTION("""COMPUTED_VALUE"""),"109974820170600750")</f>
        <v>109974820170600750</v>
      </c>
      <c r="B2079" s="9" t="str">
        <f>IFERROR(__xludf.DUMMYFUNCTION("""COMPUTED_VALUE"""),"Italy")</f>
        <v>Italy</v>
      </c>
      <c r="C2079" s="9" t="str">
        <f>IFERROR(__xludf.DUMMYFUNCTION("""COMPUTED_VALUE"""),"piedmont")</f>
        <v>piedmont</v>
      </c>
      <c r="D2079" s="9" t="str">
        <f>IFERROR(__xludf.DUMMYFUNCTION("""COMPUTED_VALUE"""),"Gaja, Rossj-Bass, Langhe DOC")</f>
        <v>Gaja, Rossj-Bass, Langhe DOC</v>
      </c>
      <c r="E2079" s="9">
        <f>IFERROR(__xludf.DUMMYFUNCTION("""COMPUTED_VALUE"""),2017.0)</f>
        <v>2017</v>
      </c>
      <c r="F2079" s="9">
        <f>IFERROR(__xludf.DUMMYFUNCTION("""COMPUTED_VALUE"""),750.0)</f>
        <v>750</v>
      </c>
      <c r="G2079" s="9">
        <f>IFERROR(__xludf.DUMMYFUNCTION("""COMPUTED_VALUE"""),6.0)</f>
        <v>6</v>
      </c>
      <c r="H2079" s="10">
        <f>IFERROR(__xludf.DUMMYFUNCTION("""COMPUTED_VALUE"""),1.0)</f>
        <v>1</v>
      </c>
      <c r="I2079" s="11">
        <f>IFERROR(__xludf.DUMMYFUNCTION("""COMPUTED_VALUE"""),319.0)</f>
        <v>319</v>
      </c>
      <c r="J2079" s="9" t="str">
        <f>IFERROR(__xludf.DUMMYFUNCTION("""COMPUTED_VALUE"""),"UK")</f>
        <v>UK</v>
      </c>
      <c r="K2079" s="8"/>
      <c r="L2079" s="12"/>
      <c r="M2079" s="13"/>
      <c r="N2079" s="13" t="str">
        <f>IFERROR(__xludf.DUMMYFUNCTION("IF(ISBLANK(M2079),"""",M2079*GOOGLEFINANCE(""USDGBP""))"),"")</f>
        <v/>
      </c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  <c r="FG2079" s="8"/>
      <c r="FH2079" s="8"/>
      <c r="FI2079" s="8"/>
      <c r="FJ2079" s="8"/>
      <c r="FK2079" s="8"/>
      <c r="FL2079" s="8"/>
      <c r="FM2079" s="8"/>
      <c r="FN2079" s="8"/>
      <c r="FO2079" s="8"/>
      <c r="FP2079" s="8"/>
      <c r="FQ2079" s="8"/>
      <c r="FR2079" s="8"/>
      <c r="FS2079" s="8"/>
      <c r="FT2079" s="8"/>
      <c r="FU2079" s="8"/>
      <c r="FV2079" s="8"/>
      <c r="FW2079" s="8"/>
      <c r="FX2079" s="8"/>
      <c r="FY2079" s="8"/>
      <c r="FZ2079" s="8"/>
      <c r="GA2079" s="8"/>
      <c r="GB2079" s="8"/>
      <c r="GC2079" s="8"/>
      <c r="GD2079" s="8"/>
      <c r="GE2079" s="8"/>
      <c r="GF2079" s="8"/>
      <c r="GG2079" s="8"/>
      <c r="GH2079" s="8"/>
      <c r="GI2079" s="8"/>
      <c r="GJ2079" s="8"/>
      <c r="GK2079" s="8"/>
      <c r="GL2079" s="8"/>
      <c r="GM2079" s="8"/>
      <c r="GN2079" s="8"/>
      <c r="GO2079" s="8"/>
      <c r="GP2079" s="8"/>
      <c r="GQ2079" s="8"/>
      <c r="GR2079" s="8"/>
      <c r="GS2079" s="8"/>
      <c r="GT2079" s="8"/>
      <c r="GU2079" s="8"/>
      <c r="GV2079" s="8"/>
      <c r="GW2079" s="8"/>
      <c r="GX2079" s="8"/>
    </row>
    <row r="2080">
      <c r="A2080" s="8" t="str">
        <f>IFERROR(__xludf.DUMMYFUNCTION("""COMPUTED_VALUE"""),"110786920160600750")</f>
        <v>110786920160600750</v>
      </c>
      <c r="B2080" s="9" t="str">
        <f>IFERROR(__xludf.DUMMYFUNCTION("""COMPUTED_VALUE"""),"Portugal")</f>
        <v>Portugal</v>
      </c>
      <c r="C2080" s="9" t="str">
        <f>IFERROR(__xludf.DUMMYFUNCTION("""COMPUTED_VALUE"""),"porto")</f>
        <v>porto</v>
      </c>
      <c r="D2080" s="9" t="str">
        <f>IFERROR(__xludf.DUMMYFUNCTION("""COMPUTED_VALUE"""),"Taylor's, Vintage Port")</f>
        <v>Taylor's, Vintage Port</v>
      </c>
      <c r="E2080" s="9">
        <f>IFERROR(__xludf.DUMMYFUNCTION("""COMPUTED_VALUE"""),2016.0)</f>
        <v>2016</v>
      </c>
      <c r="F2080" s="9">
        <f>IFERROR(__xludf.DUMMYFUNCTION("""COMPUTED_VALUE"""),750.0)</f>
        <v>750</v>
      </c>
      <c r="G2080" s="9">
        <f>IFERROR(__xludf.DUMMYFUNCTION("""COMPUTED_VALUE"""),6.0)</f>
        <v>6</v>
      </c>
      <c r="H2080" s="10">
        <f>IFERROR(__xludf.DUMMYFUNCTION("""COMPUTED_VALUE"""),1.0)</f>
        <v>1</v>
      </c>
      <c r="I2080" s="11">
        <f>IFERROR(__xludf.DUMMYFUNCTION("""COMPUTED_VALUE"""),297.0)</f>
        <v>297</v>
      </c>
      <c r="J2080" s="9" t="str">
        <f>IFERROR(__xludf.DUMMYFUNCTION("""COMPUTED_VALUE"""),"UK")</f>
        <v>UK</v>
      </c>
      <c r="K2080" s="8"/>
      <c r="L2080" s="12"/>
      <c r="M2080" s="13"/>
      <c r="N2080" s="13" t="str">
        <f>IFERROR(__xludf.DUMMYFUNCTION("IF(ISBLANK(M2080),"""",M2080*GOOGLEFINANCE(""USDGBP""))"),"")</f>
        <v/>
      </c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  <c r="FG2080" s="8"/>
      <c r="FH2080" s="8"/>
      <c r="FI2080" s="8"/>
      <c r="FJ2080" s="8"/>
      <c r="FK2080" s="8"/>
      <c r="FL2080" s="8"/>
      <c r="FM2080" s="8"/>
      <c r="FN2080" s="8"/>
      <c r="FO2080" s="8"/>
      <c r="FP2080" s="8"/>
      <c r="FQ2080" s="8"/>
      <c r="FR2080" s="8"/>
      <c r="FS2080" s="8"/>
      <c r="FT2080" s="8"/>
      <c r="FU2080" s="8"/>
      <c r="FV2080" s="8"/>
      <c r="FW2080" s="8"/>
      <c r="FX2080" s="8"/>
      <c r="FY2080" s="8"/>
      <c r="FZ2080" s="8"/>
      <c r="GA2080" s="8"/>
      <c r="GB2080" s="8"/>
      <c r="GC2080" s="8"/>
      <c r="GD2080" s="8"/>
      <c r="GE2080" s="8"/>
      <c r="GF2080" s="8"/>
      <c r="GG2080" s="8"/>
      <c r="GH2080" s="8"/>
      <c r="GI2080" s="8"/>
      <c r="GJ2080" s="8"/>
      <c r="GK2080" s="8"/>
      <c r="GL2080" s="8"/>
      <c r="GM2080" s="8"/>
      <c r="GN2080" s="8"/>
      <c r="GO2080" s="8"/>
      <c r="GP2080" s="8"/>
      <c r="GQ2080" s="8"/>
      <c r="GR2080" s="8"/>
      <c r="GS2080" s="8"/>
      <c r="GT2080" s="8"/>
      <c r="GU2080" s="8"/>
      <c r="GV2080" s="8"/>
      <c r="GW2080" s="8"/>
      <c r="GX2080" s="8"/>
    </row>
    <row r="2081">
      <c r="A2081" s="8" t="str">
        <f>IFERROR(__xludf.DUMMYFUNCTION("""COMPUTED_VALUE"""),"111846720161200750")</f>
        <v>111846720161200750</v>
      </c>
      <c r="B2081" s="9" t="str">
        <f>IFERROR(__xludf.DUMMYFUNCTION("""COMPUTED_VALUE"""),"France")</f>
        <v>France</v>
      </c>
      <c r="C2081" s="9" t="str">
        <f>IFERROR(__xludf.DUMMYFUNCTION("""COMPUTED_VALUE"""),"rhone")</f>
        <v>rhone</v>
      </c>
      <c r="D2081" s="9" t="str">
        <f>IFERROR(__xludf.DUMMYFUNCTION("""COMPUTED_VALUE"""),"Alain Voge, Cornas, Les Chailles")</f>
        <v>Alain Voge, Cornas, Les Chailles</v>
      </c>
      <c r="E2081" s="9">
        <f>IFERROR(__xludf.DUMMYFUNCTION("""COMPUTED_VALUE"""),2016.0)</f>
        <v>2016</v>
      </c>
      <c r="F2081" s="9">
        <f>IFERROR(__xludf.DUMMYFUNCTION("""COMPUTED_VALUE"""),750.0)</f>
        <v>750</v>
      </c>
      <c r="G2081" s="9">
        <f>IFERROR(__xludf.DUMMYFUNCTION("""COMPUTED_VALUE"""),12.0)</f>
        <v>12</v>
      </c>
      <c r="H2081" s="10">
        <f>IFERROR(__xludf.DUMMYFUNCTION("""COMPUTED_VALUE"""),1.0)</f>
        <v>1</v>
      </c>
      <c r="I2081" s="11">
        <f>IFERROR(__xludf.DUMMYFUNCTION("""COMPUTED_VALUE"""),445.0)</f>
        <v>445</v>
      </c>
      <c r="J2081" s="9" t="str">
        <f>IFERROR(__xludf.DUMMYFUNCTION("""COMPUTED_VALUE"""),"UK")</f>
        <v>UK</v>
      </c>
      <c r="K2081" s="8"/>
      <c r="L2081" s="12"/>
      <c r="M2081" s="13"/>
      <c r="N2081" s="13" t="str">
        <f>IFERROR(__xludf.DUMMYFUNCTION("IF(ISBLANK(M2081),"""",M2081*GOOGLEFINANCE(""USDGBP""))"),"")</f>
        <v/>
      </c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  <c r="FG2081" s="8"/>
      <c r="FH2081" s="8"/>
      <c r="FI2081" s="8"/>
      <c r="FJ2081" s="8"/>
      <c r="FK2081" s="8"/>
      <c r="FL2081" s="8"/>
      <c r="FM2081" s="8"/>
      <c r="FN2081" s="8"/>
      <c r="FO2081" s="8"/>
      <c r="FP2081" s="8"/>
      <c r="FQ2081" s="8"/>
      <c r="FR2081" s="8"/>
      <c r="FS2081" s="8"/>
      <c r="FT2081" s="8"/>
      <c r="FU2081" s="8"/>
      <c r="FV2081" s="8"/>
      <c r="FW2081" s="8"/>
      <c r="FX2081" s="8"/>
      <c r="FY2081" s="8"/>
      <c r="FZ2081" s="8"/>
      <c r="GA2081" s="8"/>
      <c r="GB2081" s="8"/>
      <c r="GC2081" s="8"/>
      <c r="GD2081" s="8"/>
      <c r="GE2081" s="8"/>
      <c r="GF2081" s="8"/>
      <c r="GG2081" s="8"/>
      <c r="GH2081" s="8"/>
      <c r="GI2081" s="8"/>
      <c r="GJ2081" s="8"/>
      <c r="GK2081" s="8"/>
      <c r="GL2081" s="8"/>
      <c r="GM2081" s="8"/>
      <c r="GN2081" s="8"/>
      <c r="GO2081" s="8"/>
      <c r="GP2081" s="8"/>
      <c r="GQ2081" s="8"/>
      <c r="GR2081" s="8"/>
      <c r="GS2081" s="8"/>
      <c r="GT2081" s="8"/>
      <c r="GU2081" s="8"/>
      <c r="GV2081" s="8"/>
      <c r="GW2081" s="8"/>
      <c r="GX2081" s="8"/>
    </row>
    <row r="2082">
      <c r="A2082" s="8" t="str">
        <f>IFERROR(__xludf.DUMMYFUNCTION("""COMPUTED_VALUE"""),"111846720171200750")</f>
        <v>111846720171200750</v>
      </c>
      <c r="B2082" s="9" t="str">
        <f>IFERROR(__xludf.DUMMYFUNCTION("""COMPUTED_VALUE"""),"France")</f>
        <v>France</v>
      </c>
      <c r="C2082" s="9" t="str">
        <f>IFERROR(__xludf.DUMMYFUNCTION("""COMPUTED_VALUE"""),"rhone")</f>
        <v>rhone</v>
      </c>
      <c r="D2082" s="9" t="str">
        <f>IFERROR(__xludf.DUMMYFUNCTION("""COMPUTED_VALUE"""),"Alain Voge, Cornas, Les Chailles")</f>
        <v>Alain Voge, Cornas, Les Chailles</v>
      </c>
      <c r="E2082" s="9">
        <f>IFERROR(__xludf.DUMMYFUNCTION("""COMPUTED_VALUE"""),2017.0)</f>
        <v>2017</v>
      </c>
      <c r="F2082" s="9">
        <f>IFERROR(__xludf.DUMMYFUNCTION("""COMPUTED_VALUE"""),750.0)</f>
        <v>750</v>
      </c>
      <c r="G2082" s="9">
        <f>IFERROR(__xludf.DUMMYFUNCTION("""COMPUTED_VALUE"""),12.0)</f>
        <v>12</v>
      </c>
      <c r="H2082" s="10">
        <f>IFERROR(__xludf.DUMMYFUNCTION("""COMPUTED_VALUE"""),1.0)</f>
        <v>1</v>
      </c>
      <c r="I2082" s="11">
        <f>IFERROR(__xludf.DUMMYFUNCTION("""COMPUTED_VALUE"""),528.0)</f>
        <v>528</v>
      </c>
      <c r="J2082" s="9" t="str">
        <f>IFERROR(__xludf.DUMMYFUNCTION("""COMPUTED_VALUE"""),"UK")</f>
        <v>UK</v>
      </c>
      <c r="K2082" s="8"/>
      <c r="L2082" s="12"/>
      <c r="M2082" s="13"/>
      <c r="N2082" s="13" t="str">
        <f>IFERROR(__xludf.DUMMYFUNCTION("IF(ISBLANK(M2082),"""",M2082*GOOGLEFINANCE(""USDGBP""))"),"")</f>
        <v/>
      </c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  <c r="FG2082" s="8"/>
      <c r="FH2082" s="8"/>
      <c r="FI2082" s="8"/>
      <c r="FJ2082" s="8"/>
      <c r="FK2082" s="8"/>
      <c r="FL2082" s="8"/>
      <c r="FM2082" s="8"/>
      <c r="FN2082" s="8"/>
      <c r="FO2082" s="8"/>
      <c r="FP2082" s="8"/>
      <c r="FQ2082" s="8"/>
      <c r="FR2082" s="8"/>
      <c r="FS2082" s="8"/>
      <c r="FT2082" s="8"/>
      <c r="FU2082" s="8"/>
      <c r="FV2082" s="8"/>
      <c r="FW2082" s="8"/>
      <c r="FX2082" s="8"/>
      <c r="FY2082" s="8"/>
      <c r="FZ2082" s="8"/>
      <c r="GA2082" s="8"/>
      <c r="GB2082" s="8"/>
      <c r="GC2082" s="8"/>
      <c r="GD2082" s="8"/>
      <c r="GE2082" s="8"/>
      <c r="GF2082" s="8"/>
      <c r="GG2082" s="8"/>
      <c r="GH2082" s="8"/>
      <c r="GI2082" s="8"/>
      <c r="GJ2082" s="8"/>
      <c r="GK2082" s="8"/>
      <c r="GL2082" s="8"/>
      <c r="GM2082" s="8"/>
      <c r="GN2082" s="8"/>
      <c r="GO2082" s="8"/>
      <c r="GP2082" s="8"/>
      <c r="GQ2082" s="8"/>
      <c r="GR2082" s="8"/>
      <c r="GS2082" s="8"/>
      <c r="GT2082" s="8"/>
      <c r="GU2082" s="8"/>
      <c r="GV2082" s="8"/>
      <c r="GW2082" s="8"/>
      <c r="GX2082" s="8"/>
    </row>
    <row r="2083">
      <c r="A2083" s="8" t="str">
        <f>IFERROR(__xludf.DUMMYFUNCTION("""COMPUTED_VALUE"""),"111847020200600750")</f>
        <v>111847020200600750</v>
      </c>
      <c r="B2083" s="9" t="str">
        <f>IFERROR(__xludf.DUMMYFUNCTION("""COMPUTED_VALUE"""),"France")</f>
        <v>France</v>
      </c>
      <c r="C2083" s="9" t="str">
        <f>IFERROR(__xludf.DUMMYFUNCTION("""COMPUTED_VALUE"""),"rhone")</f>
        <v>rhone</v>
      </c>
      <c r="D2083" s="9" t="str">
        <f>IFERROR(__xludf.DUMMYFUNCTION("""COMPUTED_VALUE"""),"Alain Voge, Cornas, Les Vieilles Fontaines")</f>
        <v>Alain Voge, Cornas, Les Vieilles Fontaines</v>
      </c>
      <c r="E2083" s="9">
        <f>IFERROR(__xludf.DUMMYFUNCTION("""COMPUTED_VALUE"""),2020.0)</f>
        <v>2020</v>
      </c>
      <c r="F2083" s="9">
        <f>IFERROR(__xludf.DUMMYFUNCTION("""COMPUTED_VALUE"""),750.0)</f>
        <v>750</v>
      </c>
      <c r="G2083" s="9">
        <f>IFERROR(__xludf.DUMMYFUNCTION("""COMPUTED_VALUE"""),6.0)</f>
        <v>6</v>
      </c>
      <c r="H2083" s="10">
        <f>IFERROR(__xludf.DUMMYFUNCTION("""COMPUTED_VALUE"""),1.0)</f>
        <v>1</v>
      </c>
      <c r="I2083" s="11">
        <f>IFERROR(__xludf.DUMMYFUNCTION("""COMPUTED_VALUE"""),476.0)</f>
        <v>476</v>
      </c>
      <c r="J2083" s="9" t="str">
        <f>IFERROR(__xludf.DUMMYFUNCTION("""COMPUTED_VALUE"""),"UK")</f>
        <v>UK</v>
      </c>
      <c r="K2083" s="8"/>
      <c r="L2083" s="12"/>
      <c r="M2083" s="13"/>
      <c r="N2083" s="13" t="str">
        <f>IFERROR(__xludf.DUMMYFUNCTION("IF(ISBLANK(M2083),"""",M2083*GOOGLEFINANCE(""USDGBP""))"),"")</f>
        <v/>
      </c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  <c r="FG2083" s="8"/>
      <c r="FH2083" s="8"/>
      <c r="FI2083" s="8"/>
      <c r="FJ2083" s="8"/>
      <c r="FK2083" s="8"/>
      <c r="FL2083" s="8"/>
      <c r="FM2083" s="8"/>
      <c r="FN2083" s="8"/>
      <c r="FO2083" s="8"/>
      <c r="FP2083" s="8"/>
      <c r="FQ2083" s="8"/>
      <c r="FR2083" s="8"/>
      <c r="FS2083" s="8"/>
      <c r="FT2083" s="8"/>
      <c r="FU2083" s="8"/>
      <c r="FV2083" s="8"/>
      <c r="FW2083" s="8"/>
      <c r="FX2083" s="8"/>
      <c r="FY2083" s="8"/>
      <c r="FZ2083" s="8"/>
      <c r="GA2083" s="8"/>
      <c r="GB2083" s="8"/>
      <c r="GC2083" s="8"/>
      <c r="GD2083" s="8"/>
      <c r="GE2083" s="8"/>
      <c r="GF2083" s="8"/>
      <c r="GG2083" s="8"/>
      <c r="GH2083" s="8"/>
      <c r="GI2083" s="8"/>
      <c r="GJ2083" s="8"/>
      <c r="GK2083" s="8"/>
      <c r="GL2083" s="8"/>
      <c r="GM2083" s="8"/>
      <c r="GN2083" s="8"/>
      <c r="GO2083" s="8"/>
      <c r="GP2083" s="8"/>
      <c r="GQ2083" s="8"/>
      <c r="GR2083" s="8"/>
      <c r="GS2083" s="8"/>
      <c r="GT2083" s="8"/>
      <c r="GU2083" s="8"/>
      <c r="GV2083" s="8"/>
      <c r="GW2083" s="8"/>
      <c r="GX2083" s="8"/>
    </row>
    <row r="2084">
      <c r="A2084" s="8" t="str">
        <f>IFERROR(__xludf.DUMMYFUNCTION("""COMPUTED_VALUE"""),"113639120060100750")</f>
        <v>113639120060100750</v>
      </c>
      <c r="B2084" s="9" t="str">
        <f>IFERROR(__xludf.DUMMYFUNCTION("""COMPUTED_VALUE"""),"France")</f>
        <v>France</v>
      </c>
      <c r="C2084" s="9" t="str">
        <f>IFERROR(__xludf.DUMMYFUNCTION("""COMPUTED_VALUE"""),"rhone")</f>
        <v>rhone</v>
      </c>
      <c r="D2084" s="9" t="str">
        <f>IFERROR(__xludf.DUMMYFUNCTION("""COMPUTED_VALUE"""),"Chateau Rayas, Chateauneuf-du-Pape")</f>
        <v>Chateau Rayas, Chateauneuf-du-Pape</v>
      </c>
      <c r="E2084" s="9">
        <f>IFERROR(__xludf.DUMMYFUNCTION("""COMPUTED_VALUE"""),2006.0)</f>
        <v>2006</v>
      </c>
      <c r="F2084" s="9">
        <f>IFERROR(__xludf.DUMMYFUNCTION("""COMPUTED_VALUE"""),750.0)</f>
        <v>750</v>
      </c>
      <c r="G2084" s="9">
        <f>IFERROR(__xludf.DUMMYFUNCTION("""COMPUTED_VALUE"""),1.0)</f>
        <v>1</v>
      </c>
      <c r="H2084" s="10">
        <f>IFERROR(__xludf.DUMMYFUNCTION("""COMPUTED_VALUE"""),1.0)</f>
        <v>1</v>
      </c>
      <c r="I2084" s="11">
        <f>IFERROR(__xludf.DUMMYFUNCTION("""COMPUTED_VALUE"""),948.0)</f>
        <v>948</v>
      </c>
      <c r="J2084" s="9" t="str">
        <f>IFERROR(__xludf.DUMMYFUNCTION("""COMPUTED_VALUE"""),"UK")</f>
        <v>UK</v>
      </c>
      <c r="K2084" s="8"/>
      <c r="L2084" s="12"/>
      <c r="M2084" s="13"/>
      <c r="N2084" s="13" t="str">
        <f>IFERROR(__xludf.DUMMYFUNCTION("IF(ISBLANK(M2084),"""",M2084*GOOGLEFINANCE(""USDGBP""))"),"")</f>
        <v/>
      </c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  <c r="FG2084" s="8"/>
      <c r="FH2084" s="8"/>
      <c r="FI2084" s="8"/>
      <c r="FJ2084" s="8"/>
      <c r="FK2084" s="8"/>
      <c r="FL2084" s="8"/>
      <c r="FM2084" s="8"/>
      <c r="FN2084" s="8"/>
      <c r="FO2084" s="8"/>
      <c r="FP2084" s="8"/>
      <c r="FQ2084" s="8"/>
      <c r="FR2084" s="8"/>
      <c r="FS2084" s="8"/>
      <c r="FT2084" s="8"/>
      <c r="FU2084" s="8"/>
      <c r="FV2084" s="8"/>
      <c r="FW2084" s="8"/>
      <c r="FX2084" s="8"/>
      <c r="FY2084" s="8"/>
      <c r="FZ2084" s="8"/>
      <c r="GA2084" s="8"/>
      <c r="GB2084" s="8"/>
      <c r="GC2084" s="8"/>
      <c r="GD2084" s="8"/>
      <c r="GE2084" s="8"/>
      <c r="GF2084" s="8"/>
      <c r="GG2084" s="8"/>
      <c r="GH2084" s="8"/>
      <c r="GI2084" s="8"/>
      <c r="GJ2084" s="8"/>
      <c r="GK2084" s="8"/>
      <c r="GL2084" s="8"/>
      <c r="GM2084" s="8"/>
      <c r="GN2084" s="8"/>
      <c r="GO2084" s="8"/>
      <c r="GP2084" s="8"/>
      <c r="GQ2084" s="8"/>
      <c r="GR2084" s="8"/>
      <c r="GS2084" s="8"/>
      <c r="GT2084" s="8"/>
      <c r="GU2084" s="8"/>
      <c r="GV2084" s="8"/>
      <c r="GW2084" s="8"/>
      <c r="GX2084" s="8"/>
    </row>
    <row r="2085">
      <c r="A2085" s="8" t="str">
        <f>IFERROR(__xludf.DUMMYFUNCTION("""COMPUTED_VALUE"""),"113639120090100750")</f>
        <v>113639120090100750</v>
      </c>
      <c r="B2085" s="9" t="str">
        <f>IFERROR(__xludf.DUMMYFUNCTION("""COMPUTED_VALUE"""),"France")</f>
        <v>France</v>
      </c>
      <c r="C2085" s="9" t="str">
        <f>IFERROR(__xludf.DUMMYFUNCTION("""COMPUTED_VALUE"""),"rhone")</f>
        <v>rhone</v>
      </c>
      <c r="D2085" s="9" t="str">
        <f>IFERROR(__xludf.DUMMYFUNCTION("""COMPUTED_VALUE"""),"Chateau Rayas, Chateauneuf-du-Pape")</f>
        <v>Chateau Rayas, Chateauneuf-du-Pape</v>
      </c>
      <c r="E2085" s="9">
        <f>IFERROR(__xludf.DUMMYFUNCTION("""COMPUTED_VALUE"""),2009.0)</f>
        <v>2009</v>
      </c>
      <c r="F2085" s="9">
        <f>IFERROR(__xludf.DUMMYFUNCTION("""COMPUTED_VALUE"""),750.0)</f>
        <v>750</v>
      </c>
      <c r="G2085" s="9">
        <f>IFERROR(__xludf.DUMMYFUNCTION("""COMPUTED_VALUE"""),1.0)</f>
        <v>1</v>
      </c>
      <c r="H2085" s="10">
        <f>IFERROR(__xludf.DUMMYFUNCTION("""COMPUTED_VALUE"""),2.0)</f>
        <v>2</v>
      </c>
      <c r="I2085" s="11">
        <f>IFERROR(__xludf.DUMMYFUNCTION("""COMPUTED_VALUE"""),1084.0)</f>
        <v>1084</v>
      </c>
      <c r="J2085" s="9" t="str">
        <f>IFERROR(__xludf.DUMMYFUNCTION("""COMPUTED_VALUE"""),"UK")</f>
        <v>UK</v>
      </c>
      <c r="K2085" s="8"/>
      <c r="L2085" s="12"/>
      <c r="M2085" s="13"/>
      <c r="N2085" s="13" t="str">
        <f>IFERROR(__xludf.DUMMYFUNCTION("IF(ISBLANK(M2085),"""",M2085*GOOGLEFINANCE(""USDGBP""))"),"")</f>
        <v/>
      </c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  <c r="FG2085" s="8"/>
      <c r="FH2085" s="8"/>
      <c r="FI2085" s="8"/>
      <c r="FJ2085" s="8"/>
      <c r="FK2085" s="8"/>
      <c r="FL2085" s="8"/>
      <c r="FM2085" s="8"/>
      <c r="FN2085" s="8"/>
      <c r="FO2085" s="8"/>
      <c r="FP2085" s="8"/>
      <c r="FQ2085" s="8"/>
      <c r="FR2085" s="8"/>
      <c r="FS2085" s="8"/>
      <c r="FT2085" s="8"/>
      <c r="FU2085" s="8"/>
      <c r="FV2085" s="8"/>
      <c r="FW2085" s="8"/>
      <c r="FX2085" s="8"/>
      <c r="FY2085" s="8"/>
      <c r="FZ2085" s="8"/>
      <c r="GA2085" s="8"/>
      <c r="GB2085" s="8"/>
      <c r="GC2085" s="8"/>
      <c r="GD2085" s="8"/>
      <c r="GE2085" s="8"/>
      <c r="GF2085" s="8"/>
      <c r="GG2085" s="8"/>
      <c r="GH2085" s="8"/>
      <c r="GI2085" s="8"/>
      <c r="GJ2085" s="8"/>
      <c r="GK2085" s="8"/>
      <c r="GL2085" s="8"/>
      <c r="GM2085" s="8"/>
      <c r="GN2085" s="8"/>
      <c r="GO2085" s="8"/>
      <c r="GP2085" s="8"/>
      <c r="GQ2085" s="8"/>
      <c r="GR2085" s="8"/>
      <c r="GS2085" s="8"/>
      <c r="GT2085" s="8"/>
      <c r="GU2085" s="8"/>
      <c r="GV2085" s="8"/>
      <c r="GW2085" s="8"/>
      <c r="GX2085" s="8"/>
    </row>
    <row r="2086">
      <c r="A2086" s="8" t="str">
        <f>IFERROR(__xludf.DUMMYFUNCTION("""COMPUTED_VALUE"""),"110840420110300750")</f>
        <v>110840420110300750</v>
      </c>
      <c r="B2086" s="9" t="str">
        <f>IFERROR(__xludf.DUMMYFUNCTION("""COMPUTED_VALUE"""),"France")</f>
        <v>France</v>
      </c>
      <c r="C2086" s="9" t="str">
        <f>IFERROR(__xludf.DUMMYFUNCTION("""COMPUTED_VALUE"""),"rhone")</f>
        <v>rhone</v>
      </c>
      <c r="D2086" s="9" t="str">
        <f>IFERROR(__xludf.DUMMYFUNCTION("""COMPUTED_VALUE"""),"Chateau de Beaucastel Hommage a Jacques Perrin, Chateauneuf-du-Pape")</f>
        <v>Chateau de Beaucastel Hommage a Jacques Perrin, Chateauneuf-du-Pape</v>
      </c>
      <c r="E2086" s="9">
        <f>IFERROR(__xludf.DUMMYFUNCTION("""COMPUTED_VALUE"""),2011.0)</f>
        <v>2011</v>
      </c>
      <c r="F2086" s="9">
        <f>IFERROR(__xludf.DUMMYFUNCTION("""COMPUTED_VALUE"""),750.0)</f>
        <v>750</v>
      </c>
      <c r="G2086" s="9">
        <f>IFERROR(__xludf.DUMMYFUNCTION("""COMPUTED_VALUE"""),3.0)</f>
        <v>3</v>
      </c>
      <c r="H2086" s="10">
        <f>IFERROR(__xludf.DUMMYFUNCTION("""COMPUTED_VALUE"""),2.0)</f>
        <v>2</v>
      </c>
      <c r="I2086" s="11">
        <f>IFERROR(__xludf.DUMMYFUNCTION("""COMPUTED_VALUE"""),674.0)</f>
        <v>674</v>
      </c>
      <c r="J2086" s="9" t="str">
        <f>IFERROR(__xludf.DUMMYFUNCTION("""COMPUTED_VALUE"""),"UK")</f>
        <v>UK</v>
      </c>
      <c r="K2086" s="8"/>
      <c r="L2086" s="12"/>
      <c r="M2086" s="13"/>
      <c r="N2086" s="13" t="str">
        <f>IFERROR(__xludf.DUMMYFUNCTION("IF(ISBLANK(M2086),"""",M2086*GOOGLEFINANCE(""USDGBP""))"),"")</f>
        <v/>
      </c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  <c r="FG2086" s="8"/>
      <c r="FH2086" s="8"/>
      <c r="FI2086" s="8"/>
      <c r="FJ2086" s="8"/>
      <c r="FK2086" s="8"/>
      <c r="FL2086" s="8"/>
      <c r="FM2086" s="8"/>
      <c r="FN2086" s="8"/>
      <c r="FO2086" s="8"/>
      <c r="FP2086" s="8"/>
      <c r="FQ2086" s="8"/>
      <c r="FR2086" s="8"/>
      <c r="FS2086" s="8"/>
      <c r="FT2086" s="8"/>
      <c r="FU2086" s="8"/>
      <c r="FV2086" s="8"/>
      <c r="FW2086" s="8"/>
      <c r="FX2086" s="8"/>
      <c r="FY2086" s="8"/>
      <c r="FZ2086" s="8"/>
      <c r="GA2086" s="8"/>
      <c r="GB2086" s="8"/>
      <c r="GC2086" s="8"/>
      <c r="GD2086" s="8"/>
      <c r="GE2086" s="8"/>
      <c r="GF2086" s="8"/>
      <c r="GG2086" s="8"/>
      <c r="GH2086" s="8"/>
      <c r="GI2086" s="8"/>
      <c r="GJ2086" s="8"/>
      <c r="GK2086" s="8"/>
      <c r="GL2086" s="8"/>
      <c r="GM2086" s="8"/>
      <c r="GN2086" s="8"/>
      <c r="GO2086" s="8"/>
      <c r="GP2086" s="8"/>
      <c r="GQ2086" s="8"/>
      <c r="GR2086" s="8"/>
      <c r="GS2086" s="8"/>
      <c r="GT2086" s="8"/>
      <c r="GU2086" s="8"/>
      <c r="GV2086" s="8"/>
      <c r="GW2086" s="8"/>
      <c r="GX2086" s="8"/>
    </row>
    <row r="2087">
      <c r="A2087" s="8" t="str">
        <f>IFERROR(__xludf.DUMMYFUNCTION("""COMPUTED_VALUE"""),"110840420130300750")</f>
        <v>110840420130300750</v>
      </c>
      <c r="B2087" s="9" t="str">
        <f>IFERROR(__xludf.DUMMYFUNCTION("""COMPUTED_VALUE"""),"France")</f>
        <v>France</v>
      </c>
      <c r="C2087" s="9" t="str">
        <f>IFERROR(__xludf.DUMMYFUNCTION("""COMPUTED_VALUE"""),"rhone")</f>
        <v>rhone</v>
      </c>
      <c r="D2087" s="9" t="str">
        <f>IFERROR(__xludf.DUMMYFUNCTION("""COMPUTED_VALUE"""),"Chateau de Beaucastel Hommage a Jacques Perrin, Chateauneuf-du-Pape")</f>
        <v>Chateau de Beaucastel Hommage a Jacques Perrin, Chateauneuf-du-Pape</v>
      </c>
      <c r="E2087" s="9">
        <f>IFERROR(__xludf.DUMMYFUNCTION("""COMPUTED_VALUE"""),2013.0)</f>
        <v>2013</v>
      </c>
      <c r="F2087" s="9">
        <f>IFERROR(__xludf.DUMMYFUNCTION("""COMPUTED_VALUE"""),750.0)</f>
        <v>750</v>
      </c>
      <c r="G2087" s="9">
        <f>IFERROR(__xludf.DUMMYFUNCTION("""COMPUTED_VALUE"""),3.0)</f>
        <v>3</v>
      </c>
      <c r="H2087" s="10">
        <f>IFERROR(__xludf.DUMMYFUNCTION("""COMPUTED_VALUE"""),1.0)</f>
        <v>1</v>
      </c>
      <c r="I2087" s="11">
        <f>IFERROR(__xludf.DUMMYFUNCTION("""COMPUTED_VALUE"""),557.0)</f>
        <v>557</v>
      </c>
      <c r="J2087" s="9" t="str">
        <f>IFERROR(__xludf.DUMMYFUNCTION("""COMPUTED_VALUE"""),"UK")</f>
        <v>UK</v>
      </c>
      <c r="K2087" s="8"/>
      <c r="L2087" s="12"/>
      <c r="M2087" s="13"/>
      <c r="N2087" s="13" t="str">
        <f>IFERROR(__xludf.DUMMYFUNCTION("IF(ISBLANK(M2087),"""",M2087*GOOGLEFINANCE(""USDGBP""))"),"")</f>
        <v/>
      </c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  <c r="FG2087" s="8"/>
      <c r="FH2087" s="8"/>
      <c r="FI2087" s="8"/>
      <c r="FJ2087" s="8"/>
      <c r="FK2087" s="8"/>
      <c r="FL2087" s="8"/>
      <c r="FM2087" s="8"/>
      <c r="FN2087" s="8"/>
      <c r="FO2087" s="8"/>
      <c r="FP2087" s="8"/>
      <c r="FQ2087" s="8"/>
      <c r="FR2087" s="8"/>
      <c r="FS2087" s="8"/>
      <c r="FT2087" s="8"/>
      <c r="FU2087" s="8"/>
      <c r="FV2087" s="8"/>
      <c r="FW2087" s="8"/>
      <c r="FX2087" s="8"/>
      <c r="FY2087" s="8"/>
      <c r="FZ2087" s="8"/>
      <c r="GA2087" s="8"/>
      <c r="GB2087" s="8"/>
      <c r="GC2087" s="8"/>
      <c r="GD2087" s="8"/>
      <c r="GE2087" s="8"/>
      <c r="GF2087" s="8"/>
      <c r="GG2087" s="8"/>
      <c r="GH2087" s="8"/>
      <c r="GI2087" s="8"/>
      <c r="GJ2087" s="8"/>
      <c r="GK2087" s="8"/>
      <c r="GL2087" s="8"/>
      <c r="GM2087" s="8"/>
      <c r="GN2087" s="8"/>
      <c r="GO2087" s="8"/>
      <c r="GP2087" s="8"/>
      <c r="GQ2087" s="8"/>
      <c r="GR2087" s="8"/>
      <c r="GS2087" s="8"/>
      <c r="GT2087" s="8"/>
      <c r="GU2087" s="8"/>
      <c r="GV2087" s="8"/>
      <c r="GW2087" s="8"/>
      <c r="GX2087" s="8"/>
    </row>
    <row r="2088">
      <c r="A2088" s="8" t="str">
        <f>IFERROR(__xludf.DUMMYFUNCTION("""COMPUTED_VALUE"""),"110840420150300750")</f>
        <v>110840420150300750</v>
      </c>
      <c r="B2088" s="9" t="str">
        <f>IFERROR(__xludf.DUMMYFUNCTION("""COMPUTED_VALUE"""),"France")</f>
        <v>France</v>
      </c>
      <c r="C2088" s="9" t="str">
        <f>IFERROR(__xludf.DUMMYFUNCTION("""COMPUTED_VALUE"""),"rhone")</f>
        <v>rhone</v>
      </c>
      <c r="D2088" s="9" t="str">
        <f>IFERROR(__xludf.DUMMYFUNCTION("""COMPUTED_VALUE"""),"Chateau de Beaucastel Hommage a Jacques Perrin, Chateauneuf-du-Pape")</f>
        <v>Chateau de Beaucastel Hommage a Jacques Perrin, Chateauneuf-du-Pape</v>
      </c>
      <c r="E2088" s="9">
        <f>IFERROR(__xludf.DUMMYFUNCTION("""COMPUTED_VALUE"""),2015.0)</f>
        <v>2015</v>
      </c>
      <c r="F2088" s="9">
        <f>IFERROR(__xludf.DUMMYFUNCTION("""COMPUTED_VALUE"""),750.0)</f>
        <v>750</v>
      </c>
      <c r="G2088" s="9">
        <f>IFERROR(__xludf.DUMMYFUNCTION("""COMPUTED_VALUE"""),3.0)</f>
        <v>3</v>
      </c>
      <c r="H2088" s="10">
        <f>IFERROR(__xludf.DUMMYFUNCTION("""COMPUTED_VALUE"""),1.0)</f>
        <v>1</v>
      </c>
      <c r="I2088" s="11">
        <f>IFERROR(__xludf.DUMMYFUNCTION("""COMPUTED_VALUE"""),691.0)</f>
        <v>691</v>
      </c>
      <c r="J2088" s="9" t="str">
        <f>IFERROR(__xludf.DUMMYFUNCTION("""COMPUTED_VALUE"""),"UK")</f>
        <v>UK</v>
      </c>
      <c r="K2088" s="8"/>
      <c r="L2088" s="12"/>
      <c r="M2088" s="13"/>
      <c r="N2088" s="13" t="str">
        <f>IFERROR(__xludf.DUMMYFUNCTION("IF(ISBLANK(M2088),"""",M2088*GOOGLEFINANCE(""USDGBP""))"),"")</f>
        <v/>
      </c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  <c r="FG2088" s="8"/>
      <c r="FH2088" s="8"/>
      <c r="FI2088" s="8"/>
      <c r="FJ2088" s="8"/>
      <c r="FK2088" s="8"/>
      <c r="FL2088" s="8"/>
      <c r="FM2088" s="8"/>
      <c r="FN2088" s="8"/>
      <c r="FO2088" s="8"/>
      <c r="FP2088" s="8"/>
      <c r="FQ2088" s="8"/>
      <c r="FR2088" s="8"/>
      <c r="FS2088" s="8"/>
      <c r="FT2088" s="8"/>
      <c r="FU2088" s="8"/>
      <c r="FV2088" s="8"/>
      <c r="FW2088" s="8"/>
      <c r="FX2088" s="8"/>
      <c r="FY2088" s="8"/>
      <c r="FZ2088" s="8"/>
      <c r="GA2088" s="8"/>
      <c r="GB2088" s="8"/>
      <c r="GC2088" s="8"/>
      <c r="GD2088" s="8"/>
      <c r="GE2088" s="8"/>
      <c r="GF2088" s="8"/>
      <c r="GG2088" s="8"/>
      <c r="GH2088" s="8"/>
      <c r="GI2088" s="8"/>
      <c r="GJ2088" s="8"/>
      <c r="GK2088" s="8"/>
      <c r="GL2088" s="8"/>
      <c r="GM2088" s="8"/>
      <c r="GN2088" s="8"/>
      <c r="GO2088" s="8"/>
      <c r="GP2088" s="8"/>
      <c r="GQ2088" s="8"/>
      <c r="GR2088" s="8"/>
      <c r="GS2088" s="8"/>
      <c r="GT2088" s="8"/>
      <c r="GU2088" s="8"/>
      <c r="GV2088" s="8"/>
      <c r="GW2088" s="8"/>
      <c r="GX2088" s="8"/>
    </row>
    <row r="2089">
      <c r="A2089" s="8" t="str">
        <f>IFERROR(__xludf.DUMMYFUNCTION("""COMPUTED_VALUE"""),"110840420160300750")</f>
        <v>110840420160300750</v>
      </c>
      <c r="B2089" s="9" t="str">
        <f>IFERROR(__xludf.DUMMYFUNCTION("""COMPUTED_VALUE"""),"France")</f>
        <v>France</v>
      </c>
      <c r="C2089" s="9" t="str">
        <f>IFERROR(__xludf.DUMMYFUNCTION("""COMPUTED_VALUE"""),"rhone")</f>
        <v>rhone</v>
      </c>
      <c r="D2089" s="9" t="str">
        <f>IFERROR(__xludf.DUMMYFUNCTION("""COMPUTED_VALUE"""),"Chateau de Beaucastel Hommage a Jacques Perrin, Chateauneuf-du-Pape")</f>
        <v>Chateau de Beaucastel Hommage a Jacques Perrin, Chateauneuf-du-Pape</v>
      </c>
      <c r="E2089" s="9">
        <f>IFERROR(__xludf.DUMMYFUNCTION("""COMPUTED_VALUE"""),2016.0)</f>
        <v>2016</v>
      </c>
      <c r="F2089" s="9">
        <f>IFERROR(__xludf.DUMMYFUNCTION("""COMPUTED_VALUE"""),750.0)</f>
        <v>750</v>
      </c>
      <c r="G2089" s="9">
        <f>IFERROR(__xludf.DUMMYFUNCTION("""COMPUTED_VALUE"""),3.0)</f>
        <v>3</v>
      </c>
      <c r="H2089" s="10">
        <f>IFERROR(__xludf.DUMMYFUNCTION("""COMPUTED_VALUE"""),4.0)</f>
        <v>4</v>
      </c>
      <c r="I2089" s="11">
        <f>IFERROR(__xludf.DUMMYFUNCTION("""COMPUTED_VALUE"""),855.0)</f>
        <v>855</v>
      </c>
      <c r="J2089" s="9" t="str">
        <f>IFERROR(__xludf.DUMMYFUNCTION("""COMPUTED_VALUE"""),"UK")</f>
        <v>UK</v>
      </c>
      <c r="K2089" s="8"/>
      <c r="L2089" s="12"/>
      <c r="M2089" s="13"/>
      <c r="N2089" s="13" t="str">
        <f>IFERROR(__xludf.DUMMYFUNCTION("IF(ISBLANK(M2089),"""",M2089*GOOGLEFINANCE(""USDGBP""))"),"")</f>
        <v/>
      </c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  <c r="FG2089" s="8"/>
      <c r="FH2089" s="8"/>
      <c r="FI2089" s="8"/>
      <c r="FJ2089" s="8"/>
      <c r="FK2089" s="8"/>
      <c r="FL2089" s="8"/>
      <c r="FM2089" s="8"/>
      <c r="FN2089" s="8"/>
      <c r="FO2089" s="8"/>
      <c r="FP2089" s="8"/>
      <c r="FQ2089" s="8"/>
      <c r="FR2089" s="8"/>
      <c r="FS2089" s="8"/>
      <c r="FT2089" s="8"/>
      <c r="FU2089" s="8"/>
      <c r="FV2089" s="8"/>
      <c r="FW2089" s="8"/>
      <c r="FX2089" s="8"/>
      <c r="FY2089" s="8"/>
      <c r="FZ2089" s="8"/>
      <c r="GA2089" s="8"/>
      <c r="GB2089" s="8"/>
      <c r="GC2089" s="8"/>
      <c r="GD2089" s="8"/>
      <c r="GE2089" s="8"/>
      <c r="GF2089" s="8"/>
      <c r="GG2089" s="8"/>
      <c r="GH2089" s="8"/>
      <c r="GI2089" s="8"/>
      <c r="GJ2089" s="8"/>
      <c r="GK2089" s="8"/>
      <c r="GL2089" s="8"/>
      <c r="GM2089" s="8"/>
      <c r="GN2089" s="8"/>
      <c r="GO2089" s="8"/>
      <c r="GP2089" s="8"/>
      <c r="GQ2089" s="8"/>
      <c r="GR2089" s="8"/>
      <c r="GS2089" s="8"/>
      <c r="GT2089" s="8"/>
      <c r="GU2089" s="8"/>
      <c r="GV2089" s="8"/>
      <c r="GW2089" s="8"/>
      <c r="GX2089" s="8"/>
    </row>
    <row r="2090">
      <c r="A2090" s="8" t="str">
        <f>IFERROR(__xludf.DUMMYFUNCTION("""COMPUTED_VALUE"""),"110840420170300750")</f>
        <v>110840420170300750</v>
      </c>
      <c r="B2090" s="9" t="str">
        <f>IFERROR(__xludf.DUMMYFUNCTION("""COMPUTED_VALUE"""),"France")</f>
        <v>France</v>
      </c>
      <c r="C2090" s="9" t="str">
        <f>IFERROR(__xludf.DUMMYFUNCTION("""COMPUTED_VALUE"""),"rhone")</f>
        <v>rhone</v>
      </c>
      <c r="D2090" s="9" t="str">
        <f>IFERROR(__xludf.DUMMYFUNCTION("""COMPUTED_VALUE"""),"Chateau de Beaucastel Hommage a Jacques Perrin, Chateauneuf-du-Pape")</f>
        <v>Chateau de Beaucastel Hommage a Jacques Perrin, Chateauneuf-du-Pape</v>
      </c>
      <c r="E2090" s="9">
        <f>IFERROR(__xludf.DUMMYFUNCTION("""COMPUTED_VALUE"""),2017.0)</f>
        <v>2017</v>
      </c>
      <c r="F2090" s="9">
        <f>IFERROR(__xludf.DUMMYFUNCTION("""COMPUTED_VALUE"""),750.0)</f>
        <v>750</v>
      </c>
      <c r="G2090" s="9">
        <f>IFERROR(__xludf.DUMMYFUNCTION("""COMPUTED_VALUE"""),3.0)</f>
        <v>3</v>
      </c>
      <c r="H2090" s="10">
        <f>IFERROR(__xludf.DUMMYFUNCTION("""COMPUTED_VALUE"""),3.0)</f>
        <v>3</v>
      </c>
      <c r="I2090" s="11">
        <f>IFERROR(__xludf.DUMMYFUNCTION("""COMPUTED_VALUE"""),717.0)</f>
        <v>717</v>
      </c>
      <c r="J2090" s="9" t="str">
        <f>IFERROR(__xludf.DUMMYFUNCTION("""COMPUTED_VALUE"""),"UK")</f>
        <v>UK</v>
      </c>
      <c r="K2090" s="8"/>
      <c r="L2090" s="12"/>
      <c r="M2090" s="13"/>
      <c r="N2090" s="13" t="str">
        <f>IFERROR(__xludf.DUMMYFUNCTION("IF(ISBLANK(M2090),"""",M2090*GOOGLEFINANCE(""USDGBP""))"),"")</f>
        <v/>
      </c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  <c r="FG2090" s="8"/>
      <c r="FH2090" s="8"/>
      <c r="FI2090" s="8"/>
      <c r="FJ2090" s="8"/>
      <c r="FK2090" s="8"/>
      <c r="FL2090" s="8"/>
      <c r="FM2090" s="8"/>
      <c r="FN2090" s="8"/>
      <c r="FO2090" s="8"/>
      <c r="FP2090" s="8"/>
      <c r="FQ2090" s="8"/>
      <c r="FR2090" s="8"/>
      <c r="FS2090" s="8"/>
      <c r="FT2090" s="8"/>
      <c r="FU2090" s="8"/>
      <c r="FV2090" s="8"/>
      <c r="FW2090" s="8"/>
      <c r="FX2090" s="8"/>
      <c r="FY2090" s="8"/>
      <c r="FZ2090" s="8"/>
      <c r="GA2090" s="8"/>
      <c r="GB2090" s="8"/>
      <c r="GC2090" s="8"/>
      <c r="GD2090" s="8"/>
      <c r="GE2090" s="8"/>
      <c r="GF2090" s="8"/>
      <c r="GG2090" s="8"/>
      <c r="GH2090" s="8"/>
      <c r="GI2090" s="8"/>
      <c r="GJ2090" s="8"/>
      <c r="GK2090" s="8"/>
      <c r="GL2090" s="8"/>
      <c r="GM2090" s="8"/>
      <c r="GN2090" s="8"/>
      <c r="GO2090" s="8"/>
      <c r="GP2090" s="8"/>
      <c r="GQ2090" s="8"/>
      <c r="GR2090" s="8"/>
      <c r="GS2090" s="8"/>
      <c r="GT2090" s="8"/>
      <c r="GU2090" s="8"/>
      <c r="GV2090" s="8"/>
      <c r="GW2090" s="8"/>
      <c r="GX2090" s="8"/>
    </row>
    <row r="2091">
      <c r="A2091" s="8" t="str">
        <f>IFERROR(__xludf.DUMMYFUNCTION("""COMPUTED_VALUE"""),"110840420180300750")</f>
        <v>110840420180300750</v>
      </c>
      <c r="B2091" s="9" t="str">
        <f>IFERROR(__xludf.DUMMYFUNCTION("""COMPUTED_VALUE"""),"France")</f>
        <v>France</v>
      </c>
      <c r="C2091" s="9" t="str">
        <f>IFERROR(__xludf.DUMMYFUNCTION("""COMPUTED_VALUE"""),"rhone")</f>
        <v>rhone</v>
      </c>
      <c r="D2091" s="9" t="str">
        <f>IFERROR(__xludf.DUMMYFUNCTION("""COMPUTED_VALUE"""),"Chateau de Beaucastel Hommage a Jacques Perrin, Chateauneuf-du-Pape")</f>
        <v>Chateau de Beaucastel Hommage a Jacques Perrin, Chateauneuf-du-Pape</v>
      </c>
      <c r="E2091" s="9">
        <f>IFERROR(__xludf.DUMMYFUNCTION("""COMPUTED_VALUE"""),2018.0)</f>
        <v>2018</v>
      </c>
      <c r="F2091" s="9">
        <f>IFERROR(__xludf.DUMMYFUNCTION("""COMPUTED_VALUE"""),750.0)</f>
        <v>750</v>
      </c>
      <c r="G2091" s="9">
        <f>IFERROR(__xludf.DUMMYFUNCTION("""COMPUTED_VALUE"""),3.0)</f>
        <v>3</v>
      </c>
      <c r="H2091" s="10">
        <f>IFERROR(__xludf.DUMMYFUNCTION("""COMPUTED_VALUE"""),1.0)</f>
        <v>1</v>
      </c>
      <c r="I2091" s="11">
        <f>IFERROR(__xludf.DUMMYFUNCTION("""COMPUTED_VALUE"""),641.0)</f>
        <v>641</v>
      </c>
      <c r="J2091" s="9" t="str">
        <f>IFERROR(__xludf.DUMMYFUNCTION("""COMPUTED_VALUE"""),"UK")</f>
        <v>UK</v>
      </c>
      <c r="K2091" s="8"/>
      <c r="L2091" s="12"/>
      <c r="M2091" s="13"/>
      <c r="N2091" s="13" t="str">
        <f>IFERROR(__xludf.DUMMYFUNCTION("IF(ISBLANK(M2091),"""",M2091*GOOGLEFINANCE(""USDGBP""))"),"")</f>
        <v/>
      </c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  <c r="FG2091" s="8"/>
      <c r="FH2091" s="8"/>
      <c r="FI2091" s="8"/>
      <c r="FJ2091" s="8"/>
      <c r="FK2091" s="8"/>
      <c r="FL2091" s="8"/>
      <c r="FM2091" s="8"/>
      <c r="FN2091" s="8"/>
      <c r="FO2091" s="8"/>
      <c r="FP2091" s="8"/>
      <c r="FQ2091" s="8"/>
      <c r="FR2091" s="8"/>
      <c r="FS2091" s="8"/>
      <c r="FT2091" s="8"/>
      <c r="FU2091" s="8"/>
      <c r="FV2091" s="8"/>
      <c r="FW2091" s="8"/>
      <c r="FX2091" s="8"/>
      <c r="FY2091" s="8"/>
      <c r="FZ2091" s="8"/>
      <c r="GA2091" s="8"/>
      <c r="GB2091" s="8"/>
      <c r="GC2091" s="8"/>
      <c r="GD2091" s="8"/>
      <c r="GE2091" s="8"/>
      <c r="GF2091" s="8"/>
      <c r="GG2091" s="8"/>
      <c r="GH2091" s="8"/>
      <c r="GI2091" s="8"/>
      <c r="GJ2091" s="8"/>
      <c r="GK2091" s="8"/>
      <c r="GL2091" s="8"/>
      <c r="GM2091" s="8"/>
      <c r="GN2091" s="8"/>
      <c r="GO2091" s="8"/>
      <c r="GP2091" s="8"/>
      <c r="GQ2091" s="8"/>
      <c r="GR2091" s="8"/>
      <c r="GS2091" s="8"/>
      <c r="GT2091" s="8"/>
      <c r="GU2091" s="8"/>
      <c r="GV2091" s="8"/>
      <c r="GW2091" s="8"/>
      <c r="GX2091" s="8"/>
    </row>
    <row r="2092">
      <c r="A2092" s="8" t="str">
        <f>IFERROR(__xludf.DUMMYFUNCTION("""COMPUTED_VALUE"""),"110840420180101500")</f>
        <v>110840420180101500</v>
      </c>
      <c r="B2092" s="9" t="str">
        <f>IFERROR(__xludf.DUMMYFUNCTION("""COMPUTED_VALUE"""),"France")</f>
        <v>France</v>
      </c>
      <c r="C2092" s="9" t="str">
        <f>IFERROR(__xludf.DUMMYFUNCTION("""COMPUTED_VALUE"""),"rhone")</f>
        <v>rhone</v>
      </c>
      <c r="D2092" s="9" t="str">
        <f>IFERROR(__xludf.DUMMYFUNCTION("""COMPUTED_VALUE"""),"Chateau de Beaucastel Hommage a Jacques Perrin, Chateauneuf-du-Pape")</f>
        <v>Chateau de Beaucastel Hommage a Jacques Perrin, Chateauneuf-du-Pape</v>
      </c>
      <c r="E2092" s="9">
        <f>IFERROR(__xludf.DUMMYFUNCTION("""COMPUTED_VALUE"""),2018.0)</f>
        <v>2018</v>
      </c>
      <c r="F2092" s="9">
        <f>IFERROR(__xludf.DUMMYFUNCTION("""COMPUTED_VALUE"""),1500.0)</f>
        <v>1500</v>
      </c>
      <c r="G2092" s="9">
        <f>IFERROR(__xludf.DUMMYFUNCTION("""COMPUTED_VALUE"""),1.0)</f>
        <v>1</v>
      </c>
      <c r="H2092" s="10">
        <f>IFERROR(__xludf.DUMMYFUNCTION("""COMPUTED_VALUE"""),1.0)</f>
        <v>1</v>
      </c>
      <c r="I2092" s="11">
        <f>IFERROR(__xludf.DUMMYFUNCTION("""COMPUTED_VALUE"""),265.0)</f>
        <v>265</v>
      </c>
      <c r="J2092" s="9" t="str">
        <f>IFERROR(__xludf.DUMMYFUNCTION("""COMPUTED_VALUE"""),"UK")</f>
        <v>UK</v>
      </c>
      <c r="K2092" s="8"/>
      <c r="L2092" s="12"/>
      <c r="M2092" s="13"/>
      <c r="N2092" s="13" t="str">
        <f>IFERROR(__xludf.DUMMYFUNCTION("IF(ISBLANK(M2092),"""",M2092*GOOGLEFINANCE(""USDGBP""))"),"")</f>
        <v/>
      </c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  <c r="FG2092" s="8"/>
      <c r="FH2092" s="8"/>
      <c r="FI2092" s="8"/>
      <c r="FJ2092" s="8"/>
      <c r="FK2092" s="8"/>
      <c r="FL2092" s="8"/>
      <c r="FM2092" s="8"/>
      <c r="FN2092" s="8"/>
      <c r="FO2092" s="8"/>
      <c r="FP2092" s="8"/>
      <c r="FQ2092" s="8"/>
      <c r="FR2092" s="8"/>
      <c r="FS2092" s="8"/>
      <c r="FT2092" s="8"/>
      <c r="FU2092" s="8"/>
      <c r="FV2092" s="8"/>
      <c r="FW2092" s="8"/>
      <c r="FX2092" s="8"/>
      <c r="FY2092" s="8"/>
      <c r="FZ2092" s="8"/>
      <c r="GA2092" s="8"/>
      <c r="GB2092" s="8"/>
      <c r="GC2092" s="8"/>
      <c r="GD2092" s="8"/>
      <c r="GE2092" s="8"/>
      <c r="GF2092" s="8"/>
      <c r="GG2092" s="8"/>
      <c r="GH2092" s="8"/>
      <c r="GI2092" s="8"/>
      <c r="GJ2092" s="8"/>
      <c r="GK2092" s="8"/>
      <c r="GL2092" s="8"/>
      <c r="GM2092" s="8"/>
      <c r="GN2092" s="8"/>
      <c r="GO2092" s="8"/>
      <c r="GP2092" s="8"/>
      <c r="GQ2092" s="8"/>
      <c r="GR2092" s="8"/>
      <c r="GS2092" s="8"/>
      <c r="GT2092" s="8"/>
      <c r="GU2092" s="8"/>
      <c r="GV2092" s="8"/>
      <c r="GW2092" s="8"/>
      <c r="GX2092" s="8"/>
    </row>
    <row r="2093">
      <c r="A2093" s="8" t="str">
        <f>IFERROR(__xludf.DUMMYFUNCTION("""COMPUTED_VALUE"""),"110838720090600750")</f>
        <v>110838720090600750</v>
      </c>
      <c r="B2093" s="9" t="str">
        <f>IFERROR(__xludf.DUMMYFUNCTION("""COMPUTED_VALUE"""),"France")</f>
        <v>France</v>
      </c>
      <c r="C2093" s="9" t="str">
        <f>IFERROR(__xludf.DUMMYFUNCTION("""COMPUTED_VALUE"""),"rhone")</f>
        <v>rhone</v>
      </c>
      <c r="D2093" s="9" t="str">
        <f>IFERROR(__xludf.DUMMYFUNCTION("""COMPUTED_VALUE"""),"Chateau de Beaucastel Rouge, Chateauneuf-du-Pape")</f>
        <v>Chateau de Beaucastel Rouge, Chateauneuf-du-Pape</v>
      </c>
      <c r="E2093" s="9">
        <f>IFERROR(__xludf.DUMMYFUNCTION("""COMPUTED_VALUE"""),2009.0)</f>
        <v>2009</v>
      </c>
      <c r="F2093" s="9">
        <f>IFERROR(__xludf.DUMMYFUNCTION("""COMPUTED_VALUE"""),750.0)</f>
        <v>750</v>
      </c>
      <c r="G2093" s="9">
        <f>IFERROR(__xludf.DUMMYFUNCTION("""COMPUTED_VALUE"""),6.0)</f>
        <v>6</v>
      </c>
      <c r="H2093" s="10">
        <f>IFERROR(__xludf.DUMMYFUNCTION("""COMPUTED_VALUE"""),2.0)</f>
        <v>2</v>
      </c>
      <c r="I2093" s="11">
        <f>IFERROR(__xludf.DUMMYFUNCTION("""COMPUTED_VALUE"""),386.0)</f>
        <v>386</v>
      </c>
      <c r="J2093" s="9" t="str">
        <f>IFERROR(__xludf.DUMMYFUNCTION("""COMPUTED_VALUE"""),"UK")</f>
        <v>UK</v>
      </c>
      <c r="K2093" s="8"/>
      <c r="L2093" s="12"/>
      <c r="M2093" s="13"/>
      <c r="N2093" s="13" t="str">
        <f>IFERROR(__xludf.DUMMYFUNCTION("IF(ISBLANK(M2093),"""",M2093*GOOGLEFINANCE(""USDGBP""))"),"")</f>
        <v/>
      </c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  <c r="FG2093" s="8"/>
      <c r="FH2093" s="8"/>
      <c r="FI2093" s="8"/>
      <c r="FJ2093" s="8"/>
      <c r="FK2093" s="8"/>
      <c r="FL2093" s="8"/>
      <c r="FM2093" s="8"/>
      <c r="FN2093" s="8"/>
      <c r="FO2093" s="8"/>
      <c r="FP2093" s="8"/>
      <c r="FQ2093" s="8"/>
      <c r="FR2093" s="8"/>
      <c r="FS2093" s="8"/>
      <c r="FT2093" s="8"/>
      <c r="FU2093" s="8"/>
      <c r="FV2093" s="8"/>
      <c r="FW2093" s="8"/>
      <c r="FX2093" s="8"/>
      <c r="FY2093" s="8"/>
      <c r="FZ2093" s="8"/>
      <c r="GA2093" s="8"/>
      <c r="GB2093" s="8"/>
      <c r="GC2093" s="8"/>
      <c r="GD2093" s="8"/>
      <c r="GE2093" s="8"/>
      <c r="GF2093" s="8"/>
      <c r="GG2093" s="8"/>
      <c r="GH2093" s="8"/>
      <c r="GI2093" s="8"/>
      <c r="GJ2093" s="8"/>
      <c r="GK2093" s="8"/>
      <c r="GL2093" s="8"/>
      <c r="GM2093" s="8"/>
      <c r="GN2093" s="8"/>
      <c r="GO2093" s="8"/>
      <c r="GP2093" s="8"/>
      <c r="GQ2093" s="8"/>
      <c r="GR2093" s="8"/>
      <c r="GS2093" s="8"/>
      <c r="GT2093" s="8"/>
      <c r="GU2093" s="8"/>
      <c r="GV2093" s="8"/>
      <c r="GW2093" s="8"/>
      <c r="GX2093" s="8"/>
    </row>
    <row r="2094">
      <c r="A2094" s="8" t="str">
        <f>IFERROR(__xludf.DUMMYFUNCTION("""COMPUTED_VALUE"""),"110838720170600750")</f>
        <v>110838720170600750</v>
      </c>
      <c r="B2094" s="9" t="str">
        <f>IFERROR(__xludf.DUMMYFUNCTION("""COMPUTED_VALUE"""),"France")</f>
        <v>France</v>
      </c>
      <c r="C2094" s="9" t="str">
        <f>IFERROR(__xludf.DUMMYFUNCTION("""COMPUTED_VALUE"""),"rhone")</f>
        <v>rhone</v>
      </c>
      <c r="D2094" s="9" t="str">
        <f>IFERROR(__xludf.DUMMYFUNCTION("""COMPUTED_VALUE"""),"Chateau de Beaucastel Rouge, Chateauneuf-du-Pape")</f>
        <v>Chateau de Beaucastel Rouge, Chateauneuf-du-Pape</v>
      </c>
      <c r="E2094" s="9">
        <f>IFERROR(__xludf.DUMMYFUNCTION("""COMPUTED_VALUE"""),2017.0)</f>
        <v>2017</v>
      </c>
      <c r="F2094" s="9">
        <f>IFERROR(__xludf.DUMMYFUNCTION("""COMPUTED_VALUE"""),750.0)</f>
        <v>750</v>
      </c>
      <c r="G2094" s="9">
        <f>IFERROR(__xludf.DUMMYFUNCTION("""COMPUTED_VALUE"""),6.0)</f>
        <v>6</v>
      </c>
      <c r="H2094" s="10">
        <f>IFERROR(__xludf.DUMMYFUNCTION("""COMPUTED_VALUE"""),1.0)</f>
        <v>1</v>
      </c>
      <c r="I2094" s="11">
        <f>IFERROR(__xludf.DUMMYFUNCTION("""COMPUTED_VALUE"""),297.0)</f>
        <v>297</v>
      </c>
      <c r="J2094" s="9" t="str">
        <f>IFERROR(__xludf.DUMMYFUNCTION("""COMPUTED_VALUE"""),"UK")</f>
        <v>UK</v>
      </c>
      <c r="K2094" s="8"/>
      <c r="L2094" s="12"/>
      <c r="M2094" s="13"/>
      <c r="N2094" s="13" t="str">
        <f>IFERROR(__xludf.DUMMYFUNCTION("IF(ISBLANK(M2094),"""",M2094*GOOGLEFINANCE(""USDGBP""))"),"")</f>
        <v/>
      </c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  <c r="FG2094" s="8"/>
      <c r="FH2094" s="8"/>
      <c r="FI2094" s="8"/>
      <c r="FJ2094" s="8"/>
      <c r="FK2094" s="8"/>
      <c r="FL2094" s="8"/>
      <c r="FM2094" s="8"/>
      <c r="FN2094" s="8"/>
      <c r="FO2094" s="8"/>
      <c r="FP2094" s="8"/>
      <c r="FQ2094" s="8"/>
      <c r="FR2094" s="8"/>
      <c r="FS2094" s="8"/>
      <c r="FT2094" s="8"/>
      <c r="FU2094" s="8"/>
      <c r="FV2094" s="8"/>
      <c r="FW2094" s="8"/>
      <c r="FX2094" s="8"/>
      <c r="FY2094" s="8"/>
      <c r="FZ2094" s="8"/>
      <c r="GA2094" s="8"/>
      <c r="GB2094" s="8"/>
      <c r="GC2094" s="8"/>
      <c r="GD2094" s="8"/>
      <c r="GE2094" s="8"/>
      <c r="GF2094" s="8"/>
      <c r="GG2094" s="8"/>
      <c r="GH2094" s="8"/>
      <c r="GI2094" s="8"/>
      <c r="GJ2094" s="8"/>
      <c r="GK2094" s="8"/>
      <c r="GL2094" s="8"/>
      <c r="GM2094" s="8"/>
      <c r="GN2094" s="8"/>
      <c r="GO2094" s="8"/>
      <c r="GP2094" s="8"/>
      <c r="GQ2094" s="8"/>
      <c r="GR2094" s="8"/>
      <c r="GS2094" s="8"/>
      <c r="GT2094" s="8"/>
      <c r="GU2094" s="8"/>
      <c r="GV2094" s="8"/>
      <c r="GW2094" s="8"/>
      <c r="GX2094" s="8"/>
    </row>
    <row r="2095">
      <c r="A2095" s="8" t="str">
        <f>IFERROR(__xludf.DUMMYFUNCTION("""COMPUTED_VALUE"""),"111690020190600750")</f>
        <v>111690020190600750</v>
      </c>
      <c r="B2095" s="9" t="str">
        <f>IFERROR(__xludf.DUMMYFUNCTION("""COMPUTED_VALUE"""),"France")</f>
        <v>France</v>
      </c>
      <c r="C2095" s="9" t="str">
        <f>IFERROR(__xludf.DUMMYFUNCTION("""COMPUTED_VALUE"""),"rhone")</f>
        <v>rhone</v>
      </c>
      <c r="D2095" s="9" t="str">
        <f>IFERROR(__xludf.DUMMYFUNCTION("""COMPUTED_VALUE"""),"Chateau de Saint Cosme, Gigondas, Le Claux")</f>
        <v>Chateau de Saint Cosme, Gigondas, Le Claux</v>
      </c>
      <c r="E2095" s="9">
        <f>IFERROR(__xludf.DUMMYFUNCTION("""COMPUTED_VALUE"""),2019.0)</f>
        <v>2019</v>
      </c>
      <c r="F2095" s="9">
        <f>IFERROR(__xludf.DUMMYFUNCTION("""COMPUTED_VALUE"""),750.0)</f>
        <v>750</v>
      </c>
      <c r="G2095" s="9">
        <f>IFERROR(__xludf.DUMMYFUNCTION("""COMPUTED_VALUE"""),6.0)</f>
        <v>6</v>
      </c>
      <c r="H2095" s="10">
        <f>IFERROR(__xludf.DUMMYFUNCTION("""COMPUTED_VALUE"""),1.0)</f>
        <v>1</v>
      </c>
      <c r="I2095" s="11">
        <f>IFERROR(__xludf.DUMMYFUNCTION("""COMPUTED_VALUE"""),409.0)</f>
        <v>409</v>
      </c>
      <c r="J2095" s="9" t="str">
        <f>IFERROR(__xludf.DUMMYFUNCTION("""COMPUTED_VALUE"""),"UK")</f>
        <v>UK</v>
      </c>
      <c r="K2095" s="8"/>
      <c r="L2095" s="12"/>
      <c r="M2095" s="13"/>
      <c r="N2095" s="13" t="str">
        <f>IFERROR(__xludf.DUMMYFUNCTION("IF(ISBLANK(M2095),"""",M2095*GOOGLEFINANCE(""USDGBP""))"),"")</f>
        <v/>
      </c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  <c r="FG2095" s="8"/>
      <c r="FH2095" s="8"/>
      <c r="FI2095" s="8"/>
      <c r="FJ2095" s="8"/>
      <c r="FK2095" s="8"/>
      <c r="FL2095" s="8"/>
      <c r="FM2095" s="8"/>
      <c r="FN2095" s="8"/>
      <c r="FO2095" s="8"/>
      <c r="FP2095" s="8"/>
      <c r="FQ2095" s="8"/>
      <c r="FR2095" s="8"/>
      <c r="FS2095" s="8"/>
      <c r="FT2095" s="8"/>
      <c r="FU2095" s="8"/>
      <c r="FV2095" s="8"/>
      <c r="FW2095" s="8"/>
      <c r="FX2095" s="8"/>
      <c r="FY2095" s="8"/>
      <c r="FZ2095" s="8"/>
      <c r="GA2095" s="8"/>
      <c r="GB2095" s="8"/>
      <c r="GC2095" s="8"/>
      <c r="GD2095" s="8"/>
      <c r="GE2095" s="8"/>
      <c r="GF2095" s="8"/>
      <c r="GG2095" s="8"/>
      <c r="GH2095" s="8"/>
      <c r="GI2095" s="8"/>
      <c r="GJ2095" s="8"/>
      <c r="GK2095" s="8"/>
      <c r="GL2095" s="8"/>
      <c r="GM2095" s="8"/>
      <c r="GN2095" s="8"/>
      <c r="GO2095" s="8"/>
      <c r="GP2095" s="8"/>
      <c r="GQ2095" s="8"/>
      <c r="GR2095" s="8"/>
      <c r="GS2095" s="8"/>
      <c r="GT2095" s="8"/>
      <c r="GU2095" s="8"/>
      <c r="GV2095" s="8"/>
      <c r="GW2095" s="8"/>
      <c r="GX2095" s="8"/>
    </row>
    <row r="2096">
      <c r="A2096" s="8" t="str">
        <f>IFERROR(__xludf.DUMMYFUNCTION("""COMPUTED_VALUE"""),"161508320160101500")</f>
        <v>161508320160101500</v>
      </c>
      <c r="B2096" s="9" t="str">
        <f>IFERROR(__xludf.DUMMYFUNCTION("""COMPUTED_VALUE"""),"France")</f>
        <v>France</v>
      </c>
      <c r="C2096" s="9" t="str">
        <f>IFERROR(__xludf.DUMMYFUNCTION("""COMPUTED_VALUE"""),"rhone")</f>
        <v>rhone</v>
      </c>
      <c r="D2096" s="9" t="str">
        <f>IFERROR(__xludf.DUMMYFUNCTION("""COMPUTED_VALUE"""),"Chimere, Chateauneuf-du-Pape")</f>
        <v>Chimere, Chateauneuf-du-Pape</v>
      </c>
      <c r="E2096" s="9">
        <f>IFERROR(__xludf.DUMMYFUNCTION("""COMPUTED_VALUE"""),2016.0)</f>
        <v>2016</v>
      </c>
      <c r="F2096" s="9">
        <f>IFERROR(__xludf.DUMMYFUNCTION("""COMPUTED_VALUE"""),1500.0)</f>
        <v>1500</v>
      </c>
      <c r="G2096" s="9">
        <f>IFERROR(__xludf.DUMMYFUNCTION("""COMPUTED_VALUE"""),1.0)</f>
        <v>1</v>
      </c>
      <c r="H2096" s="10">
        <f>IFERROR(__xludf.DUMMYFUNCTION("""COMPUTED_VALUE"""),1.0)</f>
        <v>1</v>
      </c>
      <c r="I2096" s="11">
        <f>IFERROR(__xludf.DUMMYFUNCTION("""COMPUTED_VALUE"""),1655.0)</f>
        <v>1655</v>
      </c>
      <c r="J2096" s="9" t="str">
        <f>IFERROR(__xludf.DUMMYFUNCTION("""COMPUTED_VALUE"""),"UK")</f>
        <v>UK</v>
      </c>
      <c r="K2096" s="8"/>
      <c r="L2096" s="12"/>
      <c r="M2096" s="13"/>
      <c r="N2096" s="13" t="str">
        <f>IFERROR(__xludf.DUMMYFUNCTION("IF(ISBLANK(M2096),"""",M2096*GOOGLEFINANCE(""USDGBP""))"),"")</f>
        <v/>
      </c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  <c r="FG2096" s="8"/>
      <c r="FH2096" s="8"/>
      <c r="FI2096" s="8"/>
      <c r="FJ2096" s="8"/>
      <c r="FK2096" s="8"/>
      <c r="FL2096" s="8"/>
      <c r="FM2096" s="8"/>
      <c r="FN2096" s="8"/>
      <c r="FO2096" s="8"/>
      <c r="FP2096" s="8"/>
      <c r="FQ2096" s="8"/>
      <c r="FR2096" s="8"/>
      <c r="FS2096" s="8"/>
      <c r="FT2096" s="8"/>
      <c r="FU2096" s="8"/>
      <c r="FV2096" s="8"/>
      <c r="FW2096" s="8"/>
      <c r="FX2096" s="8"/>
      <c r="FY2096" s="8"/>
      <c r="FZ2096" s="8"/>
      <c r="GA2096" s="8"/>
      <c r="GB2096" s="8"/>
      <c r="GC2096" s="8"/>
      <c r="GD2096" s="8"/>
      <c r="GE2096" s="8"/>
      <c r="GF2096" s="8"/>
      <c r="GG2096" s="8"/>
      <c r="GH2096" s="8"/>
      <c r="GI2096" s="8"/>
      <c r="GJ2096" s="8"/>
      <c r="GK2096" s="8"/>
      <c r="GL2096" s="8"/>
      <c r="GM2096" s="8"/>
      <c r="GN2096" s="8"/>
      <c r="GO2096" s="8"/>
      <c r="GP2096" s="8"/>
      <c r="GQ2096" s="8"/>
      <c r="GR2096" s="8"/>
      <c r="GS2096" s="8"/>
      <c r="GT2096" s="8"/>
      <c r="GU2096" s="8"/>
      <c r="GV2096" s="8"/>
      <c r="GW2096" s="8"/>
      <c r="GX2096" s="8"/>
    </row>
    <row r="2097">
      <c r="A2097" s="8" t="str">
        <f>IFERROR(__xludf.DUMMYFUNCTION("""COMPUTED_VALUE"""),"112629520160600750")</f>
        <v>112629520160600750</v>
      </c>
      <c r="B2097" s="9" t="str">
        <f>IFERROR(__xludf.DUMMYFUNCTION("""COMPUTED_VALUE"""),"France")</f>
        <v>France</v>
      </c>
      <c r="C2097" s="9" t="str">
        <f>IFERROR(__xludf.DUMMYFUNCTION("""COMPUTED_VALUE"""),"rhone")</f>
        <v>rhone</v>
      </c>
      <c r="D2097" s="9" t="str">
        <f>IFERROR(__xludf.DUMMYFUNCTION("""COMPUTED_VALUE"""),"Clos Saint Jean, Chateauneuf-du-Pape, Deus ex Machina")</f>
        <v>Clos Saint Jean, Chateauneuf-du-Pape, Deus ex Machina</v>
      </c>
      <c r="E2097" s="9">
        <f>IFERROR(__xludf.DUMMYFUNCTION("""COMPUTED_VALUE"""),2016.0)</f>
        <v>2016</v>
      </c>
      <c r="F2097" s="9">
        <f>IFERROR(__xludf.DUMMYFUNCTION("""COMPUTED_VALUE"""),750.0)</f>
        <v>750</v>
      </c>
      <c r="G2097" s="9">
        <f>IFERROR(__xludf.DUMMYFUNCTION("""COMPUTED_VALUE"""),6.0)</f>
        <v>6</v>
      </c>
      <c r="H2097" s="10">
        <f>IFERROR(__xludf.DUMMYFUNCTION("""COMPUTED_VALUE"""),1.0)</f>
        <v>1</v>
      </c>
      <c r="I2097" s="11">
        <f>IFERROR(__xludf.DUMMYFUNCTION("""COMPUTED_VALUE"""),745.0)</f>
        <v>745</v>
      </c>
      <c r="J2097" s="9" t="str">
        <f>IFERROR(__xludf.DUMMYFUNCTION("""COMPUTED_VALUE"""),"UK")</f>
        <v>UK</v>
      </c>
      <c r="K2097" s="8"/>
      <c r="L2097" s="12"/>
      <c r="M2097" s="13"/>
      <c r="N2097" s="13" t="str">
        <f>IFERROR(__xludf.DUMMYFUNCTION("IF(ISBLANK(M2097),"""",M2097*GOOGLEFINANCE(""USDGBP""))"),"")</f>
        <v/>
      </c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  <c r="FG2097" s="8"/>
      <c r="FH2097" s="8"/>
      <c r="FI2097" s="8"/>
      <c r="FJ2097" s="8"/>
      <c r="FK2097" s="8"/>
      <c r="FL2097" s="8"/>
      <c r="FM2097" s="8"/>
      <c r="FN2097" s="8"/>
      <c r="FO2097" s="8"/>
      <c r="FP2097" s="8"/>
      <c r="FQ2097" s="8"/>
      <c r="FR2097" s="8"/>
      <c r="FS2097" s="8"/>
      <c r="FT2097" s="8"/>
      <c r="FU2097" s="8"/>
      <c r="FV2097" s="8"/>
      <c r="FW2097" s="8"/>
      <c r="FX2097" s="8"/>
      <c r="FY2097" s="8"/>
      <c r="FZ2097" s="8"/>
      <c r="GA2097" s="8"/>
      <c r="GB2097" s="8"/>
      <c r="GC2097" s="8"/>
      <c r="GD2097" s="8"/>
      <c r="GE2097" s="8"/>
      <c r="GF2097" s="8"/>
      <c r="GG2097" s="8"/>
      <c r="GH2097" s="8"/>
      <c r="GI2097" s="8"/>
      <c r="GJ2097" s="8"/>
      <c r="GK2097" s="8"/>
      <c r="GL2097" s="8"/>
      <c r="GM2097" s="8"/>
      <c r="GN2097" s="8"/>
      <c r="GO2097" s="8"/>
      <c r="GP2097" s="8"/>
      <c r="GQ2097" s="8"/>
      <c r="GR2097" s="8"/>
      <c r="GS2097" s="8"/>
      <c r="GT2097" s="8"/>
      <c r="GU2097" s="8"/>
      <c r="GV2097" s="8"/>
      <c r="GW2097" s="8"/>
      <c r="GX2097" s="8"/>
    </row>
    <row r="2098">
      <c r="A2098" s="8" t="str">
        <f>IFERROR(__xludf.DUMMYFUNCTION("""COMPUTED_VALUE"""),"112630920150600750")</f>
        <v>112630920150600750</v>
      </c>
      <c r="B2098" s="9" t="str">
        <f>IFERROR(__xludf.DUMMYFUNCTION("""COMPUTED_VALUE"""),"France")</f>
        <v>France</v>
      </c>
      <c r="C2098" s="9" t="str">
        <f>IFERROR(__xludf.DUMMYFUNCTION("""COMPUTED_VALUE"""),"rhone")</f>
        <v>rhone</v>
      </c>
      <c r="D2098" s="9" t="str">
        <f>IFERROR(__xludf.DUMMYFUNCTION("""COMPUTED_VALUE"""),"Clos Saint Jean, Chateauneuf-du-Pape, La Combe des Fous")</f>
        <v>Clos Saint Jean, Chateauneuf-du-Pape, La Combe des Fous</v>
      </c>
      <c r="E2098" s="9">
        <f>IFERROR(__xludf.DUMMYFUNCTION("""COMPUTED_VALUE"""),2015.0)</f>
        <v>2015</v>
      </c>
      <c r="F2098" s="9">
        <f>IFERROR(__xludf.DUMMYFUNCTION("""COMPUTED_VALUE"""),750.0)</f>
        <v>750</v>
      </c>
      <c r="G2098" s="9">
        <f>IFERROR(__xludf.DUMMYFUNCTION("""COMPUTED_VALUE"""),6.0)</f>
        <v>6</v>
      </c>
      <c r="H2098" s="10">
        <f>IFERROR(__xludf.DUMMYFUNCTION("""COMPUTED_VALUE"""),2.0)</f>
        <v>2</v>
      </c>
      <c r="I2098" s="11">
        <f>IFERROR(__xludf.DUMMYFUNCTION("""COMPUTED_VALUE"""),481.0)</f>
        <v>481</v>
      </c>
      <c r="J2098" s="9" t="str">
        <f>IFERROR(__xludf.DUMMYFUNCTION("""COMPUTED_VALUE"""),"UK")</f>
        <v>UK</v>
      </c>
      <c r="K2098" s="8"/>
      <c r="L2098" s="12"/>
      <c r="M2098" s="13"/>
      <c r="N2098" s="13" t="str">
        <f>IFERROR(__xludf.DUMMYFUNCTION("IF(ISBLANK(M2098),"""",M2098*GOOGLEFINANCE(""USDGBP""))"),"")</f>
        <v/>
      </c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  <c r="FG2098" s="8"/>
      <c r="FH2098" s="8"/>
      <c r="FI2098" s="8"/>
      <c r="FJ2098" s="8"/>
      <c r="FK2098" s="8"/>
      <c r="FL2098" s="8"/>
      <c r="FM2098" s="8"/>
      <c r="FN2098" s="8"/>
      <c r="FO2098" s="8"/>
      <c r="FP2098" s="8"/>
      <c r="FQ2098" s="8"/>
      <c r="FR2098" s="8"/>
      <c r="FS2098" s="8"/>
      <c r="FT2098" s="8"/>
      <c r="FU2098" s="8"/>
      <c r="FV2098" s="8"/>
      <c r="FW2098" s="8"/>
      <c r="FX2098" s="8"/>
      <c r="FY2098" s="8"/>
      <c r="FZ2098" s="8"/>
      <c r="GA2098" s="8"/>
      <c r="GB2098" s="8"/>
      <c r="GC2098" s="8"/>
      <c r="GD2098" s="8"/>
      <c r="GE2098" s="8"/>
      <c r="GF2098" s="8"/>
      <c r="GG2098" s="8"/>
      <c r="GH2098" s="8"/>
      <c r="GI2098" s="8"/>
      <c r="GJ2098" s="8"/>
      <c r="GK2098" s="8"/>
      <c r="GL2098" s="8"/>
      <c r="GM2098" s="8"/>
      <c r="GN2098" s="8"/>
      <c r="GO2098" s="8"/>
      <c r="GP2098" s="8"/>
      <c r="GQ2098" s="8"/>
      <c r="GR2098" s="8"/>
      <c r="GS2098" s="8"/>
      <c r="GT2098" s="8"/>
      <c r="GU2098" s="8"/>
      <c r="GV2098" s="8"/>
      <c r="GW2098" s="8"/>
      <c r="GX2098" s="8"/>
    </row>
    <row r="2099">
      <c r="A2099" s="8" t="str">
        <f>IFERROR(__xludf.DUMMYFUNCTION("""COMPUTED_VALUE"""),"112630920160600750")</f>
        <v>112630920160600750</v>
      </c>
      <c r="B2099" s="9" t="str">
        <f>IFERROR(__xludf.DUMMYFUNCTION("""COMPUTED_VALUE"""),"France")</f>
        <v>France</v>
      </c>
      <c r="C2099" s="9" t="str">
        <f>IFERROR(__xludf.DUMMYFUNCTION("""COMPUTED_VALUE"""),"rhone")</f>
        <v>rhone</v>
      </c>
      <c r="D2099" s="9" t="str">
        <f>IFERROR(__xludf.DUMMYFUNCTION("""COMPUTED_VALUE"""),"Clos Saint Jean, Chateauneuf-du-Pape, La Combe des Fous")</f>
        <v>Clos Saint Jean, Chateauneuf-du-Pape, La Combe des Fous</v>
      </c>
      <c r="E2099" s="9">
        <f>IFERROR(__xludf.DUMMYFUNCTION("""COMPUTED_VALUE"""),2016.0)</f>
        <v>2016</v>
      </c>
      <c r="F2099" s="9">
        <f>IFERROR(__xludf.DUMMYFUNCTION("""COMPUTED_VALUE"""),750.0)</f>
        <v>750</v>
      </c>
      <c r="G2099" s="9">
        <f>IFERROR(__xludf.DUMMYFUNCTION("""COMPUTED_VALUE"""),6.0)</f>
        <v>6</v>
      </c>
      <c r="H2099" s="10">
        <f>IFERROR(__xludf.DUMMYFUNCTION("""COMPUTED_VALUE"""),1.0)</f>
        <v>1</v>
      </c>
      <c r="I2099" s="11">
        <f>IFERROR(__xludf.DUMMYFUNCTION("""COMPUTED_VALUE"""),446.0)</f>
        <v>446</v>
      </c>
      <c r="J2099" s="9" t="str">
        <f>IFERROR(__xludf.DUMMYFUNCTION("""COMPUTED_VALUE"""),"UK")</f>
        <v>UK</v>
      </c>
      <c r="K2099" s="8"/>
      <c r="L2099" s="12"/>
      <c r="M2099" s="13"/>
      <c r="N2099" s="13" t="str">
        <f>IFERROR(__xludf.DUMMYFUNCTION("IF(ISBLANK(M2099),"""",M2099*GOOGLEFINANCE(""USDGBP""))"),"")</f>
        <v/>
      </c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  <c r="FG2099" s="8"/>
      <c r="FH2099" s="8"/>
      <c r="FI2099" s="8"/>
      <c r="FJ2099" s="8"/>
      <c r="FK2099" s="8"/>
      <c r="FL2099" s="8"/>
      <c r="FM2099" s="8"/>
      <c r="FN2099" s="8"/>
      <c r="FO2099" s="8"/>
      <c r="FP2099" s="8"/>
      <c r="FQ2099" s="8"/>
      <c r="FR2099" s="8"/>
      <c r="FS2099" s="8"/>
      <c r="FT2099" s="8"/>
      <c r="FU2099" s="8"/>
      <c r="FV2099" s="8"/>
      <c r="FW2099" s="8"/>
      <c r="FX2099" s="8"/>
      <c r="FY2099" s="8"/>
      <c r="FZ2099" s="8"/>
      <c r="GA2099" s="8"/>
      <c r="GB2099" s="8"/>
      <c r="GC2099" s="8"/>
      <c r="GD2099" s="8"/>
      <c r="GE2099" s="8"/>
      <c r="GF2099" s="8"/>
      <c r="GG2099" s="8"/>
      <c r="GH2099" s="8"/>
      <c r="GI2099" s="8"/>
      <c r="GJ2099" s="8"/>
      <c r="GK2099" s="8"/>
      <c r="GL2099" s="8"/>
      <c r="GM2099" s="8"/>
      <c r="GN2099" s="8"/>
      <c r="GO2099" s="8"/>
      <c r="GP2099" s="8"/>
      <c r="GQ2099" s="8"/>
      <c r="GR2099" s="8"/>
      <c r="GS2099" s="8"/>
      <c r="GT2099" s="8"/>
      <c r="GU2099" s="8"/>
      <c r="GV2099" s="8"/>
      <c r="GW2099" s="8"/>
      <c r="GX2099" s="8"/>
    </row>
    <row r="2100">
      <c r="A2100" s="8" t="str">
        <f>IFERROR(__xludf.DUMMYFUNCTION("""COMPUTED_VALUE"""),"112630920170600750")</f>
        <v>112630920170600750</v>
      </c>
      <c r="B2100" s="9" t="str">
        <f>IFERROR(__xludf.DUMMYFUNCTION("""COMPUTED_VALUE"""),"France")</f>
        <v>France</v>
      </c>
      <c r="C2100" s="9" t="str">
        <f>IFERROR(__xludf.DUMMYFUNCTION("""COMPUTED_VALUE"""),"rhone")</f>
        <v>rhone</v>
      </c>
      <c r="D2100" s="9" t="str">
        <f>IFERROR(__xludf.DUMMYFUNCTION("""COMPUTED_VALUE"""),"Clos Saint Jean, Chateauneuf-du-Pape, La Combe des Fous")</f>
        <v>Clos Saint Jean, Chateauneuf-du-Pape, La Combe des Fous</v>
      </c>
      <c r="E2100" s="9">
        <f>IFERROR(__xludf.DUMMYFUNCTION("""COMPUTED_VALUE"""),2017.0)</f>
        <v>2017</v>
      </c>
      <c r="F2100" s="9">
        <f>IFERROR(__xludf.DUMMYFUNCTION("""COMPUTED_VALUE"""),750.0)</f>
        <v>750</v>
      </c>
      <c r="G2100" s="9">
        <f>IFERROR(__xludf.DUMMYFUNCTION("""COMPUTED_VALUE"""),6.0)</f>
        <v>6</v>
      </c>
      <c r="H2100" s="10">
        <f>IFERROR(__xludf.DUMMYFUNCTION("""COMPUTED_VALUE"""),1.0)</f>
        <v>1</v>
      </c>
      <c r="I2100" s="11">
        <f>IFERROR(__xludf.DUMMYFUNCTION("""COMPUTED_VALUE"""),364.0)</f>
        <v>364</v>
      </c>
      <c r="J2100" s="9" t="str">
        <f>IFERROR(__xludf.DUMMYFUNCTION("""COMPUTED_VALUE"""),"UK")</f>
        <v>UK</v>
      </c>
      <c r="K2100" s="8"/>
      <c r="L2100" s="12"/>
      <c r="M2100" s="13"/>
      <c r="N2100" s="13" t="str">
        <f>IFERROR(__xludf.DUMMYFUNCTION("IF(ISBLANK(M2100),"""",M2100*GOOGLEFINANCE(""USDGBP""))"),"")</f>
        <v/>
      </c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  <c r="FG2100" s="8"/>
      <c r="FH2100" s="8"/>
      <c r="FI2100" s="8"/>
      <c r="FJ2100" s="8"/>
      <c r="FK2100" s="8"/>
      <c r="FL2100" s="8"/>
      <c r="FM2100" s="8"/>
      <c r="FN2100" s="8"/>
      <c r="FO2100" s="8"/>
      <c r="FP2100" s="8"/>
      <c r="FQ2100" s="8"/>
      <c r="FR2100" s="8"/>
      <c r="FS2100" s="8"/>
      <c r="FT2100" s="8"/>
      <c r="FU2100" s="8"/>
      <c r="FV2100" s="8"/>
      <c r="FW2100" s="8"/>
      <c r="FX2100" s="8"/>
      <c r="FY2100" s="8"/>
      <c r="FZ2100" s="8"/>
      <c r="GA2100" s="8"/>
      <c r="GB2100" s="8"/>
      <c r="GC2100" s="8"/>
      <c r="GD2100" s="8"/>
      <c r="GE2100" s="8"/>
      <c r="GF2100" s="8"/>
      <c r="GG2100" s="8"/>
      <c r="GH2100" s="8"/>
      <c r="GI2100" s="8"/>
      <c r="GJ2100" s="8"/>
      <c r="GK2100" s="8"/>
      <c r="GL2100" s="8"/>
      <c r="GM2100" s="8"/>
      <c r="GN2100" s="8"/>
      <c r="GO2100" s="8"/>
      <c r="GP2100" s="8"/>
      <c r="GQ2100" s="8"/>
      <c r="GR2100" s="8"/>
      <c r="GS2100" s="8"/>
      <c r="GT2100" s="8"/>
      <c r="GU2100" s="8"/>
      <c r="GV2100" s="8"/>
      <c r="GW2100" s="8"/>
      <c r="GX2100" s="8"/>
    </row>
    <row r="2101">
      <c r="A2101" s="8" t="str">
        <f>IFERROR(__xludf.DUMMYFUNCTION("""COMPUTED_VALUE"""),"111053320190101500")</f>
        <v>111053320190101500</v>
      </c>
      <c r="B2101" s="9" t="str">
        <f>IFERROR(__xludf.DUMMYFUNCTION("""COMPUTED_VALUE"""),"France")</f>
        <v>France</v>
      </c>
      <c r="C2101" s="9" t="str">
        <f>IFERROR(__xludf.DUMMYFUNCTION("""COMPUTED_VALUE"""),"rhone")</f>
        <v>rhone</v>
      </c>
      <c r="D2101" s="9" t="str">
        <f>IFERROR(__xludf.DUMMYFUNCTION("""COMPUTED_VALUE"""),"Clos Saint Jean, Chateauneuf-du-Pape, Sanctus Sanctorum")</f>
        <v>Clos Saint Jean, Chateauneuf-du-Pape, Sanctus Sanctorum</v>
      </c>
      <c r="E2101" s="9">
        <f>IFERROR(__xludf.DUMMYFUNCTION("""COMPUTED_VALUE"""),2019.0)</f>
        <v>2019</v>
      </c>
      <c r="F2101" s="9">
        <f>IFERROR(__xludf.DUMMYFUNCTION("""COMPUTED_VALUE"""),1500.0)</f>
        <v>1500</v>
      </c>
      <c r="G2101" s="9">
        <f>IFERROR(__xludf.DUMMYFUNCTION("""COMPUTED_VALUE"""),1.0)</f>
        <v>1</v>
      </c>
      <c r="H2101" s="10">
        <f>IFERROR(__xludf.DUMMYFUNCTION("""COMPUTED_VALUE"""),1.0)</f>
        <v>1</v>
      </c>
      <c r="I2101" s="11">
        <f>IFERROR(__xludf.DUMMYFUNCTION("""COMPUTED_VALUE"""),354.0)</f>
        <v>354</v>
      </c>
      <c r="J2101" s="9" t="str">
        <f>IFERROR(__xludf.DUMMYFUNCTION("""COMPUTED_VALUE"""),"UK")</f>
        <v>UK</v>
      </c>
      <c r="K2101" s="8"/>
      <c r="L2101" s="12"/>
      <c r="M2101" s="13"/>
      <c r="N2101" s="13" t="str">
        <f>IFERROR(__xludf.DUMMYFUNCTION("IF(ISBLANK(M2101),"""",M2101*GOOGLEFINANCE(""USDGBP""))"),"")</f>
        <v/>
      </c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  <c r="FG2101" s="8"/>
      <c r="FH2101" s="8"/>
      <c r="FI2101" s="8"/>
      <c r="FJ2101" s="8"/>
      <c r="FK2101" s="8"/>
      <c r="FL2101" s="8"/>
      <c r="FM2101" s="8"/>
      <c r="FN2101" s="8"/>
      <c r="FO2101" s="8"/>
      <c r="FP2101" s="8"/>
      <c r="FQ2101" s="8"/>
      <c r="FR2101" s="8"/>
      <c r="FS2101" s="8"/>
      <c r="FT2101" s="8"/>
      <c r="FU2101" s="8"/>
      <c r="FV2101" s="8"/>
      <c r="FW2101" s="8"/>
      <c r="FX2101" s="8"/>
      <c r="FY2101" s="8"/>
      <c r="FZ2101" s="8"/>
      <c r="GA2101" s="8"/>
      <c r="GB2101" s="8"/>
      <c r="GC2101" s="8"/>
      <c r="GD2101" s="8"/>
      <c r="GE2101" s="8"/>
      <c r="GF2101" s="8"/>
      <c r="GG2101" s="8"/>
      <c r="GH2101" s="8"/>
      <c r="GI2101" s="8"/>
      <c r="GJ2101" s="8"/>
      <c r="GK2101" s="8"/>
      <c r="GL2101" s="8"/>
      <c r="GM2101" s="8"/>
      <c r="GN2101" s="8"/>
      <c r="GO2101" s="8"/>
      <c r="GP2101" s="8"/>
      <c r="GQ2101" s="8"/>
      <c r="GR2101" s="8"/>
      <c r="GS2101" s="8"/>
      <c r="GT2101" s="8"/>
      <c r="GU2101" s="8"/>
      <c r="GV2101" s="8"/>
      <c r="GW2101" s="8"/>
      <c r="GX2101" s="8"/>
    </row>
    <row r="2102">
      <c r="A2102" s="8" t="str">
        <f>IFERROR(__xludf.DUMMYFUNCTION("""COMPUTED_VALUE"""),"111048720061200750")</f>
        <v>111048720061200750</v>
      </c>
      <c r="B2102" s="9" t="str">
        <f>IFERROR(__xludf.DUMMYFUNCTION("""COMPUTED_VALUE"""),"France")</f>
        <v>France</v>
      </c>
      <c r="C2102" s="9" t="str">
        <f>IFERROR(__xludf.DUMMYFUNCTION("""COMPUTED_VALUE"""),"rhone")</f>
        <v>rhone</v>
      </c>
      <c r="D2102" s="9" t="str">
        <f>IFERROR(__xludf.DUMMYFUNCTION("""COMPUTED_VALUE"""),"Clos des Papes, Chateauneuf-du-Pape, Rouge")</f>
        <v>Clos des Papes, Chateauneuf-du-Pape, Rouge</v>
      </c>
      <c r="E2102" s="9">
        <f>IFERROR(__xludf.DUMMYFUNCTION("""COMPUTED_VALUE"""),2006.0)</f>
        <v>2006</v>
      </c>
      <c r="F2102" s="9">
        <f>IFERROR(__xludf.DUMMYFUNCTION("""COMPUTED_VALUE"""),750.0)</f>
        <v>750</v>
      </c>
      <c r="G2102" s="9">
        <f>IFERROR(__xludf.DUMMYFUNCTION("""COMPUTED_VALUE"""),12.0)</f>
        <v>12</v>
      </c>
      <c r="H2102" s="10">
        <f>IFERROR(__xludf.DUMMYFUNCTION("""COMPUTED_VALUE"""),1.0)</f>
        <v>1</v>
      </c>
      <c r="I2102" s="11">
        <f>IFERROR(__xludf.DUMMYFUNCTION("""COMPUTED_VALUE"""),931.0)</f>
        <v>931</v>
      </c>
      <c r="J2102" s="9" t="str">
        <f>IFERROR(__xludf.DUMMYFUNCTION("""COMPUTED_VALUE"""),"UK")</f>
        <v>UK</v>
      </c>
      <c r="K2102" s="8"/>
      <c r="L2102" s="12"/>
      <c r="M2102" s="13"/>
      <c r="N2102" s="13" t="str">
        <f>IFERROR(__xludf.DUMMYFUNCTION("IF(ISBLANK(M2102),"""",M2102*GOOGLEFINANCE(""USDGBP""))"),"")</f>
        <v/>
      </c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  <c r="FG2102" s="8"/>
      <c r="FH2102" s="8"/>
      <c r="FI2102" s="8"/>
      <c r="FJ2102" s="8"/>
      <c r="FK2102" s="8"/>
      <c r="FL2102" s="8"/>
      <c r="FM2102" s="8"/>
      <c r="FN2102" s="8"/>
      <c r="FO2102" s="8"/>
      <c r="FP2102" s="8"/>
      <c r="FQ2102" s="8"/>
      <c r="FR2102" s="8"/>
      <c r="FS2102" s="8"/>
      <c r="FT2102" s="8"/>
      <c r="FU2102" s="8"/>
      <c r="FV2102" s="8"/>
      <c r="FW2102" s="8"/>
      <c r="FX2102" s="8"/>
      <c r="FY2102" s="8"/>
      <c r="FZ2102" s="8"/>
      <c r="GA2102" s="8"/>
      <c r="GB2102" s="8"/>
      <c r="GC2102" s="8"/>
      <c r="GD2102" s="8"/>
      <c r="GE2102" s="8"/>
      <c r="GF2102" s="8"/>
      <c r="GG2102" s="8"/>
      <c r="GH2102" s="8"/>
      <c r="GI2102" s="8"/>
      <c r="GJ2102" s="8"/>
      <c r="GK2102" s="8"/>
      <c r="GL2102" s="8"/>
      <c r="GM2102" s="8"/>
      <c r="GN2102" s="8"/>
      <c r="GO2102" s="8"/>
      <c r="GP2102" s="8"/>
      <c r="GQ2102" s="8"/>
      <c r="GR2102" s="8"/>
      <c r="GS2102" s="8"/>
      <c r="GT2102" s="8"/>
      <c r="GU2102" s="8"/>
      <c r="GV2102" s="8"/>
      <c r="GW2102" s="8"/>
      <c r="GX2102" s="8"/>
    </row>
    <row r="2103">
      <c r="A2103" s="8" t="str">
        <f>IFERROR(__xludf.DUMMYFUNCTION("""COMPUTED_VALUE"""),"111048720160600750")</f>
        <v>111048720160600750</v>
      </c>
      <c r="B2103" s="9" t="str">
        <f>IFERROR(__xludf.DUMMYFUNCTION("""COMPUTED_VALUE"""),"France")</f>
        <v>France</v>
      </c>
      <c r="C2103" s="9" t="str">
        <f>IFERROR(__xludf.DUMMYFUNCTION("""COMPUTED_VALUE"""),"rhone")</f>
        <v>rhone</v>
      </c>
      <c r="D2103" s="9" t="str">
        <f>IFERROR(__xludf.DUMMYFUNCTION("""COMPUTED_VALUE"""),"Clos des Papes, Chateauneuf-du-Pape, Rouge")</f>
        <v>Clos des Papes, Chateauneuf-du-Pape, Rouge</v>
      </c>
      <c r="E2103" s="9">
        <f>IFERROR(__xludf.DUMMYFUNCTION("""COMPUTED_VALUE"""),2016.0)</f>
        <v>2016</v>
      </c>
      <c r="F2103" s="9">
        <f>IFERROR(__xludf.DUMMYFUNCTION("""COMPUTED_VALUE"""),750.0)</f>
        <v>750</v>
      </c>
      <c r="G2103" s="9">
        <f>IFERROR(__xludf.DUMMYFUNCTION("""COMPUTED_VALUE"""),6.0)</f>
        <v>6</v>
      </c>
      <c r="H2103" s="10">
        <f>IFERROR(__xludf.DUMMYFUNCTION("""COMPUTED_VALUE"""),1.0)</f>
        <v>1</v>
      </c>
      <c r="I2103" s="11">
        <f>IFERROR(__xludf.DUMMYFUNCTION("""COMPUTED_VALUE"""),514.0)</f>
        <v>514</v>
      </c>
      <c r="J2103" s="9" t="str">
        <f>IFERROR(__xludf.DUMMYFUNCTION("""COMPUTED_VALUE"""),"UK")</f>
        <v>UK</v>
      </c>
      <c r="K2103" s="8"/>
      <c r="L2103" s="12"/>
      <c r="M2103" s="13"/>
      <c r="N2103" s="13" t="str">
        <f>IFERROR(__xludf.DUMMYFUNCTION("IF(ISBLANK(M2103),"""",M2103*GOOGLEFINANCE(""USDGBP""))"),"")</f>
        <v/>
      </c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  <c r="FG2103" s="8"/>
      <c r="FH2103" s="8"/>
      <c r="FI2103" s="8"/>
      <c r="FJ2103" s="8"/>
      <c r="FK2103" s="8"/>
      <c r="FL2103" s="8"/>
      <c r="FM2103" s="8"/>
      <c r="FN2103" s="8"/>
      <c r="FO2103" s="8"/>
      <c r="FP2103" s="8"/>
      <c r="FQ2103" s="8"/>
      <c r="FR2103" s="8"/>
      <c r="FS2103" s="8"/>
      <c r="FT2103" s="8"/>
      <c r="FU2103" s="8"/>
      <c r="FV2103" s="8"/>
      <c r="FW2103" s="8"/>
      <c r="FX2103" s="8"/>
      <c r="FY2103" s="8"/>
      <c r="FZ2103" s="8"/>
      <c r="GA2103" s="8"/>
      <c r="GB2103" s="8"/>
      <c r="GC2103" s="8"/>
      <c r="GD2103" s="8"/>
      <c r="GE2103" s="8"/>
      <c r="GF2103" s="8"/>
      <c r="GG2103" s="8"/>
      <c r="GH2103" s="8"/>
      <c r="GI2103" s="8"/>
      <c r="GJ2103" s="8"/>
      <c r="GK2103" s="8"/>
      <c r="GL2103" s="8"/>
      <c r="GM2103" s="8"/>
      <c r="GN2103" s="8"/>
      <c r="GO2103" s="8"/>
      <c r="GP2103" s="8"/>
      <c r="GQ2103" s="8"/>
      <c r="GR2103" s="8"/>
      <c r="GS2103" s="8"/>
      <c r="GT2103" s="8"/>
      <c r="GU2103" s="8"/>
      <c r="GV2103" s="8"/>
      <c r="GW2103" s="8"/>
      <c r="GX2103" s="8"/>
    </row>
    <row r="2104">
      <c r="A2104" s="8" t="str">
        <f>IFERROR(__xludf.DUMMYFUNCTION("""COMPUTED_VALUE"""),"111048720171200750")</f>
        <v>111048720171200750</v>
      </c>
      <c r="B2104" s="9" t="str">
        <f>IFERROR(__xludf.DUMMYFUNCTION("""COMPUTED_VALUE"""),"France")</f>
        <v>France</v>
      </c>
      <c r="C2104" s="9" t="str">
        <f>IFERROR(__xludf.DUMMYFUNCTION("""COMPUTED_VALUE"""),"rhone")</f>
        <v>rhone</v>
      </c>
      <c r="D2104" s="9" t="str">
        <f>IFERROR(__xludf.DUMMYFUNCTION("""COMPUTED_VALUE"""),"Clos des Papes, Chateauneuf-du-Pape, Rouge")</f>
        <v>Clos des Papes, Chateauneuf-du-Pape, Rouge</v>
      </c>
      <c r="E2104" s="9">
        <f>IFERROR(__xludf.DUMMYFUNCTION("""COMPUTED_VALUE"""),2017.0)</f>
        <v>2017</v>
      </c>
      <c r="F2104" s="9">
        <f>IFERROR(__xludf.DUMMYFUNCTION("""COMPUTED_VALUE"""),750.0)</f>
        <v>750</v>
      </c>
      <c r="G2104" s="9">
        <f>IFERROR(__xludf.DUMMYFUNCTION("""COMPUTED_VALUE"""),12.0)</f>
        <v>12</v>
      </c>
      <c r="H2104" s="10">
        <f>IFERROR(__xludf.DUMMYFUNCTION("""COMPUTED_VALUE"""),1.0)</f>
        <v>1</v>
      </c>
      <c r="I2104" s="11">
        <f>IFERROR(__xludf.DUMMYFUNCTION("""COMPUTED_VALUE"""),728.0)</f>
        <v>728</v>
      </c>
      <c r="J2104" s="9" t="str">
        <f>IFERROR(__xludf.DUMMYFUNCTION("""COMPUTED_VALUE"""),"UK")</f>
        <v>UK</v>
      </c>
      <c r="K2104" s="8"/>
      <c r="L2104" s="12"/>
      <c r="M2104" s="13"/>
      <c r="N2104" s="13" t="str">
        <f>IFERROR(__xludf.DUMMYFUNCTION("IF(ISBLANK(M2104),"""",M2104*GOOGLEFINANCE(""USDGBP""))"),"")</f>
        <v/>
      </c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  <c r="FG2104" s="8"/>
      <c r="FH2104" s="8"/>
      <c r="FI2104" s="8"/>
      <c r="FJ2104" s="8"/>
      <c r="FK2104" s="8"/>
      <c r="FL2104" s="8"/>
      <c r="FM2104" s="8"/>
      <c r="FN2104" s="8"/>
      <c r="FO2104" s="8"/>
      <c r="FP2104" s="8"/>
      <c r="FQ2104" s="8"/>
      <c r="FR2104" s="8"/>
      <c r="FS2104" s="8"/>
      <c r="FT2104" s="8"/>
      <c r="FU2104" s="8"/>
      <c r="FV2104" s="8"/>
      <c r="FW2104" s="8"/>
      <c r="FX2104" s="8"/>
      <c r="FY2104" s="8"/>
      <c r="FZ2104" s="8"/>
      <c r="GA2104" s="8"/>
      <c r="GB2104" s="8"/>
      <c r="GC2104" s="8"/>
      <c r="GD2104" s="8"/>
      <c r="GE2104" s="8"/>
      <c r="GF2104" s="8"/>
      <c r="GG2104" s="8"/>
      <c r="GH2104" s="8"/>
      <c r="GI2104" s="8"/>
      <c r="GJ2104" s="8"/>
      <c r="GK2104" s="8"/>
      <c r="GL2104" s="8"/>
      <c r="GM2104" s="8"/>
      <c r="GN2104" s="8"/>
      <c r="GO2104" s="8"/>
      <c r="GP2104" s="8"/>
      <c r="GQ2104" s="8"/>
      <c r="GR2104" s="8"/>
      <c r="GS2104" s="8"/>
      <c r="GT2104" s="8"/>
      <c r="GU2104" s="8"/>
      <c r="GV2104" s="8"/>
      <c r="GW2104" s="8"/>
      <c r="GX2104" s="8"/>
    </row>
    <row r="2105">
      <c r="A2105" s="8" t="str">
        <f>IFERROR(__xludf.DUMMYFUNCTION("""COMPUTED_VALUE"""),"111048720181200750")</f>
        <v>111048720181200750</v>
      </c>
      <c r="B2105" s="9" t="str">
        <f>IFERROR(__xludf.DUMMYFUNCTION("""COMPUTED_VALUE"""),"France")</f>
        <v>France</v>
      </c>
      <c r="C2105" s="9" t="str">
        <f>IFERROR(__xludf.DUMMYFUNCTION("""COMPUTED_VALUE"""),"rhone")</f>
        <v>rhone</v>
      </c>
      <c r="D2105" s="9" t="str">
        <f>IFERROR(__xludf.DUMMYFUNCTION("""COMPUTED_VALUE"""),"Clos des Papes, Chateauneuf-du-Pape, Rouge")</f>
        <v>Clos des Papes, Chateauneuf-du-Pape, Rouge</v>
      </c>
      <c r="E2105" s="9">
        <f>IFERROR(__xludf.DUMMYFUNCTION("""COMPUTED_VALUE"""),2018.0)</f>
        <v>2018</v>
      </c>
      <c r="F2105" s="9">
        <f>IFERROR(__xludf.DUMMYFUNCTION("""COMPUTED_VALUE"""),750.0)</f>
        <v>750</v>
      </c>
      <c r="G2105" s="9">
        <f>IFERROR(__xludf.DUMMYFUNCTION("""COMPUTED_VALUE"""),12.0)</f>
        <v>12</v>
      </c>
      <c r="H2105" s="10">
        <f>IFERROR(__xludf.DUMMYFUNCTION("""COMPUTED_VALUE"""),2.0)</f>
        <v>2</v>
      </c>
      <c r="I2105" s="11">
        <f>IFERROR(__xludf.DUMMYFUNCTION("""COMPUTED_VALUE"""),739.0)</f>
        <v>739</v>
      </c>
      <c r="J2105" s="9" t="str">
        <f>IFERROR(__xludf.DUMMYFUNCTION("""COMPUTED_VALUE"""),"UK")</f>
        <v>UK</v>
      </c>
      <c r="K2105" s="8"/>
      <c r="L2105" s="12"/>
      <c r="M2105" s="13"/>
      <c r="N2105" s="13" t="str">
        <f>IFERROR(__xludf.DUMMYFUNCTION("IF(ISBLANK(M2105),"""",M2105*GOOGLEFINANCE(""USDGBP""))"),"")</f>
        <v/>
      </c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  <c r="FG2105" s="8"/>
      <c r="FH2105" s="8"/>
      <c r="FI2105" s="8"/>
      <c r="FJ2105" s="8"/>
      <c r="FK2105" s="8"/>
      <c r="FL2105" s="8"/>
      <c r="FM2105" s="8"/>
      <c r="FN2105" s="8"/>
      <c r="FO2105" s="8"/>
      <c r="FP2105" s="8"/>
      <c r="FQ2105" s="8"/>
      <c r="FR2105" s="8"/>
      <c r="FS2105" s="8"/>
      <c r="FT2105" s="8"/>
      <c r="FU2105" s="8"/>
      <c r="FV2105" s="8"/>
      <c r="FW2105" s="8"/>
      <c r="FX2105" s="8"/>
      <c r="FY2105" s="8"/>
      <c r="FZ2105" s="8"/>
      <c r="GA2105" s="8"/>
      <c r="GB2105" s="8"/>
      <c r="GC2105" s="8"/>
      <c r="GD2105" s="8"/>
      <c r="GE2105" s="8"/>
      <c r="GF2105" s="8"/>
      <c r="GG2105" s="8"/>
      <c r="GH2105" s="8"/>
      <c r="GI2105" s="8"/>
      <c r="GJ2105" s="8"/>
      <c r="GK2105" s="8"/>
      <c r="GL2105" s="8"/>
      <c r="GM2105" s="8"/>
      <c r="GN2105" s="8"/>
      <c r="GO2105" s="8"/>
      <c r="GP2105" s="8"/>
      <c r="GQ2105" s="8"/>
      <c r="GR2105" s="8"/>
      <c r="GS2105" s="8"/>
      <c r="GT2105" s="8"/>
      <c r="GU2105" s="8"/>
      <c r="GV2105" s="8"/>
      <c r="GW2105" s="8"/>
      <c r="GX2105" s="8"/>
    </row>
    <row r="2106">
      <c r="A2106" s="8" t="str">
        <f>IFERROR(__xludf.DUMMYFUNCTION("""COMPUTED_VALUE"""),"111048720180600750")</f>
        <v>111048720180600750</v>
      </c>
      <c r="B2106" s="9" t="str">
        <f>IFERROR(__xludf.DUMMYFUNCTION("""COMPUTED_VALUE"""),"France")</f>
        <v>France</v>
      </c>
      <c r="C2106" s="9" t="str">
        <f>IFERROR(__xludf.DUMMYFUNCTION("""COMPUTED_VALUE"""),"rhone")</f>
        <v>rhone</v>
      </c>
      <c r="D2106" s="9" t="str">
        <f>IFERROR(__xludf.DUMMYFUNCTION("""COMPUTED_VALUE"""),"Clos des Papes, Chateauneuf-du-Pape, Rouge")</f>
        <v>Clos des Papes, Chateauneuf-du-Pape, Rouge</v>
      </c>
      <c r="E2106" s="9">
        <f>IFERROR(__xludf.DUMMYFUNCTION("""COMPUTED_VALUE"""),2018.0)</f>
        <v>2018</v>
      </c>
      <c r="F2106" s="9">
        <f>IFERROR(__xludf.DUMMYFUNCTION("""COMPUTED_VALUE"""),750.0)</f>
        <v>750</v>
      </c>
      <c r="G2106" s="9">
        <f>IFERROR(__xludf.DUMMYFUNCTION("""COMPUTED_VALUE"""),6.0)</f>
        <v>6</v>
      </c>
      <c r="H2106" s="10">
        <f>IFERROR(__xludf.DUMMYFUNCTION("""COMPUTED_VALUE"""),1.0)</f>
        <v>1</v>
      </c>
      <c r="I2106" s="11">
        <f>IFERROR(__xludf.DUMMYFUNCTION("""COMPUTED_VALUE"""),369.0)</f>
        <v>369</v>
      </c>
      <c r="J2106" s="9" t="str">
        <f>IFERROR(__xludf.DUMMYFUNCTION("""COMPUTED_VALUE"""),"UK")</f>
        <v>UK</v>
      </c>
      <c r="K2106" s="8"/>
      <c r="L2106" s="12"/>
      <c r="M2106" s="13"/>
      <c r="N2106" s="13" t="str">
        <f>IFERROR(__xludf.DUMMYFUNCTION("IF(ISBLANK(M2106),"""",M2106*GOOGLEFINANCE(""USDGBP""))"),"")</f>
        <v/>
      </c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  <c r="FG2106" s="8"/>
      <c r="FH2106" s="8"/>
      <c r="FI2106" s="8"/>
      <c r="FJ2106" s="8"/>
      <c r="FK2106" s="8"/>
      <c r="FL2106" s="8"/>
      <c r="FM2106" s="8"/>
      <c r="FN2106" s="8"/>
      <c r="FO2106" s="8"/>
      <c r="FP2106" s="8"/>
      <c r="FQ2106" s="8"/>
      <c r="FR2106" s="8"/>
      <c r="FS2106" s="8"/>
      <c r="FT2106" s="8"/>
      <c r="FU2106" s="8"/>
      <c r="FV2106" s="8"/>
      <c r="FW2106" s="8"/>
      <c r="FX2106" s="8"/>
      <c r="FY2106" s="8"/>
      <c r="FZ2106" s="8"/>
      <c r="GA2106" s="8"/>
      <c r="GB2106" s="8"/>
      <c r="GC2106" s="8"/>
      <c r="GD2106" s="8"/>
      <c r="GE2106" s="8"/>
      <c r="GF2106" s="8"/>
      <c r="GG2106" s="8"/>
      <c r="GH2106" s="8"/>
      <c r="GI2106" s="8"/>
      <c r="GJ2106" s="8"/>
      <c r="GK2106" s="8"/>
      <c r="GL2106" s="8"/>
      <c r="GM2106" s="8"/>
      <c r="GN2106" s="8"/>
      <c r="GO2106" s="8"/>
      <c r="GP2106" s="8"/>
      <c r="GQ2106" s="8"/>
      <c r="GR2106" s="8"/>
      <c r="GS2106" s="8"/>
      <c r="GT2106" s="8"/>
      <c r="GU2106" s="8"/>
      <c r="GV2106" s="8"/>
      <c r="GW2106" s="8"/>
      <c r="GX2106" s="8"/>
    </row>
    <row r="2107">
      <c r="A2107" s="8" t="str">
        <f>IFERROR(__xludf.DUMMYFUNCTION("""COMPUTED_VALUE"""),"111048720191200750")</f>
        <v>111048720191200750</v>
      </c>
      <c r="B2107" s="9" t="str">
        <f>IFERROR(__xludf.DUMMYFUNCTION("""COMPUTED_VALUE"""),"France")</f>
        <v>France</v>
      </c>
      <c r="C2107" s="9" t="str">
        <f>IFERROR(__xludf.DUMMYFUNCTION("""COMPUTED_VALUE"""),"rhone")</f>
        <v>rhone</v>
      </c>
      <c r="D2107" s="9" t="str">
        <f>IFERROR(__xludf.DUMMYFUNCTION("""COMPUTED_VALUE"""),"Clos des Papes, Chateauneuf-du-Pape, Rouge")</f>
        <v>Clos des Papes, Chateauneuf-du-Pape, Rouge</v>
      </c>
      <c r="E2107" s="9">
        <f>IFERROR(__xludf.DUMMYFUNCTION("""COMPUTED_VALUE"""),2019.0)</f>
        <v>2019</v>
      </c>
      <c r="F2107" s="9">
        <f>IFERROR(__xludf.DUMMYFUNCTION("""COMPUTED_VALUE"""),750.0)</f>
        <v>750</v>
      </c>
      <c r="G2107" s="9">
        <f>IFERROR(__xludf.DUMMYFUNCTION("""COMPUTED_VALUE"""),12.0)</f>
        <v>12</v>
      </c>
      <c r="H2107" s="10">
        <f>IFERROR(__xludf.DUMMYFUNCTION("""COMPUTED_VALUE"""),5.0)</f>
        <v>5</v>
      </c>
      <c r="I2107" s="11">
        <f>IFERROR(__xludf.DUMMYFUNCTION("""COMPUTED_VALUE"""),750.0)</f>
        <v>750</v>
      </c>
      <c r="J2107" s="9" t="str">
        <f>IFERROR(__xludf.DUMMYFUNCTION("""COMPUTED_VALUE"""),"UK")</f>
        <v>UK</v>
      </c>
      <c r="K2107" s="8"/>
      <c r="L2107" s="12"/>
      <c r="M2107" s="13"/>
      <c r="N2107" s="13" t="str">
        <f>IFERROR(__xludf.DUMMYFUNCTION("IF(ISBLANK(M2107),"""",M2107*GOOGLEFINANCE(""USDGBP""))"),"")</f>
        <v/>
      </c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  <c r="FG2107" s="8"/>
      <c r="FH2107" s="8"/>
      <c r="FI2107" s="8"/>
      <c r="FJ2107" s="8"/>
      <c r="FK2107" s="8"/>
      <c r="FL2107" s="8"/>
      <c r="FM2107" s="8"/>
      <c r="FN2107" s="8"/>
      <c r="FO2107" s="8"/>
      <c r="FP2107" s="8"/>
      <c r="FQ2107" s="8"/>
      <c r="FR2107" s="8"/>
      <c r="FS2107" s="8"/>
      <c r="FT2107" s="8"/>
      <c r="FU2107" s="8"/>
      <c r="FV2107" s="8"/>
      <c r="FW2107" s="8"/>
      <c r="FX2107" s="8"/>
      <c r="FY2107" s="8"/>
      <c r="FZ2107" s="8"/>
      <c r="GA2107" s="8"/>
      <c r="GB2107" s="8"/>
      <c r="GC2107" s="8"/>
      <c r="GD2107" s="8"/>
      <c r="GE2107" s="8"/>
      <c r="GF2107" s="8"/>
      <c r="GG2107" s="8"/>
      <c r="GH2107" s="8"/>
      <c r="GI2107" s="8"/>
      <c r="GJ2107" s="8"/>
      <c r="GK2107" s="8"/>
      <c r="GL2107" s="8"/>
      <c r="GM2107" s="8"/>
      <c r="GN2107" s="8"/>
      <c r="GO2107" s="8"/>
      <c r="GP2107" s="8"/>
      <c r="GQ2107" s="8"/>
      <c r="GR2107" s="8"/>
      <c r="GS2107" s="8"/>
      <c r="GT2107" s="8"/>
      <c r="GU2107" s="8"/>
      <c r="GV2107" s="8"/>
      <c r="GW2107" s="8"/>
      <c r="GX2107" s="8"/>
    </row>
    <row r="2108">
      <c r="A2108" s="8" t="str">
        <f>IFERROR(__xludf.DUMMYFUNCTION("""COMPUTED_VALUE"""),"111048720200600750")</f>
        <v>111048720200600750</v>
      </c>
      <c r="B2108" s="9" t="str">
        <f>IFERROR(__xludf.DUMMYFUNCTION("""COMPUTED_VALUE"""),"France")</f>
        <v>France</v>
      </c>
      <c r="C2108" s="9" t="str">
        <f>IFERROR(__xludf.DUMMYFUNCTION("""COMPUTED_VALUE"""),"rhone")</f>
        <v>rhone</v>
      </c>
      <c r="D2108" s="9" t="str">
        <f>IFERROR(__xludf.DUMMYFUNCTION("""COMPUTED_VALUE"""),"Clos des Papes, Chateauneuf-du-Pape, Rouge")</f>
        <v>Clos des Papes, Chateauneuf-du-Pape, Rouge</v>
      </c>
      <c r="E2108" s="9">
        <f>IFERROR(__xludf.DUMMYFUNCTION("""COMPUTED_VALUE"""),2020.0)</f>
        <v>2020</v>
      </c>
      <c r="F2108" s="9">
        <f>IFERROR(__xludf.DUMMYFUNCTION("""COMPUTED_VALUE"""),750.0)</f>
        <v>750</v>
      </c>
      <c r="G2108" s="9">
        <f>IFERROR(__xludf.DUMMYFUNCTION("""COMPUTED_VALUE"""),6.0)</f>
        <v>6</v>
      </c>
      <c r="H2108" s="10">
        <f>IFERROR(__xludf.DUMMYFUNCTION("""COMPUTED_VALUE"""),5.0)</f>
        <v>5</v>
      </c>
      <c r="I2108" s="11">
        <f>IFERROR(__xludf.DUMMYFUNCTION("""COMPUTED_VALUE"""),347.0)</f>
        <v>347</v>
      </c>
      <c r="J2108" s="9" t="str">
        <f>IFERROR(__xludf.DUMMYFUNCTION("""COMPUTED_VALUE"""),"UK")</f>
        <v>UK</v>
      </c>
      <c r="K2108" s="8"/>
      <c r="L2108" s="12"/>
      <c r="M2108" s="13"/>
      <c r="N2108" s="13" t="str">
        <f>IFERROR(__xludf.DUMMYFUNCTION("IF(ISBLANK(M2108),"""",M2108*GOOGLEFINANCE(""USDGBP""))"),"")</f>
        <v/>
      </c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  <c r="FG2108" s="8"/>
      <c r="FH2108" s="8"/>
      <c r="FI2108" s="8"/>
      <c r="FJ2108" s="8"/>
      <c r="FK2108" s="8"/>
      <c r="FL2108" s="8"/>
      <c r="FM2108" s="8"/>
      <c r="FN2108" s="8"/>
      <c r="FO2108" s="8"/>
      <c r="FP2108" s="8"/>
      <c r="FQ2108" s="8"/>
      <c r="FR2108" s="8"/>
      <c r="FS2108" s="8"/>
      <c r="FT2108" s="8"/>
      <c r="FU2108" s="8"/>
      <c r="FV2108" s="8"/>
      <c r="FW2108" s="8"/>
      <c r="FX2108" s="8"/>
      <c r="FY2108" s="8"/>
      <c r="FZ2108" s="8"/>
      <c r="GA2108" s="8"/>
      <c r="GB2108" s="8"/>
      <c r="GC2108" s="8"/>
      <c r="GD2108" s="8"/>
      <c r="GE2108" s="8"/>
      <c r="GF2108" s="8"/>
      <c r="GG2108" s="8"/>
      <c r="GH2108" s="8"/>
      <c r="GI2108" s="8"/>
      <c r="GJ2108" s="8"/>
      <c r="GK2108" s="8"/>
      <c r="GL2108" s="8"/>
      <c r="GM2108" s="8"/>
      <c r="GN2108" s="8"/>
      <c r="GO2108" s="8"/>
      <c r="GP2108" s="8"/>
      <c r="GQ2108" s="8"/>
      <c r="GR2108" s="8"/>
      <c r="GS2108" s="8"/>
      <c r="GT2108" s="8"/>
      <c r="GU2108" s="8"/>
      <c r="GV2108" s="8"/>
      <c r="GW2108" s="8"/>
      <c r="GX2108" s="8"/>
    </row>
    <row r="2109">
      <c r="A2109" s="8" t="str">
        <f>IFERROR(__xludf.DUMMYFUNCTION("""COMPUTED_VALUE"""),"111058820191200750")</f>
        <v>111058820191200750</v>
      </c>
      <c r="B2109" s="9" t="str">
        <f>IFERROR(__xludf.DUMMYFUNCTION("""COMPUTED_VALUE"""),"France")</f>
        <v>France</v>
      </c>
      <c r="C2109" s="9" t="str">
        <f>IFERROR(__xludf.DUMMYFUNCTION("""COMPUTED_VALUE"""),"rhone")</f>
        <v>rhone</v>
      </c>
      <c r="D2109" s="9" t="str">
        <f>IFERROR(__xludf.DUMMYFUNCTION("""COMPUTED_VALUE"""),"Clusel Roch, Cote Rotie, Les Grandes Places")</f>
        <v>Clusel Roch, Cote Rotie, Les Grandes Places</v>
      </c>
      <c r="E2109" s="9">
        <f>IFERROR(__xludf.DUMMYFUNCTION("""COMPUTED_VALUE"""),2019.0)</f>
        <v>2019</v>
      </c>
      <c r="F2109" s="9">
        <f>IFERROR(__xludf.DUMMYFUNCTION("""COMPUTED_VALUE"""),750.0)</f>
        <v>750</v>
      </c>
      <c r="G2109" s="9">
        <f>IFERROR(__xludf.DUMMYFUNCTION("""COMPUTED_VALUE"""),12.0)</f>
        <v>12</v>
      </c>
      <c r="H2109" s="10">
        <f>IFERROR(__xludf.DUMMYFUNCTION("""COMPUTED_VALUE"""),1.0)</f>
        <v>1</v>
      </c>
      <c r="I2109" s="11">
        <f>IFERROR(__xludf.DUMMYFUNCTION("""COMPUTED_VALUE"""),1084.0)</f>
        <v>1084</v>
      </c>
      <c r="J2109" s="9" t="str">
        <f>IFERROR(__xludf.DUMMYFUNCTION("""COMPUTED_VALUE"""),"UK")</f>
        <v>UK</v>
      </c>
      <c r="K2109" s="8"/>
      <c r="L2109" s="12"/>
      <c r="M2109" s="13"/>
      <c r="N2109" s="13" t="str">
        <f>IFERROR(__xludf.DUMMYFUNCTION("IF(ISBLANK(M2109),"""",M2109*GOOGLEFINANCE(""USDGBP""))"),"")</f>
        <v/>
      </c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  <c r="FG2109" s="8"/>
      <c r="FH2109" s="8"/>
      <c r="FI2109" s="8"/>
      <c r="FJ2109" s="8"/>
      <c r="FK2109" s="8"/>
      <c r="FL2109" s="8"/>
      <c r="FM2109" s="8"/>
      <c r="FN2109" s="8"/>
      <c r="FO2109" s="8"/>
      <c r="FP2109" s="8"/>
      <c r="FQ2109" s="8"/>
      <c r="FR2109" s="8"/>
      <c r="FS2109" s="8"/>
      <c r="FT2109" s="8"/>
      <c r="FU2109" s="8"/>
      <c r="FV2109" s="8"/>
      <c r="FW2109" s="8"/>
      <c r="FX2109" s="8"/>
      <c r="FY2109" s="8"/>
      <c r="FZ2109" s="8"/>
      <c r="GA2109" s="8"/>
      <c r="GB2109" s="8"/>
      <c r="GC2109" s="8"/>
      <c r="GD2109" s="8"/>
      <c r="GE2109" s="8"/>
      <c r="GF2109" s="8"/>
      <c r="GG2109" s="8"/>
      <c r="GH2109" s="8"/>
      <c r="GI2109" s="8"/>
      <c r="GJ2109" s="8"/>
      <c r="GK2109" s="8"/>
      <c r="GL2109" s="8"/>
      <c r="GM2109" s="8"/>
      <c r="GN2109" s="8"/>
      <c r="GO2109" s="8"/>
      <c r="GP2109" s="8"/>
      <c r="GQ2109" s="8"/>
      <c r="GR2109" s="8"/>
      <c r="GS2109" s="8"/>
      <c r="GT2109" s="8"/>
      <c r="GU2109" s="8"/>
      <c r="GV2109" s="8"/>
      <c r="GW2109" s="8"/>
      <c r="GX2109" s="8"/>
    </row>
    <row r="2110">
      <c r="A2110" s="8" t="str">
        <f>IFERROR(__xludf.DUMMYFUNCTION("""COMPUTED_VALUE"""),"111142620150300750")</f>
        <v>111142620150300750</v>
      </c>
      <c r="B2110" s="9" t="str">
        <f>IFERROR(__xludf.DUMMYFUNCTION("""COMPUTED_VALUE"""),"France")</f>
        <v>France</v>
      </c>
      <c r="C2110" s="9" t="str">
        <f>IFERROR(__xludf.DUMMYFUNCTION("""COMPUTED_VALUE"""),"rhone")</f>
        <v>rhone</v>
      </c>
      <c r="D2110" s="9" t="str">
        <f>IFERROR(__xludf.DUMMYFUNCTION("""COMPUTED_VALUE"""),"Delas, Cote Rotie, La Landonne")</f>
        <v>Delas, Cote Rotie, La Landonne</v>
      </c>
      <c r="E2110" s="9">
        <f>IFERROR(__xludf.DUMMYFUNCTION("""COMPUTED_VALUE"""),2015.0)</f>
        <v>2015</v>
      </c>
      <c r="F2110" s="9">
        <f>IFERROR(__xludf.DUMMYFUNCTION("""COMPUTED_VALUE"""),750.0)</f>
        <v>750</v>
      </c>
      <c r="G2110" s="9">
        <f>IFERROR(__xludf.DUMMYFUNCTION("""COMPUTED_VALUE"""),3.0)</f>
        <v>3</v>
      </c>
      <c r="H2110" s="10">
        <f>IFERROR(__xludf.DUMMYFUNCTION("""COMPUTED_VALUE"""),2.0)</f>
        <v>2</v>
      </c>
      <c r="I2110" s="11">
        <f>IFERROR(__xludf.DUMMYFUNCTION("""COMPUTED_VALUE"""),437.0)</f>
        <v>437</v>
      </c>
      <c r="J2110" s="9" t="str">
        <f>IFERROR(__xludf.DUMMYFUNCTION("""COMPUTED_VALUE"""),"UK")</f>
        <v>UK</v>
      </c>
      <c r="K2110" s="8"/>
      <c r="L2110" s="12"/>
      <c r="M2110" s="13"/>
      <c r="N2110" s="13" t="str">
        <f>IFERROR(__xludf.DUMMYFUNCTION("IF(ISBLANK(M2110),"""",M2110*GOOGLEFINANCE(""USDGBP""))"),"")</f>
        <v/>
      </c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  <c r="FG2110" s="8"/>
      <c r="FH2110" s="8"/>
      <c r="FI2110" s="8"/>
      <c r="FJ2110" s="8"/>
      <c r="FK2110" s="8"/>
      <c r="FL2110" s="8"/>
      <c r="FM2110" s="8"/>
      <c r="FN2110" s="8"/>
      <c r="FO2110" s="8"/>
      <c r="FP2110" s="8"/>
      <c r="FQ2110" s="8"/>
      <c r="FR2110" s="8"/>
      <c r="FS2110" s="8"/>
      <c r="FT2110" s="8"/>
      <c r="FU2110" s="8"/>
      <c r="FV2110" s="8"/>
      <c r="FW2110" s="8"/>
      <c r="FX2110" s="8"/>
      <c r="FY2110" s="8"/>
      <c r="FZ2110" s="8"/>
      <c r="GA2110" s="8"/>
      <c r="GB2110" s="8"/>
      <c r="GC2110" s="8"/>
      <c r="GD2110" s="8"/>
      <c r="GE2110" s="8"/>
      <c r="GF2110" s="8"/>
      <c r="GG2110" s="8"/>
      <c r="GH2110" s="8"/>
      <c r="GI2110" s="8"/>
      <c r="GJ2110" s="8"/>
      <c r="GK2110" s="8"/>
      <c r="GL2110" s="8"/>
      <c r="GM2110" s="8"/>
      <c r="GN2110" s="8"/>
      <c r="GO2110" s="8"/>
      <c r="GP2110" s="8"/>
      <c r="GQ2110" s="8"/>
      <c r="GR2110" s="8"/>
      <c r="GS2110" s="8"/>
      <c r="GT2110" s="8"/>
      <c r="GU2110" s="8"/>
      <c r="GV2110" s="8"/>
      <c r="GW2110" s="8"/>
      <c r="GX2110" s="8"/>
    </row>
    <row r="2111">
      <c r="A2111" s="8" t="str">
        <f>IFERROR(__xludf.DUMMYFUNCTION("""COMPUTED_VALUE"""),"111142620160600750")</f>
        <v>111142620160600750</v>
      </c>
      <c r="B2111" s="9" t="str">
        <f>IFERROR(__xludf.DUMMYFUNCTION("""COMPUTED_VALUE"""),"France")</f>
        <v>France</v>
      </c>
      <c r="C2111" s="9" t="str">
        <f>IFERROR(__xludf.DUMMYFUNCTION("""COMPUTED_VALUE"""),"rhone")</f>
        <v>rhone</v>
      </c>
      <c r="D2111" s="9" t="str">
        <f>IFERROR(__xludf.DUMMYFUNCTION("""COMPUTED_VALUE"""),"Delas, Cote Rotie, La Landonne")</f>
        <v>Delas, Cote Rotie, La Landonne</v>
      </c>
      <c r="E2111" s="9">
        <f>IFERROR(__xludf.DUMMYFUNCTION("""COMPUTED_VALUE"""),2016.0)</f>
        <v>2016</v>
      </c>
      <c r="F2111" s="9">
        <f>IFERROR(__xludf.DUMMYFUNCTION("""COMPUTED_VALUE"""),750.0)</f>
        <v>750</v>
      </c>
      <c r="G2111" s="9">
        <f>IFERROR(__xludf.DUMMYFUNCTION("""COMPUTED_VALUE"""),6.0)</f>
        <v>6</v>
      </c>
      <c r="H2111" s="10">
        <f>IFERROR(__xludf.DUMMYFUNCTION("""COMPUTED_VALUE"""),1.0)</f>
        <v>1</v>
      </c>
      <c r="I2111" s="11">
        <f>IFERROR(__xludf.DUMMYFUNCTION("""COMPUTED_VALUE"""),700.0)</f>
        <v>700</v>
      </c>
      <c r="J2111" s="9" t="str">
        <f>IFERROR(__xludf.DUMMYFUNCTION("""COMPUTED_VALUE"""),"UK")</f>
        <v>UK</v>
      </c>
      <c r="K2111" s="8"/>
      <c r="L2111" s="12"/>
      <c r="M2111" s="13"/>
      <c r="N2111" s="13" t="str">
        <f>IFERROR(__xludf.DUMMYFUNCTION("IF(ISBLANK(M2111),"""",M2111*GOOGLEFINANCE(""USDGBP""))"),"")</f>
        <v/>
      </c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  <c r="FG2111" s="8"/>
      <c r="FH2111" s="8"/>
      <c r="FI2111" s="8"/>
      <c r="FJ2111" s="8"/>
      <c r="FK2111" s="8"/>
      <c r="FL2111" s="8"/>
      <c r="FM2111" s="8"/>
      <c r="FN2111" s="8"/>
      <c r="FO2111" s="8"/>
      <c r="FP2111" s="8"/>
      <c r="FQ2111" s="8"/>
      <c r="FR2111" s="8"/>
      <c r="FS2111" s="8"/>
      <c r="FT2111" s="8"/>
      <c r="FU2111" s="8"/>
      <c r="FV2111" s="8"/>
      <c r="FW2111" s="8"/>
      <c r="FX2111" s="8"/>
      <c r="FY2111" s="8"/>
      <c r="FZ2111" s="8"/>
      <c r="GA2111" s="8"/>
      <c r="GB2111" s="8"/>
      <c r="GC2111" s="8"/>
      <c r="GD2111" s="8"/>
      <c r="GE2111" s="8"/>
      <c r="GF2111" s="8"/>
      <c r="GG2111" s="8"/>
      <c r="GH2111" s="8"/>
      <c r="GI2111" s="8"/>
      <c r="GJ2111" s="8"/>
      <c r="GK2111" s="8"/>
      <c r="GL2111" s="8"/>
      <c r="GM2111" s="8"/>
      <c r="GN2111" s="8"/>
      <c r="GO2111" s="8"/>
      <c r="GP2111" s="8"/>
      <c r="GQ2111" s="8"/>
      <c r="GR2111" s="8"/>
      <c r="GS2111" s="8"/>
      <c r="GT2111" s="8"/>
      <c r="GU2111" s="8"/>
      <c r="GV2111" s="8"/>
      <c r="GW2111" s="8"/>
      <c r="GX2111" s="8"/>
    </row>
    <row r="2112">
      <c r="A2112" s="8" t="str">
        <f>IFERROR(__xludf.DUMMYFUNCTION("""COMPUTED_VALUE"""),"111142620180301500")</f>
        <v>111142620180301500</v>
      </c>
      <c r="B2112" s="9" t="str">
        <f>IFERROR(__xludf.DUMMYFUNCTION("""COMPUTED_VALUE"""),"France")</f>
        <v>France</v>
      </c>
      <c r="C2112" s="9" t="str">
        <f>IFERROR(__xludf.DUMMYFUNCTION("""COMPUTED_VALUE"""),"rhone")</f>
        <v>rhone</v>
      </c>
      <c r="D2112" s="9" t="str">
        <f>IFERROR(__xludf.DUMMYFUNCTION("""COMPUTED_VALUE"""),"Delas, Cote Rotie, La Landonne")</f>
        <v>Delas, Cote Rotie, La Landonne</v>
      </c>
      <c r="E2112" s="9">
        <f>IFERROR(__xludf.DUMMYFUNCTION("""COMPUTED_VALUE"""),2018.0)</f>
        <v>2018</v>
      </c>
      <c r="F2112" s="9">
        <f>IFERROR(__xludf.DUMMYFUNCTION("""COMPUTED_VALUE"""),1500.0)</f>
        <v>1500</v>
      </c>
      <c r="G2112" s="9">
        <f>IFERROR(__xludf.DUMMYFUNCTION("""COMPUTED_VALUE"""),3.0)</f>
        <v>3</v>
      </c>
      <c r="H2112" s="10">
        <f>IFERROR(__xludf.DUMMYFUNCTION("""COMPUTED_VALUE"""),1.0)</f>
        <v>1</v>
      </c>
      <c r="I2112" s="11">
        <f>IFERROR(__xludf.DUMMYFUNCTION("""COMPUTED_VALUE"""),728.0)</f>
        <v>728</v>
      </c>
      <c r="J2112" s="9" t="str">
        <f>IFERROR(__xludf.DUMMYFUNCTION("""COMPUTED_VALUE"""),"UK")</f>
        <v>UK</v>
      </c>
      <c r="K2112" s="8"/>
      <c r="L2112" s="12"/>
      <c r="M2112" s="13"/>
      <c r="N2112" s="13" t="str">
        <f>IFERROR(__xludf.DUMMYFUNCTION("IF(ISBLANK(M2112),"""",M2112*GOOGLEFINANCE(""USDGBP""))"),"")</f>
        <v/>
      </c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  <c r="FG2112" s="8"/>
      <c r="FH2112" s="8"/>
      <c r="FI2112" s="8"/>
      <c r="FJ2112" s="8"/>
      <c r="FK2112" s="8"/>
      <c r="FL2112" s="8"/>
      <c r="FM2112" s="8"/>
      <c r="FN2112" s="8"/>
      <c r="FO2112" s="8"/>
      <c r="FP2112" s="8"/>
      <c r="FQ2112" s="8"/>
      <c r="FR2112" s="8"/>
      <c r="FS2112" s="8"/>
      <c r="FT2112" s="8"/>
      <c r="FU2112" s="8"/>
      <c r="FV2112" s="8"/>
      <c r="FW2112" s="8"/>
      <c r="FX2112" s="8"/>
      <c r="FY2112" s="8"/>
      <c r="FZ2112" s="8"/>
      <c r="GA2112" s="8"/>
      <c r="GB2112" s="8"/>
      <c r="GC2112" s="8"/>
      <c r="GD2112" s="8"/>
      <c r="GE2112" s="8"/>
      <c r="GF2112" s="8"/>
      <c r="GG2112" s="8"/>
      <c r="GH2112" s="8"/>
      <c r="GI2112" s="8"/>
      <c r="GJ2112" s="8"/>
      <c r="GK2112" s="8"/>
      <c r="GL2112" s="8"/>
      <c r="GM2112" s="8"/>
      <c r="GN2112" s="8"/>
      <c r="GO2112" s="8"/>
      <c r="GP2112" s="8"/>
      <c r="GQ2112" s="8"/>
      <c r="GR2112" s="8"/>
      <c r="GS2112" s="8"/>
      <c r="GT2112" s="8"/>
      <c r="GU2112" s="8"/>
      <c r="GV2112" s="8"/>
      <c r="GW2112" s="8"/>
      <c r="GX2112" s="8"/>
    </row>
    <row r="2113">
      <c r="A2113" s="8" t="str">
        <f>IFERROR(__xludf.DUMMYFUNCTION("""COMPUTED_VALUE"""),"117654820171200750")</f>
        <v>117654820171200750</v>
      </c>
      <c r="B2113" s="9" t="str">
        <f>IFERROR(__xludf.DUMMYFUNCTION("""COMPUTED_VALUE"""),"France")</f>
        <v>France</v>
      </c>
      <c r="C2113" s="9" t="str">
        <f>IFERROR(__xludf.DUMMYFUNCTION("""COMPUTED_VALUE"""),"rhone")</f>
        <v>rhone</v>
      </c>
      <c r="D2113" s="9" t="str">
        <f>IFERROR(__xludf.DUMMYFUNCTION("""COMPUTED_VALUE"""),"Domaine Combier, Crozes-Hermitage, Clos des Grives")</f>
        <v>Domaine Combier, Crozes-Hermitage, Clos des Grives</v>
      </c>
      <c r="E2113" s="9">
        <f>IFERROR(__xludf.DUMMYFUNCTION("""COMPUTED_VALUE"""),2017.0)</f>
        <v>2017</v>
      </c>
      <c r="F2113" s="9">
        <f>IFERROR(__xludf.DUMMYFUNCTION("""COMPUTED_VALUE"""),750.0)</f>
        <v>750</v>
      </c>
      <c r="G2113" s="9">
        <f>IFERROR(__xludf.DUMMYFUNCTION("""COMPUTED_VALUE"""),12.0)</f>
        <v>12</v>
      </c>
      <c r="H2113" s="10">
        <f>IFERROR(__xludf.DUMMYFUNCTION("""COMPUTED_VALUE"""),1.0)</f>
        <v>1</v>
      </c>
      <c r="I2113" s="11">
        <f>IFERROR(__xludf.DUMMYFUNCTION("""COMPUTED_VALUE"""),438.0)</f>
        <v>438</v>
      </c>
      <c r="J2113" s="9" t="str">
        <f>IFERROR(__xludf.DUMMYFUNCTION("""COMPUTED_VALUE"""),"UK")</f>
        <v>UK</v>
      </c>
      <c r="K2113" s="8"/>
      <c r="L2113" s="12"/>
      <c r="M2113" s="13"/>
      <c r="N2113" s="13" t="str">
        <f>IFERROR(__xludf.DUMMYFUNCTION("IF(ISBLANK(M2113),"""",M2113*GOOGLEFINANCE(""USDGBP""))"),"")</f>
        <v/>
      </c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  <c r="FG2113" s="8"/>
      <c r="FH2113" s="8"/>
      <c r="FI2113" s="8"/>
      <c r="FJ2113" s="8"/>
      <c r="FK2113" s="8"/>
      <c r="FL2113" s="8"/>
      <c r="FM2113" s="8"/>
      <c r="FN2113" s="8"/>
      <c r="FO2113" s="8"/>
      <c r="FP2113" s="8"/>
      <c r="FQ2113" s="8"/>
      <c r="FR2113" s="8"/>
      <c r="FS2113" s="8"/>
      <c r="FT2113" s="8"/>
      <c r="FU2113" s="8"/>
      <c r="FV2113" s="8"/>
      <c r="FW2113" s="8"/>
      <c r="FX2113" s="8"/>
      <c r="FY2113" s="8"/>
      <c r="FZ2113" s="8"/>
      <c r="GA2113" s="8"/>
      <c r="GB2113" s="8"/>
      <c r="GC2113" s="8"/>
      <c r="GD2113" s="8"/>
      <c r="GE2113" s="8"/>
      <c r="GF2113" s="8"/>
      <c r="GG2113" s="8"/>
      <c r="GH2113" s="8"/>
      <c r="GI2113" s="8"/>
      <c r="GJ2113" s="8"/>
      <c r="GK2113" s="8"/>
      <c r="GL2113" s="8"/>
      <c r="GM2113" s="8"/>
      <c r="GN2113" s="8"/>
      <c r="GO2113" s="8"/>
      <c r="GP2113" s="8"/>
      <c r="GQ2113" s="8"/>
      <c r="GR2113" s="8"/>
      <c r="GS2113" s="8"/>
      <c r="GT2113" s="8"/>
      <c r="GU2113" s="8"/>
      <c r="GV2113" s="8"/>
      <c r="GW2113" s="8"/>
      <c r="GX2113" s="8"/>
    </row>
    <row r="2114">
      <c r="A2114" s="8" t="str">
        <f>IFERROR(__xludf.DUMMYFUNCTION("""COMPUTED_VALUE"""),"111091120170600750")</f>
        <v>111091120170600750</v>
      </c>
      <c r="B2114" s="9" t="str">
        <f>IFERROR(__xludf.DUMMYFUNCTION("""COMPUTED_VALUE"""),"France")</f>
        <v>France</v>
      </c>
      <c r="C2114" s="9" t="str">
        <f>IFERROR(__xludf.DUMMYFUNCTION("""COMPUTED_VALUE"""),"rhone")</f>
        <v>rhone</v>
      </c>
      <c r="D2114" s="9" t="str">
        <f>IFERROR(__xludf.DUMMYFUNCTION("""COMPUTED_VALUE"""),"Domaine Courbis, Cornas, Les Eygats")</f>
        <v>Domaine Courbis, Cornas, Les Eygats</v>
      </c>
      <c r="E2114" s="9">
        <f>IFERROR(__xludf.DUMMYFUNCTION("""COMPUTED_VALUE"""),2017.0)</f>
        <v>2017</v>
      </c>
      <c r="F2114" s="9">
        <f>IFERROR(__xludf.DUMMYFUNCTION("""COMPUTED_VALUE"""),750.0)</f>
        <v>750</v>
      </c>
      <c r="G2114" s="9">
        <f>IFERROR(__xludf.DUMMYFUNCTION("""COMPUTED_VALUE"""),6.0)</f>
        <v>6</v>
      </c>
      <c r="H2114" s="10">
        <f>IFERROR(__xludf.DUMMYFUNCTION("""COMPUTED_VALUE"""),1.0)</f>
        <v>1</v>
      </c>
      <c r="I2114" s="11">
        <f>IFERROR(__xludf.DUMMYFUNCTION("""COMPUTED_VALUE"""),201.0)</f>
        <v>201</v>
      </c>
      <c r="J2114" s="9" t="str">
        <f>IFERROR(__xludf.DUMMYFUNCTION("""COMPUTED_VALUE"""),"UK")</f>
        <v>UK</v>
      </c>
      <c r="K2114" s="8"/>
      <c r="L2114" s="12"/>
      <c r="M2114" s="13"/>
      <c r="N2114" s="13" t="str">
        <f>IFERROR(__xludf.DUMMYFUNCTION("IF(ISBLANK(M2114),"""",M2114*GOOGLEFINANCE(""USDGBP""))"),"")</f>
        <v/>
      </c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  <c r="FG2114" s="8"/>
      <c r="FH2114" s="8"/>
      <c r="FI2114" s="8"/>
      <c r="FJ2114" s="8"/>
      <c r="FK2114" s="8"/>
      <c r="FL2114" s="8"/>
      <c r="FM2114" s="8"/>
      <c r="FN2114" s="8"/>
      <c r="FO2114" s="8"/>
      <c r="FP2114" s="8"/>
      <c r="FQ2114" s="8"/>
      <c r="FR2114" s="8"/>
      <c r="FS2114" s="8"/>
      <c r="FT2114" s="8"/>
      <c r="FU2114" s="8"/>
      <c r="FV2114" s="8"/>
      <c r="FW2114" s="8"/>
      <c r="FX2114" s="8"/>
      <c r="FY2114" s="8"/>
      <c r="FZ2114" s="8"/>
      <c r="GA2114" s="8"/>
      <c r="GB2114" s="8"/>
      <c r="GC2114" s="8"/>
      <c r="GD2114" s="8"/>
      <c r="GE2114" s="8"/>
      <c r="GF2114" s="8"/>
      <c r="GG2114" s="8"/>
      <c r="GH2114" s="8"/>
      <c r="GI2114" s="8"/>
      <c r="GJ2114" s="8"/>
      <c r="GK2114" s="8"/>
      <c r="GL2114" s="8"/>
      <c r="GM2114" s="8"/>
      <c r="GN2114" s="8"/>
      <c r="GO2114" s="8"/>
      <c r="GP2114" s="8"/>
      <c r="GQ2114" s="8"/>
      <c r="GR2114" s="8"/>
      <c r="GS2114" s="8"/>
      <c r="GT2114" s="8"/>
      <c r="GU2114" s="8"/>
      <c r="GV2114" s="8"/>
      <c r="GW2114" s="8"/>
      <c r="GX2114" s="8"/>
    </row>
    <row r="2115">
      <c r="A2115" s="8" t="str">
        <f>IFERROR(__xludf.DUMMYFUNCTION("""COMPUTED_VALUE"""),"111168620160601500")</f>
        <v>111168620160601500</v>
      </c>
      <c r="B2115" s="9" t="str">
        <f>IFERROR(__xludf.DUMMYFUNCTION("""COMPUTED_VALUE"""),"France")</f>
        <v>France</v>
      </c>
      <c r="C2115" s="9" t="str">
        <f>IFERROR(__xludf.DUMMYFUNCTION("""COMPUTED_VALUE"""),"rhone")</f>
        <v>rhone</v>
      </c>
      <c r="D2115" s="9" t="str">
        <f>IFERROR(__xludf.DUMMYFUNCTION("""COMPUTED_VALUE"""),"Domaine Durand, Cornas, Empreintes")</f>
        <v>Domaine Durand, Cornas, Empreintes</v>
      </c>
      <c r="E2115" s="9">
        <f>IFERROR(__xludf.DUMMYFUNCTION("""COMPUTED_VALUE"""),2016.0)</f>
        <v>2016</v>
      </c>
      <c r="F2115" s="9">
        <f>IFERROR(__xludf.DUMMYFUNCTION("""COMPUTED_VALUE"""),1500.0)</f>
        <v>1500</v>
      </c>
      <c r="G2115" s="9">
        <f>IFERROR(__xludf.DUMMYFUNCTION("""COMPUTED_VALUE"""),6.0)</f>
        <v>6</v>
      </c>
      <c r="H2115" s="10">
        <f>IFERROR(__xludf.DUMMYFUNCTION("""COMPUTED_VALUE"""),2.0)</f>
        <v>2</v>
      </c>
      <c r="I2115" s="11">
        <f>IFERROR(__xludf.DUMMYFUNCTION("""COMPUTED_VALUE"""),621.0)</f>
        <v>621</v>
      </c>
      <c r="J2115" s="9" t="str">
        <f>IFERROR(__xludf.DUMMYFUNCTION("""COMPUTED_VALUE"""),"UK")</f>
        <v>UK</v>
      </c>
      <c r="K2115" s="8"/>
      <c r="L2115" s="12"/>
      <c r="M2115" s="13"/>
      <c r="N2115" s="13" t="str">
        <f>IFERROR(__xludf.DUMMYFUNCTION("IF(ISBLANK(M2115),"""",M2115*GOOGLEFINANCE(""USDGBP""))"),"")</f>
        <v/>
      </c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  <c r="FG2115" s="8"/>
      <c r="FH2115" s="8"/>
      <c r="FI2115" s="8"/>
      <c r="FJ2115" s="8"/>
      <c r="FK2115" s="8"/>
      <c r="FL2115" s="8"/>
      <c r="FM2115" s="8"/>
      <c r="FN2115" s="8"/>
      <c r="FO2115" s="8"/>
      <c r="FP2115" s="8"/>
      <c r="FQ2115" s="8"/>
      <c r="FR2115" s="8"/>
      <c r="FS2115" s="8"/>
      <c r="FT2115" s="8"/>
      <c r="FU2115" s="8"/>
      <c r="FV2115" s="8"/>
      <c r="FW2115" s="8"/>
      <c r="FX2115" s="8"/>
      <c r="FY2115" s="8"/>
      <c r="FZ2115" s="8"/>
      <c r="GA2115" s="8"/>
      <c r="GB2115" s="8"/>
      <c r="GC2115" s="8"/>
      <c r="GD2115" s="8"/>
      <c r="GE2115" s="8"/>
      <c r="GF2115" s="8"/>
      <c r="GG2115" s="8"/>
      <c r="GH2115" s="8"/>
      <c r="GI2115" s="8"/>
      <c r="GJ2115" s="8"/>
      <c r="GK2115" s="8"/>
      <c r="GL2115" s="8"/>
      <c r="GM2115" s="8"/>
      <c r="GN2115" s="8"/>
      <c r="GO2115" s="8"/>
      <c r="GP2115" s="8"/>
      <c r="GQ2115" s="8"/>
      <c r="GR2115" s="8"/>
      <c r="GS2115" s="8"/>
      <c r="GT2115" s="8"/>
      <c r="GU2115" s="8"/>
      <c r="GV2115" s="8"/>
      <c r="GW2115" s="8"/>
      <c r="GX2115" s="8"/>
    </row>
    <row r="2116">
      <c r="A2116" s="8" t="str">
        <f>IFERROR(__xludf.DUMMYFUNCTION("""COMPUTED_VALUE"""),"131175420190600750")</f>
        <v>131175420190600750</v>
      </c>
      <c r="B2116" s="9" t="str">
        <f>IFERROR(__xludf.DUMMYFUNCTION("""COMPUTED_VALUE"""),"France")</f>
        <v>France</v>
      </c>
      <c r="C2116" s="9" t="str">
        <f>IFERROR(__xludf.DUMMYFUNCTION("""COMPUTED_VALUE"""),"rhone")</f>
        <v>rhone</v>
      </c>
      <c r="D2116" s="9" t="str">
        <f>IFERROR(__xludf.DUMMYFUNCTION("""COMPUTED_VALUE"""),"Domaine Isabel Ferrando, Chateauneuf-du-Pape, Colombis")</f>
        <v>Domaine Isabel Ferrando, Chateauneuf-du-Pape, Colombis</v>
      </c>
      <c r="E2116" s="9">
        <f>IFERROR(__xludf.DUMMYFUNCTION("""COMPUTED_VALUE"""),2019.0)</f>
        <v>2019</v>
      </c>
      <c r="F2116" s="9">
        <f>IFERROR(__xludf.DUMMYFUNCTION("""COMPUTED_VALUE"""),750.0)</f>
        <v>750</v>
      </c>
      <c r="G2116" s="9">
        <f>IFERROR(__xludf.DUMMYFUNCTION("""COMPUTED_VALUE"""),6.0)</f>
        <v>6</v>
      </c>
      <c r="H2116" s="10">
        <f>IFERROR(__xludf.DUMMYFUNCTION("""COMPUTED_VALUE"""),1.0)</f>
        <v>1</v>
      </c>
      <c r="I2116" s="11">
        <f>IFERROR(__xludf.DUMMYFUNCTION("""COMPUTED_VALUE"""),425.0)</f>
        <v>425</v>
      </c>
      <c r="J2116" s="9" t="str">
        <f>IFERROR(__xludf.DUMMYFUNCTION("""COMPUTED_VALUE"""),"UK")</f>
        <v>UK</v>
      </c>
      <c r="K2116" s="8"/>
      <c r="L2116" s="12"/>
      <c r="M2116" s="13"/>
      <c r="N2116" s="13" t="str">
        <f>IFERROR(__xludf.DUMMYFUNCTION("IF(ISBLANK(M2116),"""",M2116*GOOGLEFINANCE(""USDGBP""))"),"")</f>
        <v/>
      </c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  <c r="FG2116" s="8"/>
      <c r="FH2116" s="8"/>
      <c r="FI2116" s="8"/>
      <c r="FJ2116" s="8"/>
      <c r="FK2116" s="8"/>
      <c r="FL2116" s="8"/>
      <c r="FM2116" s="8"/>
      <c r="FN2116" s="8"/>
      <c r="FO2116" s="8"/>
      <c r="FP2116" s="8"/>
      <c r="FQ2116" s="8"/>
      <c r="FR2116" s="8"/>
      <c r="FS2116" s="8"/>
      <c r="FT2116" s="8"/>
      <c r="FU2116" s="8"/>
      <c r="FV2116" s="8"/>
      <c r="FW2116" s="8"/>
      <c r="FX2116" s="8"/>
      <c r="FY2116" s="8"/>
      <c r="FZ2116" s="8"/>
      <c r="GA2116" s="8"/>
      <c r="GB2116" s="8"/>
      <c r="GC2116" s="8"/>
      <c r="GD2116" s="8"/>
      <c r="GE2116" s="8"/>
      <c r="GF2116" s="8"/>
      <c r="GG2116" s="8"/>
      <c r="GH2116" s="8"/>
      <c r="GI2116" s="8"/>
      <c r="GJ2116" s="8"/>
      <c r="GK2116" s="8"/>
      <c r="GL2116" s="8"/>
      <c r="GM2116" s="8"/>
      <c r="GN2116" s="8"/>
      <c r="GO2116" s="8"/>
      <c r="GP2116" s="8"/>
      <c r="GQ2116" s="8"/>
      <c r="GR2116" s="8"/>
      <c r="GS2116" s="8"/>
      <c r="GT2116" s="8"/>
      <c r="GU2116" s="8"/>
      <c r="GV2116" s="8"/>
      <c r="GW2116" s="8"/>
      <c r="GX2116" s="8"/>
    </row>
    <row r="2117">
      <c r="A2117" s="8" t="str">
        <f>IFERROR(__xludf.DUMMYFUNCTION("""COMPUTED_VALUE"""),"111385320160600750")</f>
        <v>111385320160600750</v>
      </c>
      <c r="B2117" s="9" t="str">
        <f>IFERROR(__xludf.DUMMYFUNCTION("""COMPUTED_VALUE"""),"France")</f>
        <v>France</v>
      </c>
      <c r="C2117" s="9" t="str">
        <f>IFERROR(__xludf.DUMMYFUNCTION("""COMPUTED_VALUE"""),"rhone")</f>
        <v>rhone</v>
      </c>
      <c r="D2117" s="9" t="str">
        <f>IFERROR(__xludf.DUMMYFUNCTION("""COMPUTED_VALUE"""),"Domaine J Paul &amp; Loic Jamet, Cote Rotie, Fructus Voluptas")</f>
        <v>Domaine J Paul &amp; Loic Jamet, Cote Rotie, Fructus Voluptas</v>
      </c>
      <c r="E2117" s="9">
        <f>IFERROR(__xludf.DUMMYFUNCTION("""COMPUTED_VALUE"""),2016.0)</f>
        <v>2016</v>
      </c>
      <c r="F2117" s="9">
        <f>IFERROR(__xludf.DUMMYFUNCTION("""COMPUTED_VALUE"""),750.0)</f>
        <v>750</v>
      </c>
      <c r="G2117" s="9">
        <f>IFERROR(__xludf.DUMMYFUNCTION("""COMPUTED_VALUE"""),6.0)</f>
        <v>6</v>
      </c>
      <c r="H2117" s="10">
        <f>IFERROR(__xludf.DUMMYFUNCTION("""COMPUTED_VALUE"""),1.0)</f>
        <v>1</v>
      </c>
      <c r="I2117" s="11">
        <f>IFERROR(__xludf.DUMMYFUNCTION("""COMPUTED_VALUE"""),424.0)</f>
        <v>424</v>
      </c>
      <c r="J2117" s="9" t="str">
        <f>IFERROR(__xludf.DUMMYFUNCTION("""COMPUTED_VALUE"""),"UK")</f>
        <v>UK</v>
      </c>
      <c r="K2117" s="8"/>
      <c r="L2117" s="12"/>
      <c r="M2117" s="13"/>
      <c r="N2117" s="13" t="str">
        <f>IFERROR(__xludf.DUMMYFUNCTION("IF(ISBLANK(M2117),"""",M2117*GOOGLEFINANCE(""USDGBP""))"),"")</f>
        <v/>
      </c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  <c r="FG2117" s="8"/>
      <c r="FH2117" s="8"/>
      <c r="FI2117" s="8"/>
      <c r="FJ2117" s="8"/>
      <c r="FK2117" s="8"/>
      <c r="FL2117" s="8"/>
      <c r="FM2117" s="8"/>
      <c r="FN2117" s="8"/>
      <c r="FO2117" s="8"/>
      <c r="FP2117" s="8"/>
      <c r="FQ2117" s="8"/>
      <c r="FR2117" s="8"/>
      <c r="FS2117" s="8"/>
      <c r="FT2117" s="8"/>
      <c r="FU2117" s="8"/>
      <c r="FV2117" s="8"/>
      <c r="FW2117" s="8"/>
      <c r="FX2117" s="8"/>
      <c r="FY2117" s="8"/>
      <c r="FZ2117" s="8"/>
      <c r="GA2117" s="8"/>
      <c r="GB2117" s="8"/>
      <c r="GC2117" s="8"/>
      <c r="GD2117" s="8"/>
      <c r="GE2117" s="8"/>
      <c r="GF2117" s="8"/>
      <c r="GG2117" s="8"/>
      <c r="GH2117" s="8"/>
      <c r="GI2117" s="8"/>
      <c r="GJ2117" s="8"/>
      <c r="GK2117" s="8"/>
      <c r="GL2117" s="8"/>
      <c r="GM2117" s="8"/>
      <c r="GN2117" s="8"/>
      <c r="GO2117" s="8"/>
      <c r="GP2117" s="8"/>
      <c r="GQ2117" s="8"/>
      <c r="GR2117" s="8"/>
      <c r="GS2117" s="8"/>
      <c r="GT2117" s="8"/>
      <c r="GU2117" s="8"/>
      <c r="GV2117" s="8"/>
      <c r="GW2117" s="8"/>
      <c r="GX2117" s="8"/>
    </row>
    <row r="2118">
      <c r="A2118" s="8" t="str">
        <f>IFERROR(__xludf.DUMMYFUNCTION("""COMPUTED_VALUE"""),"180841820180600750")</f>
        <v>180841820180600750</v>
      </c>
      <c r="B2118" s="9" t="str">
        <f>IFERROR(__xludf.DUMMYFUNCTION("""COMPUTED_VALUE"""),"France")</f>
        <v>France</v>
      </c>
      <c r="C2118" s="9" t="str">
        <f>IFERROR(__xludf.DUMMYFUNCTION("""COMPUTED_VALUE"""),"rhone")</f>
        <v>rhone</v>
      </c>
      <c r="D2118" s="9" t="str">
        <f>IFERROR(__xludf.DUMMYFUNCTION("""COMPUTED_VALUE"""),"Domaine Jean Louis Chave, Saint-Joseph, Clos Florentin")</f>
        <v>Domaine Jean Louis Chave, Saint-Joseph, Clos Florentin</v>
      </c>
      <c r="E2118" s="9">
        <f>IFERROR(__xludf.DUMMYFUNCTION("""COMPUTED_VALUE"""),2018.0)</f>
        <v>2018</v>
      </c>
      <c r="F2118" s="9">
        <f>IFERROR(__xludf.DUMMYFUNCTION("""COMPUTED_VALUE"""),750.0)</f>
        <v>750</v>
      </c>
      <c r="G2118" s="9">
        <f>IFERROR(__xludf.DUMMYFUNCTION("""COMPUTED_VALUE"""),6.0)</f>
        <v>6</v>
      </c>
      <c r="H2118" s="10">
        <f>IFERROR(__xludf.DUMMYFUNCTION("""COMPUTED_VALUE"""),1.0)</f>
        <v>1</v>
      </c>
      <c r="I2118" s="11">
        <f>IFERROR(__xludf.DUMMYFUNCTION("""COMPUTED_VALUE"""),1646.0)</f>
        <v>1646</v>
      </c>
      <c r="J2118" s="9" t="str">
        <f>IFERROR(__xludf.DUMMYFUNCTION("""COMPUTED_VALUE"""),"UK")</f>
        <v>UK</v>
      </c>
      <c r="K2118" s="8"/>
      <c r="L2118" s="12"/>
      <c r="M2118" s="13"/>
      <c r="N2118" s="13" t="str">
        <f>IFERROR(__xludf.DUMMYFUNCTION("IF(ISBLANK(M2118),"""",M2118*GOOGLEFINANCE(""USDGBP""))"),"")</f>
        <v/>
      </c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  <c r="FG2118" s="8"/>
      <c r="FH2118" s="8"/>
      <c r="FI2118" s="8"/>
      <c r="FJ2118" s="8"/>
      <c r="FK2118" s="8"/>
      <c r="FL2118" s="8"/>
      <c r="FM2118" s="8"/>
      <c r="FN2118" s="8"/>
      <c r="FO2118" s="8"/>
      <c r="FP2118" s="8"/>
      <c r="FQ2118" s="8"/>
      <c r="FR2118" s="8"/>
      <c r="FS2118" s="8"/>
      <c r="FT2118" s="8"/>
      <c r="FU2118" s="8"/>
      <c r="FV2118" s="8"/>
      <c r="FW2118" s="8"/>
      <c r="FX2118" s="8"/>
      <c r="FY2118" s="8"/>
      <c r="FZ2118" s="8"/>
      <c r="GA2118" s="8"/>
      <c r="GB2118" s="8"/>
      <c r="GC2118" s="8"/>
      <c r="GD2118" s="8"/>
      <c r="GE2118" s="8"/>
      <c r="GF2118" s="8"/>
      <c r="GG2118" s="8"/>
      <c r="GH2118" s="8"/>
      <c r="GI2118" s="8"/>
      <c r="GJ2118" s="8"/>
      <c r="GK2118" s="8"/>
      <c r="GL2118" s="8"/>
      <c r="GM2118" s="8"/>
      <c r="GN2118" s="8"/>
      <c r="GO2118" s="8"/>
      <c r="GP2118" s="8"/>
      <c r="GQ2118" s="8"/>
      <c r="GR2118" s="8"/>
      <c r="GS2118" s="8"/>
      <c r="GT2118" s="8"/>
      <c r="GU2118" s="8"/>
      <c r="GV2118" s="8"/>
      <c r="GW2118" s="8"/>
      <c r="GX2118" s="8"/>
    </row>
    <row r="2119">
      <c r="A2119" s="8" t="str">
        <f>IFERROR(__xludf.DUMMYFUNCTION("""COMPUTED_VALUE"""),"110832920150600750")</f>
        <v>110832920150600750</v>
      </c>
      <c r="B2119" s="9" t="str">
        <f>IFERROR(__xludf.DUMMYFUNCTION("""COMPUTED_VALUE"""),"France")</f>
        <v>France</v>
      </c>
      <c r="C2119" s="9" t="str">
        <f>IFERROR(__xludf.DUMMYFUNCTION("""COMPUTED_VALUE"""),"rhone")</f>
        <v>rhone</v>
      </c>
      <c r="D2119" s="9" t="str">
        <f>IFERROR(__xludf.DUMMYFUNCTION("""COMPUTED_VALUE"""),"Domaine La Barroche, Chateauneuf-du-Pape, Pure Rouge")</f>
        <v>Domaine La Barroche, Chateauneuf-du-Pape, Pure Rouge</v>
      </c>
      <c r="E2119" s="9">
        <f>IFERROR(__xludf.DUMMYFUNCTION("""COMPUTED_VALUE"""),2015.0)</f>
        <v>2015</v>
      </c>
      <c r="F2119" s="9">
        <f>IFERROR(__xludf.DUMMYFUNCTION("""COMPUTED_VALUE"""),750.0)</f>
        <v>750</v>
      </c>
      <c r="G2119" s="9">
        <f>IFERROR(__xludf.DUMMYFUNCTION("""COMPUTED_VALUE"""),6.0)</f>
        <v>6</v>
      </c>
      <c r="H2119" s="10">
        <f>IFERROR(__xludf.DUMMYFUNCTION("""COMPUTED_VALUE"""),2.0)</f>
        <v>2</v>
      </c>
      <c r="I2119" s="11">
        <f>IFERROR(__xludf.DUMMYFUNCTION("""COMPUTED_VALUE"""),463.0)</f>
        <v>463</v>
      </c>
      <c r="J2119" s="9" t="str">
        <f>IFERROR(__xludf.DUMMYFUNCTION("""COMPUTED_VALUE"""),"UK")</f>
        <v>UK</v>
      </c>
      <c r="K2119" s="8"/>
      <c r="L2119" s="12"/>
      <c r="M2119" s="13"/>
      <c r="N2119" s="13" t="str">
        <f>IFERROR(__xludf.DUMMYFUNCTION("IF(ISBLANK(M2119),"""",M2119*GOOGLEFINANCE(""USDGBP""))"),"")</f>
        <v/>
      </c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  <c r="FG2119" s="8"/>
      <c r="FH2119" s="8"/>
      <c r="FI2119" s="8"/>
      <c r="FJ2119" s="8"/>
      <c r="FK2119" s="8"/>
      <c r="FL2119" s="8"/>
      <c r="FM2119" s="8"/>
      <c r="FN2119" s="8"/>
      <c r="FO2119" s="8"/>
      <c r="FP2119" s="8"/>
      <c r="FQ2119" s="8"/>
      <c r="FR2119" s="8"/>
      <c r="FS2119" s="8"/>
      <c r="FT2119" s="8"/>
      <c r="FU2119" s="8"/>
      <c r="FV2119" s="8"/>
      <c r="FW2119" s="8"/>
      <c r="FX2119" s="8"/>
      <c r="FY2119" s="8"/>
      <c r="FZ2119" s="8"/>
      <c r="GA2119" s="8"/>
      <c r="GB2119" s="8"/>
      <c r="GC2119" s="8"/>
      <c r="GD2119" s="8"/>
      <c r="GE2119" s="8"/>
      <c r="GF2119" s="8"/>
      <c r="GG2119" s="8"/>
      <c r="GH2119" s="8"/>
      <c r="GI2119" s="8"/>
      <c r="GJ2119" s="8"/>
      <c r="GK2119" s="8"/>
      <c r="GL2119" s="8"/>
      <c r="GM2119" s="8"/>
      <c r="GN2119" s="8"/>
      <c r="GO2119" s="8"/>
      <c r="GP2119" s="8"/>
      <c r="GQ2119" s="8"/>
      <c r="GR2119" s="8"/>
      <c r="GS2119" s="8"/>
      <c r="GT2119" s="8"/>
      <c r="GU2119" s="8"/>
      <c r="GV2119" s="8"/>
      <c r="GW2119" s="8"/>
      <c r="GX2119" s="8"/>
    </row>
    <row r="2120">
      <c r="A2120" s="8" t="str">
        <f>IFERROR(__xludf.DUMMYFUNCTION("""COMPUTED_VALUE"""),"111762020031200750")</f>
        <v>111762020031200750</v>
      </c>
      <c r="B2120" s="9" t="str">
        <f>IFERROR(__xludf.DUMMYFUNCTION("""COMPUTED_VALUE"""),"France")</f>
        <v>France</v>
      </c>
      <c r="C2120" s="9" t="str">
        <f>IFERROR(__xludf.DUMMYFUNCTION("""COMPUTED_VALUE"""),"rhone")</f>
        <v>rhone</v>
      </c>
      <c r="D2120" s="9" t="str">
        <f>IFERROR(__xludf.DUMMYFUNCTION("""COMPUTED_VALUE"""),"Domaine Pierre Usseglio &amp; Fils, Chateauneuf-du-Pape, Rouge")</f>
        <v>Domaine Pierre Usseglio &amp; Fils, Chateauneuf-du-Pape, Rouge</v>
      </c>
      <c r="E2120" s="9">
        <f>IFERROR(__xludf.DUMMYFUNCTION("""COMPUTED_VALUE"""),2003.0)</f>
        <v>2003</v>
      </c>
      <c r="F2120" s="9">
        <f>IFERROR(__xludf.DUMMYFUNCTION("""COMPUTED_VALUE"""),750.0)</f>
        <v>750</v>
      </c>
      <c r="G2120" s="9">
        <f>IFERROR(__xludf.DUMMYFUNCTION("""COMPUTED_VALUE"""),12.0)</f>
        <v>12</v>
      </c>
      <c r="H2120" s="10">
        <f>IFERROR(__xludf.DUMMYFUNCTION("""COMPUTED_VALUE"""),2.0)</f>
        <v>2</v>
      </c>
      <c r="I2120" s="11">
        <f>IFERROR(__xludf.DUMMYFUNCTION("""COMPUTED_VALUE"""),499.0)</f>
        <v>499</v>
      </c>
      <c r="J2120" s="9" t="str">
        <f>IFERROR(__xludf.DUMMYFUNCTION("""COMPUTED_VALUE"""),"UK")</f>
        <v>UK</v>
      </c>
      <c r="K2120" s="8"/>
      <c r="L2120" s="12"/>
      <c r="M2120" s="13"/>
      <c r="N2120" s="13" t="str">
        <f>IFERROR(__xludf.DUMMYFUNCTION("IF(ISBLANK(M2120),"""",M2120*GOOGLEFINANCE(""USDGBP""))"),"")</f>
        <v/>
      </c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  <c r="FG2120" s="8"/>
      <c r="FH2120" s="8"/>
      <c r="FI2120" s="8"/>
      <c r="FJ2120" s="8"/>
      <c r="FK2120" s="8"/>
      <c r="FL2120" s="8"/>
      <c r="FM2120" s="8"/>
      <c r="FN2120" s="8"/>
      <c r="FO2120" s="8"/>
      <c r="FP2120" s="8"/>
      <c r="FQ2120" s="8"/>
      <c r="FR2120" s="8"/>
      <c r="FS2120" s="8"/>
      <c r="FT2120" s="8"/>
      <c r="FU2120" s="8"/>
      <c r="FV2120" s="8"/>
      <c r="FW2120" s="8"/>
      <c r="FX2120" s="8"/>
      <c r="FY2120" s="8"/>
      <c r="FZ2120" s="8"/>
      <c r="GA2120" s="8"/>
      <c r="GB2120" s="8"/>
      <c r="GC2120" s="8"/>
      <c r="GD2120" s="8"/>
      <c r="GE2120" s="8"/>
      <c r="GF2120" s="8"/>
      <c r="GG2120" s="8"/>
      <c r="GH2120" s="8"/>
      <c r="GI2120" s="8"/>
      <c r="GJ2120" s="8"/>
      <c r="GK2120" s="8"/>
      <c r="GL2120" s="8"/>
      <c r="GM2120" s="8"/>
      <c r="GN2120" s="8"/>
      <c r="GO2120" s="8"/>
      <c r="GP2120" s="8"/>
      <c r="GQ2120" s="8"/>
      <c r="GR2120" s="8"/>
      <c r="GS2120" s="8"/>
      <c r="GT2120" s="8"/>
      <c r="GU2120" s="8"/>
      <c r="GV2120" s="8"/>
      <c r="GW2120" s="8"/>
      <c r="GX2120" s="8"/>
    </row>
    <row r="2121">
      <c r="A2121" s="8" t="str">
        <f>IFERROR(__xludf.DUMMYFUNCTION("""COMPUTED_VALUE"""),"111766220091200750")</f>
        <v>111766220091200750</v>
      </c>
      <c r="B2121" s="9" t="str">
        <f>IFERROR(__xludf.DUMMYFUNCTION("""COMPUTED_VALUE"""),"France")</f>
        <v>France</v>
      </c>
      <c r="C2121" s="9" t="str">
        <f>IFERROR(__xludf.DUMMYFUNCTION("""COMPUTED_VALUE"""),"rhone")</f>
        <v>rhone</v>
      </c>
      <c r="D2121" s="9" t="str">
        <f>IFERROR(__xludf.DUMMYFUNCTION("""COMPUTED_VALUE"""),"Domaine Pierre Usseglio, Chateauneuf-du-Pape, de Mon Aieul")</f>
        <v>Domaine Pierre Usseglio, Chateauneuf-du-Pape, de Mon Aieul</v>
      </c>
      <c r="E2121" s="9">
        <f>IFERROR(__xludf.DUMMYFUNCTION("""COMPUTED_VALUE"""),2009.0)</f>
        <v>2009</v>
      </c>
      <c r="F2121" s="9">
        <f>IFERROR(__xludf.DUMMYFUNCTION("""COMPUTED_VALUE"""),750.0)</f>
        <v>750</v>
      </c>
      <c r="G2121" s="9">
        <f>IFERROR(__xludf.DUMMYFUNCTION("""COMPUTED_VALUE"""),12.0)</f>
        <v>12</v>
      </c>
      <c r="H2121" s="10">
        <f>IFERROR(__xludf.DUMMYFUNCTION("""COMPUTED_VALUE"""),1.0)</f>
        <v>1</v>
      </c>
      <c r="I2121" s="11">
        <f>IFERROR(__xludf.DUMMYFUNCTION("""COMPUTED_VALUE"""),592.0)</f>
        <v>592</v>
      </c>
      <c r="J2121" s="9" t="str">
        <f>IFERROR(__xludf.DUMMYFUNCTION("""COMPUTED_VALUE"""),"UK")</f>
        <v>UK</v>
      </c>
      <c r="K2121" s="8"/>
      <c r="L2121" s="12"/>
      <c r="M2121" s="13"/>
      <c r="N2121" s="13" t="str">
        <f>IFERROR(__xludf.DUMMYFUNCTION("IF(ISBLANK(M2121),"""",M2121*GOOGLEFINANCE(""USDGBP""))"),"")</f>
        <v/>
      </c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  <c r="FG2121" s="8"/>
      <c r="FH2121" s="8"/>
      <c r="FI2121" s="8"/>
      <c r="FJ2121" s="8"/>
      <c r="FK2121" s="8"/>
      <c r="FL2121" s="8"/>
      <c r="FM2121" s="8"/>
      <c r="FN2121" s="8"/>
      <c r="FO2121" s="8"/>
      <c r="FP2121" s="8"/>
      <c r="FQ2121" s="8"/>
      <c r="FR2121" s="8"/>
      <c r="FS2121" s="8"/>
      <c r="FT2121" s="8"/>
      <c r="FU2121" s="8"/>
      <c r="FV2121" s="8"/>
      <c r="FW2121" s="8"/>
      <c r="FX2121" s="8"/>
      <c r="FY2121" s="8"/>
      <c r="FZ2121" s="8"/>
      <c r="GA2121" s="8"/>
      <c r="GB2121" s="8"/>
      <c r="GC2121" s="8"/>
      <c r="GD2121" s="8"/>
      <c r="GE2121" s="8"/>
      <c r="GF2121" s="8"/>
      <c r="GG2121" s="8"/>
      <c r="GH2121" s="8"/>
      <c r="GI2121" s="8"/>
      <c r="GJ2121" s="8"/>
      <c r="GK2121" s="8"/>
      <c r="GL2121" s="8"/>
      <c r="GM2121" s="8"/>
      <c r="GN2121" s="8"/>
      <c r="GO2121" s="8"/>
      <c r="GP2121" s="8"/>
      <c r="GQ2121" s="8"/>
      <c r="GR2121" s="8"/>
      <c r="GS2121" s="8"/>
      <c r="GT2121" s="8"/>
      <c r="GU2121" s="8"/>
      <c r="GV2121" s="8"/>
      <c r="GW2121" s="8"/>
      <c r="GX2121" s="8"/>
    </row>
    <row r="2122">
      <c r="A2122" s="8" t="str">
        <f>IFERROR(__xludf.DUMMYFUNCTION("""COMPUTED_VALUE"""),"111766220150601500")</f>
        <v>111766220150601500</v>
      </c>
      <c r="B2122" s="9" t="str">
        <f>IFERROR(__xludf.DUMMYFUNCTION("""COMPUTED_VALUE"""),"France")</f>
        <v>France</v>
      </c>
      <c r="C2122" s="9" t="str">
        <f>IFERROR(__xludf.DUMMYFUNCTION("""COMPUTED_VALUE"""),"rhone")</f>
        <v>rhone</v>
      </c>
      <c r="D2122" s="9" t="str">
        <f>IFERROR(__xludf.DUMMYFUNCTION("""COMPUTED_VALUE"""),"Domaine Pierre Usseglio, Chateauneuf-du-Pape, de Mon Aieul")</f>
        <v>Domaine Pierre Usseglio, Chateauneuf-du-Pape, de Mon Aieul</v>
      </c>
      <c r="E2122" s="9">
        <f>IFERROR(__xludf.DUMMYFUNCTION("""COMPUTED_VALUE"""),2015.0)</f>
        <v>2015</v>
      </c>
      <c r="F2122" s="9">
        <f>IFERROR(__xludf.DUMMYFUNCTION("""COMPUTED_VALUE"""),1500.0)</f>
        <v>1500</v>
      </c>
      <c r="G2122" s="9">
        <f>IFERROR(__xludf.DUMMYFUNCTION("""COMPUTED_VALUE"""),6.0)</f>
        <v>6</v>
      </c>
      <c r="H2122" s="10">
        <f>IFERROR(__xludf.DUMMYFUNCTION("""COMPUTED_VALUE"""),1.0)</f>
        <v>1</v>
      </c>
      <c r="I2122" s="11">
        <f>IFERROR(__xludf.DUMMYFUNCTION("""COMPUTED_VALUE"""),600.0)</f>
        <v>600</v>
      </c>
      <c r="J2122" s="9" t="str">
        <f>IFERROR(__xludf.DUMMYFUNCTION("""COMPUTED_VALUE"""),"UK")</f>
        <v>UK</v>
      </c>
      <c r="K2122" s="8"/>
      <c r="L2122" s="12"/>
      <c r="M2122" s="13"/>
      <c r="N2122" s="13" t="str">
        <f>IFERROR(__xludf.DUMMYFUNCTION("IF(ISBLANK(M2122),"""",M2122*GOOGLEFINANCE(""USDGBP""))"),"")</f>
        <v/>
      </c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  <c r="FG2122" s="8"/>
      <c r="FH2122" s="8"/>
      <c r="FI2122" s="8"/>
      <c r="FJ2122" s="8"/>
      <c r="FK2122" s="8"/>
      <c r="FL2122" s="8"/>
      <c r="FM2122" s="8"/>
      <c r="FN2122" s="8"/>
      <c r="FO2122" s="8"/>
      <c r="FP2122" s="8"/>
      <c r="FQ2122" s="8"/>
      <c r="FR2122" s="8"/>
      <c r="FS2122" s="8"/>
      <c r="FT2122" s="8"/>
      <c r="FU2122" s="8"/>
      <c r="FV2122" s="8"/>
      <c r="FW2122" s="8"/>
      <c r="FX2122" s="8"/>
      <c r="FY2122" s="8"/>
      <c r="FZ2122" s="8"/>
      <c r="GA2122" s="8"/>
      <c r="GB2122" s="8"/>
      <c r="GC2122" s="8"/>
      <c r="GD2122" s="8"/>
      <c r="GE2122" s="8"/>
      <c r="GF2122" s="8"/>
      <c r="GG2122" s="8"/>
      <c r="GH2122" s="8"/>
      <c r="GI2122" s="8"/>
      <c r="GJ2122" s="8"/>
      <c r="GK2122" s="8"/>
      <c r="GL2122" s="8"/>
      <c r="GM2122" s="8"/>
      <c r="GN2122" s="8"/>
      <c r="GO2122" s="8"/>
      <c r="GP2122" s="8"/>
      <c r="GQ2122" s="8"/>
      <c r="GR2122" s="8"/>
      <c r="GS2122" s="8"/>
      <c r="GT2122" s="8"/>
      <c r="GU2122" s="8"/>
      <c r="GV2122" s="8"/>
      <c r="GW2122" s="8"/>
      <c r="GX2122" s="8"/>
    </row>
    <row r="2123">
      <c r="A2123" s="8" t="str">
        <f>IFERROR(__xludf.DUMMYFUNCTION("""COMPUTED_VALUE"""),"111766220190600750")</f>
        <v>111766220190600750</v>
      </c>
      <c r="B2123" s="9" t="str">
        <f>IFERROR(__xludf.DUMMYFUNCTION("""COMPUTED_VALUE"""),"France")</f>
        <v>France</v>
      </c>
      <c r="C2123" s="9" t="str">
        <f>IFERROR(__xludf.DUMMYFUNCTION("""COMPUTED_VALUE"""),"rhone")</f>
        <v>rhone</v>
      </c>
      <c r="D2123" s="9" t="str">
        <f>IFERROR(__xludf.DUMMYFUNCTION("""COMPUTED_VALUE"""),"Domaine Pierre Usseglio, Chateauneuf-du-Pape, de Mon Aieul")</f>
        <v>Domaine Pierre Usseglio, Chateauneuf-du-Pape, de Mon Aieul</v>
      </c>
      <c r="E2123" s="9">
        <f>IFERROR(__xludf.DUMMYFUNCTION("""COMPUTED_VALUE"""),2019.0)</f>
        <v>2019</v>
      </c>
      <c r="F2123" s="9">
        <f>IFERROR(__xludf.DUMMYFUNCTION("""COMPUTED_VALUE"""),750.0)</f>
        <v>750</v>
      </c>
      <c r="G2123" s="9">
        <f>IFERROR(__xludf.DUMMYFUNCTION("""COMPUTED_VALUE"""),6.0)</f>
        <v>6</v>
      </c>
      <c r="H2123" s="10">
        <f>IFERROR(__xludf.DUMMYFUNCTION("""COMPUTED_VALUE"""),3.0)</f>
        <v>3</v>
      </c>
      <c r="I2123" s="11">
        <f>IFERROR(__xludf.DUMMYFUNCTION("""COMPUTED_VALUE"""),319.0)</f>
        <v>319</v>
      </c>
      <c r="J2123" s="9" t="str">
        <f>IFERROR(__xludf.DUMMYFUNCTION("""COMPUTED_VALUE"""),"UK")</f>
        <v>UK</v>
      </c>
      <c r="K2123" s="8"/>
      <c r="L2123" s="12"/>
      <c r="M2123" s="13"/>
      <c r="N2123" s="13" t="str">
        <f>IFERROR(__xludf.DUMMYFUNCTION("IF(ISBLANK(M2123),"""",M2123*GOOGLEFINANCE(""USDGBP""))"),"")</f>
        <v/>
      </c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  <c r="FG2123" s="8"/>
      <c r="FH2123" s="8"/>
      <c r="FI2123" s="8"/>
      <c r="FJ2123" s="8"/>
      <c r="FK2123" s="8"/>
      <c r="FL2123" s="8"/>
      <c r="FM2123" s="8"/>
      <c r="FN2123" s="8"/>
      <c r="FO2123" s="8"/>
      <c r="FP2123" s="8"/>
      <c r="FQ2123" s="8"/>
      <c r="FR2123" s="8"/>
      <c r="FS2123" s="8"/>
      <c r="FT2123" s="8"/>
      <c r="FU2123" s="8"/>
      <c r="FV2123" s="8"/>
      <c r="FW2123" s="8"/>
      <c r="FX2123" s="8"/>
      <c r="FY2123" s="8"/>
      <c r="FZ2123" s="8"/>
      <c r="GA2123" s="8"/>
      <c r="GB2123" s="8"/>
      <c r="GC2123" s="8"/>
      <c r="GD2123" s="8"/>
      <c r="GE2123" s="8"/>
      <c r="GF2123" s="8"/>
      <c r="GG2123" s="8"/>
      <c r="GH2123" s="8"/>
      <c r="GI2123" s="8"/>
      <c r="GJ2123" s="8"/>
      <c r="GK2123" s="8"/>
      <c r="GL2123" s="8"/>
      <c r="GM2123" s="8"/>
      <c r="GN2123" s="8"/>
      <c r="GO2123" s="8"/>
      <c r="GP2123" s="8"/>
      <c r="GQ2123" s="8"/>
      <c r="GR2123" s="8"/>
      <c r="GS2123" s="8"/>
      <c r="GT2123" s="8"/>
      <c r="GU2123" s="8"/>
      <c r="GV2123" s="8"/>
      <c r="GW2123" s="8"/>
      <c r="GX2123" s="8"/>
    </row>
    <row r="2124">
      <c r="A2124" s="8" t="str">
        <f>IFERROR(__xludf.DUMMYFUNCTION("""COMPUTED_VALUE"""),"111769119991200750")</f>
        <v>111769119991200750</v>
      </c>
      <c r="B2124" s="9" t="str">
        <f>IFERROR(__xludf.DUMMYFUNCTION("""COMPUTED_VALUE"""),"France")</f>
        <v>France</v>
      </c>
      <c r="C2124" s="9" t="str">
        <f>IFERROR(__xludf.DUMMYFUNCTION("""COMPUTED_VALUE"""),"rhone")</f>
        <v>rhone</v>
      </c>
      <c r="D2124" s="9" t="str">
        <f>IFERROR(__xludf.DUMMYFUNCTION("""COMPUTED_VALUE"""),"Domaine Raymond Usseglio, Chateauneuf-du-Pape")</f>
        <v>Domaine Raymond Usseglio, Chateauneuf-du-Pape</v>
      </c>
      <c r="E2124" s="9">
        <f>IFERROR(__xludf.DUMMYFUNCTION("""COMPUTED_VALUE"""),1999.0)</f>
        <v>1999</v>
      </c>
      <c r="F2124" s="9">
        <f>IFERROR(__xludf.DUMMYFUNCTION("""COMPUTED_VALUE"""),750.0)</f>
        <v>750</v>
      </c>
      <c r="G2124" s="9">
        <f>IFERROR(__xludf.DUMMYFUNCTION("""COMPUTED_VALUE"""),12.0)</f>
        <v>12</v>
      </c>
      <c r="H2124" s="10">
        <f>IFERROR(__xludf.DUMMYFUNCTION("""COMPUTED_VALUE"""),1.0)</f>
        <v>1</v>
      </c>
      <c r="I2124" s="11">
        <f>IFERROR(__xludf.DUMMYFUNCTION("""COMPUTED_VALUE"""),387.0)</f>
        <v>387</v>
      </c>
      <c r="J2124" s="9" t="str">
        <f>IFERROR(__xludf.DUMMYFUNCTION("""COMPUTED_VALUE"""),"UK")</f>
        <v>UK</v>
      </c>
      <c r="K2124" s="8"/>
      <c r="L2124" s="12"/>
      <c r="M2124" s="13"/>
      <c r="N2124" s="13" t="str">
        <f>IFERROR(__xludf.DUMMYFUNCTION("IF(ISBLANK(M2124),"""",M2124*GOOGLEFINANCE(""USDGBP""))"),"")</f>
        <v/>
      </c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  <c r="FG2124" s="8"/>
      <c r="FH2124" s="8"/>
      <c r="FI2124" s="8"/>
      <c r="FJ2124" s="8"/>
      <c r="FK2124" s="8"/>
      <c r="FL2124" s="8"/>
      <c r="FM2124" s="8"/>
      <c r="FN2124" s="8"/>
      <c r="FO2124" s="8"/>
      <c r="FP2124" s="8"/>
      <c r="FQ2124" s="8"/>
      <c r="FR2124" s="8"/>
      <c r="FS2124" s="8"/>
      <c r="FT2124" s="8"/>
      <c r="FU2124" s="8"/>
      <c r="FV2124" s="8"/>
      <c r="FW2124" s="8"/>
      <c r="FX2124" s="8"/>
      <c r="FY2124" s="8"/>
      <c r="FZ2124" s="8"/>
      <c r="GA2124" s="8"/>
      <c r="GB2124" s="8"/>
      <c r="GC2124" s="8"/>
      <c r="GD2124" s="8"/>
      <c r="GE2124" s="8"/>
      <c r="GF2124" s="8"/>
      <c r="GG2124" s="8"/>
      <c r="GH2124" s="8"/>
      <c r="GI2124" s="8"/>
      <c r="GJ2124" s="8"/>
      <c r="GK2124" s="8"/>
      <c r="GL2124" s="8"/>
      <c r="GM2124" s="8"/>
      <c r="GN2124" s="8"/>
      <c r="GO2124" s="8"/>
      <c r="GP2124" s="8"/>
      <c r="GQ2124" s="8"/>
      <c r="GR2124" s="8"/>
      <c r="GS2124" s="8"/>
      <c r="GT2124" s="8"/>
      <c r="GU2124" s="8"/>
      <c r="GV2124" s="8"/>
      <c r="GW2124" s="8"/>
      <c r="GX2124" s="8"/>
    </row>
    <row r="2125">
      <c r="A2125" s="8" t="str">
        <f>IFERROR(__xludf.DUMMYFUNCTION("""COMPUTED_VALUE"""),"111603020120600750")</f>
        <v>111603020120600750</v>
      </c>
      <c r="B2125" s="9" t="str">
        <f>IFERROR(__xludf.DUMMYFUNCTION("""COMPUTED_VALUE"""),"France")</f>
        <v>France</v>
      </c>
      <c r="C2125" s="9" t="str">
        <f>IFERROR(__xludf.DUMMYFUNCTION("""COMPUTED_VALUE"""),"rhone")</f>
        <v>rhone</v>
      </c>
      <c r="D2125" s="9" t="str">
        <f>IFERROR(__xludf.DUMMYFUNCTION("""COMPUTED_VALUE"""),"Domaine Rostaing, Cote Rotie")</f>
        <v>Domaine Rostaing, Cote Rotie</v>
      </c>
      <c r="E2125" s="9">
        <f>IFERROR(__xludf.DUMMYFUNCTION("""COMPUTED_VALUE"""),2012.0)</f>
        <v>2012</v>
      </c>
      <c r="F2125" s="9">
        <f>IFERROR(__xludf.DUMMYFUNCTION("""COMPUTED_VALUE"""),750.0)</f>
        <v>750</v>
      </c>
      <c r="G2125" s="9">
        <f>IFERROR(__xludf.DUMMYFUNCTION("""COMPUTED_VALUE"""),6.0)</f>
        <v>6</v>
      </c>
      <c r="H2125" s="10">
        <f>IFERROR(__xludf.DUMMYFUNCTION("""COMPUTED_VALUE"""),4.0)</f>
        <v>4</v>
      </c>
      <c r="I2125" s="11">
        <f>IFERROR(__xludf.DUMMYFUNCTION("""COMPUTED_VALUE"""),1131.0)</f>
        <v>1131</v>
      </c>
      <c r="J2125" s="9" t="str">
        <f>IFERROR(__xludf.DUMMYFUNCTION("""COMPUTED_VALUE"""),"UK")</f>
        <v>UK</v>
      </c>
      <c r="K2125" s="8"/>
      <c r="L2125" s="12"/>
      <c r="M2125" s="13"/>
      <c r="N2125" s="13" t="str">
        <f>IFERROR(__xludf.DUMMYFUNCTION("IF(ISBLANK(M2125),"""",M2125*GOOGLEFINANCE(""USDGBP""))"),"")</f>
        <v/>
      </c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  <c r="FG2125" s="8"/>
      <c r="FH2125" s="8"/>
      <c r="FI2125" s="8"/>
      <c r="FJ2125" s="8"/>
      <c r="FK2125" s="8"/>
      <c r="FL2125" s="8"/>
      <c r="FM2125" s="8"/>
      <c r="FN2125" s="8"/>
      <c r="FO2125" s="8"/>
      <c r="FP2125" s="8"/>
      <c r="FQ2125" s="8"/>
      <c r="FR2125" s="8"/>
      <c r="FS2125" s="8"/>
      <c r="FT2125" s="8"/>
      <c r="FU2125" s="8"/>
      <c r="FV2125" s="8"/>
      <c r="FW2125" s="8"/>
      <c r="FX2125" s="8"/>
      <c r="FY2125" s="8"/>
      <c r="FZ2125" s="8"/>
      <c r="GA2125" s="8"/>
      <c r="GB2125" s="8"/>
      <c r="GC2125" s="8"/>
      <c r="GD2125" s="8"/>
      <c r="GE2125" s="8"/>
      <c r="GF2125" s="8"/>
      <c r="GG2125" s="8"/>
      <c r="GH2125" s="8"/>
      <c r="GI2125" s="8"/>
      <c r="GJ2125" s="8"/>
      <c r="GK2125" s="8"/>
      <c r="GL2125" s="8"/>
      <c r="GM2125" s="8"/>
      <c r="GN2125" s="8"/>
      <c r="GO2125" s="8"/>
      <c r="GP2125" s="8"/>
      <c r="GQ2125" s="8"/>
      <c r="GR2125" s="8"/>
      <c r="GS2125" s="8"/>
      <c r="GT2125" s="8"/>
      <c r="GU2125" s="8"/>
      <c r="GV2125" s="8"/>
      <c r="GW2125" s="8"/>
      <c r="GX2125" s="8"/>
    </row>
    <row r="2126">
      <c r="A2126" s="8" t="str">
        <f>IFERROR(__xludf.DUMMYFUNCTION("""COMPUTED_VALUE"""),"111603020160600750")</f>
        <v>111603020160600750</v>
      </c>
      <c r="B2126" s="9" t="str">
        <f>IFERROR(__xludf.DUMMYFUNCTION("""COMPUTED_VALUE"""),"France")</f>
        <v>France</v>
      </c>
      <c r="C2126" s="9" t="str">
        <f>IFERROR(__xludf.DUMMYFUNCTION("""COMPUTED_VALUE"""),"rhone")</f>
        <v>rhone</v>
      </c>
      <c r="D2126" s="9" t="str">
        <f>IFERROR(__xludf.DUMMYFUNCTION("""COMPUTED_VALUE"""),"Domaine Rostaing, Cote Rotie")</f>
        <v>Domaine Rostaing, Cote Rotie</v>
      </c>
      <c r="E2126" s="9">
        <f>IFERROR(__xludf.DUMMYFUNCTION("""COMPUTED_VALUE"""),2016.0)</f>
        <v>2016</v>
      </c>
      <c r="F2126" s="9">
        <f>IFERROR(__xludf.DUMMYFUNCTION("""COMPUTED_VALUE"""),750.0)</f>
        <v>750</v>
      </c>
      <c r="G2126" s="9">
        <f>IFERROR(__xludf.DUMMYFUNCTION("""COMPUTED_VALUE"""),6.0)</f>
        <v>6</v>
      </c>
      <c r="H2126" s="10">
        <f>IFERROR(__xludf.DUMMYFUNCTION("""COMPUTED_VALUE"""),2.0)</f>
        <v>2</v>
      </c>
      <c r="I2126" s="11">
        <f>IFERROR(__xludf.DUMMYFUNCTION("""COMPUTED_VALUE"""),1150.0)</f>
        <v>1150</v>
      </c>
      <c r="J2126" s="9" t="str">
        <f>IFERROR(__xludf.DUMMYFUNCTION("""COMPUTED_VALUE"""),"UK")</f>
        <v>UK</v>
      </c>
      <c r="K2126" s="8"/>
      <c r="L2126" s="12"/>
      <c r="M2126" s="13"/>
      <c r="N2126" s="13" t="str">
        <f>IFERROR(__xludf.DUMMYFUNCTION("IF(ISBLANK(M2126),"""",M2126*GOOGLEFINANCE(""USDGBP""))"),"")</f>
        <v/>
      </c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  <c r="FG2126" s="8"/>
      <c r="FH2126" s="8"/>
      <c r="FI2126" s="8"/>
      <c r="FJ2126" s="8"/>
      <c r="FK2126" s="8"/>
      <c r="FL2126" s="8"/>
      <c r="FM2126" s="8"/>
      <c r="FN2126" s="8"/>
      <c r="FO2126" s="8"/>
      <c r="FP2126" s="8"/>
      <c r="FQ2126" s="8"/>
      <c r="FR2126" s="8"/>
      <c r="FS2126" s="8"/>
      <c r="FT2126" s="8"/>
      <c r="FU2126" s="8"/>
      <c r="FV2126" s="8"/>
      <c r="FW2126" s="8"/>
      <c r="FX2126" s="8"/>
      <c r="FY2126" s="8"/>
      <c r="FZ2126" s="8"/>
      <c r="GA2126" s="8"/>
      <c r="GB2126" s="8"/>
      <c r="GC2126" s="8"/>
      <c r="GD2126" s="8"/>
      <c r="GE2126" s="8"/>
      <c r="GF2126" s="8"/>
      <c r="GG2126" s="8"/>
      <c r="GH2126" s="8"/>
      <c r="GI2126" s="8"/>
      <c r="GJ2126" s="8"/>
      <c r="GK2126" s="8"/>
      <c r="GL2126" s="8"/>
      <c r="GM2126" s="8"/>
      <c r="GN2126" s="8"/>
      <c r="GO2126" s="8"/>
      <c r="GP2126" s="8"/>
      <c r="GQ2126" s="8"/>
      <c r="GR2126" s="8"/>
      <c r="GS2126" s="8"/>
      <c r="GT2126" s="8"/>
      <c r="GU2126" s="8"/>
      <c r="GV2126" s="8"/>
      <c r="GW2126" s="8"/>
      <c r="GX2126" s="8"/>
    </row>
    <row r="2127">
      <c r="A2127" s="8" t="str">
        <f>IFERROR(__xludf.DUMMYFUNCTION("""COMPUTED_VALUE"""),"115891720151200750")</f>
        <v>115891720151200750</v>
      </c>
      <c r="B2127" s="9" t="str">
        <f>IFERROR(__xludf.DUMMYFUNCTION("""COMPUTED_VALUE"""),"France")</f>
        <v>France</v>
      </c>
      <c r="C2127" s="9" t="str">
        <f>IFERROR(__xludf.DUMMYFUNCTION("""COMPUTED_VALUE"""),"rhone")</f>
        <v>rhone</v>
      </c>
      <c r="D2127" s="9" t="str">
        <f>IFERROR(__xludf.DUMMYFUNCTION("""COMPUTED_VALUE"""),"Domaine Rostaing, Cote Rotie, Ampodium")</f>
        <v>Domaine Rostaing, Cote Rotie, Ampodium</v>
      </c>
      <c r="E2127" s="9">
        <f>IFERROR(__xludf.DUMMYFUNCTION("""COMPUTED_VALUE"""),2015.0)</f>
        <v>2015</v>
      </c>
      <c r="F2127" s="9">
        <f>IFERROR(__xludf.DUMMYFUNCTION("""COMPUTED_VALUE"""),750.0)</f>
        <v>750</v>
      </c>
      <c r="G2127" s="9">
        <f>IFERROR(__xludf.DUMMYFUNCTION("""COMPUTED_VALUE"""),12.0)</f>
        <v>12</v>
      </c>
      <c r="H2127" s="10">
        <f>IFERROR(__xludf.DUMMYFUNCTION("""COMPUTED_VALUE"""),1.0)</f>
        <v>1</v>
      </c>
      <c r="I2127" s="11">
        <f>IFERROR(__xludf.DUMMYFUNCTION("""COMPUTED_VALUE"""),524.0)</f>
        <v>524</v>
      </c>
      <c r="J2127" s="9" t="str">
        <f>IFERROR(__xludf.DUMMYFUNCTION("""COMPUTED_VALUE"""),"UK")</f>
        <v>UK</v>
      </c>
      <c r="K2127" s="8"/>
      <c r="L2127" s="12"/>
      <c r="M2127" s="13"/>
      <c r="N2127" s="13" t="str">
        <f>IFERROR(__xludf.DUMMYFUNCTION("IF(ISBLANK(M2127),"""",M2127*GOOGLEFINANCE(""USDGBP""))"),"")</f>
        <v/>
      </c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  <c r="FG2127" s="8"/>
      <c r="FH2127" s="8"/>
      <c r="FI2127" s="8"/>
      <c r="FJ2127" s="8"/>
      <c r="FK2127" s="8"/>
      <c r="FL2127" s="8"/>
      <c r="FM2127" s="8"/>
      <c r="FN2127" s="8"/>
      <c r="FO2127" s="8"/>
      <c r="FP2127" s="8"/>
      <c r="FQ2127" s="8"/>
      <c r="FR2127" s="8"/>
      <c r="FS2127" s="8"/>
      <c r="FT2127" s="8"/>
      <c r="FU2127" s="8"/>
      <c r="FV2127" s="8"/>
      <c r="FW2127" s="8"/>
      <c r="FX2127" s="8"/>
      <c r="FY2127" s="8"/>
      <c r="FZ2127" s="8"/>
      <c r="GA2127" s="8"/>
      <c r="GB2127" s="8"/>
      <c r="GC2127" s="8"/>
      <c r="GD2127" s="8"/>
      <c r="GE2127" s="8"/>
      <c r="GF2127" s="8"/>
      <c r="GG2127" s="8"/>
      <c r="GH2127" s="8"/>
      <c r="GI2127" s="8"/>
      <c r="GJ2127" s="8"/>
      <c r="GK2127" s="8"/>
      <c r="GL2127" s="8"/>
      <c r="GM2127" s="8"/>
      <c r="GN2127" s="8"/>
      <c r="GO2127" s="8"/>
      <c r="GP2127" s="8"/>
      <c r="GQ2127" s="8"/>
      <c r="GR2127" s="8"/>
      <c r="GS2127" s="8"/>
      <c r="GT2127" s="8"/>
      <c r="GU2127" s="8"/>
      <c r="GV2127" s="8"/>
      <c r="GW2127" s="8"/>
      <c r="GX2127" s="8"/>
    </row>
    <row r="2128">
      <c r="A2128" s="8" t="str">
        <f>IFERROR(__xludf.DUMMYFUNCTION("""COMPUTED_VALUE"""),"115891720161200750")</f>
        <v>115891720161200750</v>
      </c>
      <c r="B2128" s="9" t="str">
        <f>IFERROR(__xludf.DUMMYFUNCTION("""COMPUTED_VALUE"""),"France")</f>
        <v>France</v>
      </c>
      <c r="C2128" s="9" t="str">
        <f>IFERROR(__xludf.DUMMYFUNCTION("""COMPUTED_VALUE"""),"rhone")</f>
        <v>rhone</v>
      </c>
      <c r="D2128" s="9" t="str">
        <f>IFERROR(__xludf.DUMMYFUNCTION("""COMPUTED_VALUE"""),"Domaine Rostaing, Cote Rotie, Ampodium")</f>
        <v>Domaine Rostaing, Cote Rotie, Ampodium</v>
      </c>
      <c r="E2128" s="9">
        <f>IFERROR(__xludf.DUMMYFUNCTION("""COMPUTED_VALUE"""),2016.0)</f>
        <v>2016</v>
      </c>
      <c r="F2128" s="9">
        <f>IFERROR(__xludf.DUMMYFUNCTION("""COMPUTED_VALUE"""),750.0)</f>
        <v>750</v>
      </c>
      <c r="G2128" s="9">
        <f>IFERROR(__xludf.DUMMYFUNCTION("""COMPUTED_VALUE"""),12.0)</f>
        <v>12</v>
      </c>
      <c r="H2128" s="10">
        <f>IFERROR(__xludf.DUMMYFUNCTION("""COMPUTED_VALUE"""),1.0)</f>
        <v>1</v>
      </c>
      <c r="I2128" s="11">
        <f>IFERROR(__xludf.DUMMYFUNCTION("""COMPUTED_VALUE"""),537.0)</f>
        <v>537</v>
      </c>
      <c r="J2128" s="9" t="str">
        <f>IFERROR(__xludf.DUMMYFUNCTION("""COMPUTED_VALUE"""),"UK")</f>
        <v>UK</v>
      </c>
      <c r="K2128" s="8"/>
      <c r="L2128" s="12"/>
      <c r="M2128" s="13"/>
      <c r="N2128" s="13" t="str">
        <f>IFERROR(__xludf.DUMMYFUNCTION("IF(ISBLANK(M2128),"""",M2128*GOOGLEFINANCE(""USDGBP""))"),"")</f>
        <v/>
      </c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  <c r="FG2128" s="8"/>
      <c r="FH2128" s="8"/>
      <c r="FI2128" s="8"/>
      <c r="FJ2128" s="8"/>
      <c r="FK2128" s="8"/>
      <c r="FL2128" s="8"/>
      <c r="FM2128" s="8"/>
      <c r="FN2128" s="8"/>
      <c r="FO2128" s="8"/>
      <c r="FP2128" s="8"/>
      <c r="FQ2128" s="8"/>
      <c r="FR2128" s="8"/>
      <c r="FS2128" s="8"/>
      <c r="FT2128" s="8"/>
      <c r="FU2128" s="8"/>
      <c r="FV2128" s="8"/>
      <c r="FW2128" s="8"/>
      <c r="FX2128" s="8"/>
      <c r="FY2128" s="8"/>
      <c r="FZ2128" s="8"/>
      <c r="GA2128" s="8"/>
      <c r="GB2128" s="8"/>
      <c r="GC2128" s="8"/>
      <c r="GD2128" s="8"/>
      <c r="GE2128" s="8"/>
      <c r="GF2128" s="8"/>
      <c r="GG2128" s="8"/>
      <c r="GH2128" s="8"/>
      <c r="GI2128" s="8"/>
      <c r="GJ2128" s="8"/>
      <c r="GK2128" s="8"/>
      <c r="GL2128" s="8"/>
      <c r="GM2128" s="8"/>
      <c r="GN2128" s="8"/>
      <c r="GO2128" s="8"/>
      <c r="GP2128" s="8"/>
      <c r="GQ2128" s="8"/>
      <c r="GR2128" s="8"/>
      <c r="GS2128" s="8"/>
      <c r="GT2128" s="8"/>
      <c r="GU2128" s="8"/>
      <c r="GV2128" s="8"/>
      <c r="GW2128" s="8"/>
      <c r="GX2128" s="8"/>
    </row>
    <row r="2129">
      <c r="A2129" s="8" t="str">
        <f>IFERROR(__xludf.DUMMYFUNCTION("""COMPUTED_VALUE"""),"115891720171200750")</f>
        <v>115891720171200750</v>
      </c>
      <c r="B2129" s="9" t="str">
        <f>IFERROR(__xludf.DUMMYFUNCTION("""COMPUTED_VALUE"""),"France")</f>
        <v>France</v>
      </c>
      <c r="C2129" s="9" t="str">
        <f>IFERROR(__xludf.DUMMYFUNCTION("""COMPUTED_VALUE"""),"rhone")</f>
        <v>rhone</v>
      </c>
      <c r="D2129" s="9" t="str">
        <f>IFERROR(__xludf.DUMMYFUNCTION("""COMPUTED_VALUE"""),"Domaine Rostaing, Cote Rotie, Ampodium")</f>
        <v>Domaine Rostaing, Cote Rotie, Ampodium</v>
      </c>
      <c r="E2129" s="9">
        <f>IFERROR(__xludf.DUMMYFUNCTION("""COMPUTED_VALUE"""),2017.0)</f>
        <v>2017</v>
      </c>
      <c r="F2129" s="9">
        <f>IFERROR(__xludf.DUMMYFUNCTION("""COMPUTED_VALUE"""),750.0)</f>
        <v>750</v>
      </c>
      <c r="G2129" s="9">
        <f>IFERROR(__xludf.DUMMYFUNCTION("""COMPUTED_VALUE"""),12.0)</f>
        <v>12</v>
      </c>
      <c r="H2129" s="10">
        <f>IFERROR(__xludf.DUMMYFUNCTION("""COMPUTED_VALUE"""),1.0)</f>
        <v>1</v>
      </c>
      <c r="I2129" s="11">
        <f>IFERROR(__xludf.DUMMYFUNCTION("""COMPUTED_VALUE"""),537.0)</f>
        <v>537</v>
      </c>
      <c r="J2129" s="9" t="str">
        <f>IFERROR(__xludf.DUMMYFUNCTION("""COMPUTED_VALUE"""),"UK")</f>
        <v>UK</v>
      </c>
      <c r="K2129" s="8"/>
      <c r="L2129" s="12"/>
      <c r="M2129" s="13"/>
      <c r="N2129" s="13" t="str">
        <f>IFERROR(__xludf.DUMMYFUNCTION("IF(ISBLANK(M2129),"""",M2129*GOOGLEFINANCE(""USDGBP""))"),"")</f>
        <v/>
      </c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  <c r="FG2129" s="8"/>
      <c r="FH2129" s="8"/>
      <c r="FI2129" s="8"/>
      <c r="FJ2129" s="8"/>
      <c r="FK2129" s="8"/>
      <c r="FL2129" s="8"/>
      <c r="FM2129" s="8"/>
      <c r="FN2129" s="8"/>
      <c r="FO2129" s="8"/>
      <c r="FP2129" s="8"/>
      <c r="FQ2129" s="8"/>
      <c r="FR2129" s="8"/>
      <c r="FS2129" s="8"/>
      <c r="FT2129" s="8"/>
      <c r="FU2129" s="8"/>
      <c r="FV2129" s="8"/>
      <c r="FW2129" s="8"/>
      <c r="FX2129" s="8"/>
      <c r="FY2129" s="8"/>
      <c r="FZ2129" s="8"/>
      <c r="GA2129" s="8"/>
      <c r="GB2129" s="8"/>
      <c r="GC2129" s="8"/>
      <c r="GD2129" s="8"/>
      <c r="GE2129" s="8"/>
      <c r="GF2129" s="8"/>
      <c r="GG2129" s="8"/>
      <c r="GH2129" s="8"/>
      <c r="GI2129" s="8"/>
      <c r="GJ2129" s="8"/>
      <c r="GK2129" s="8"/>
      <c r="GL2129" s="8"/>
      <c r="GM2129" s="8"/>
      <c r="GN2129" s="8"/>
      <c r="GO2129" s="8"/>
      <c r="GP2129" s="8"/>
      <c r="GQ2129" s="8"/>
      <c r="GR2129" s="8"/>
      <c r="GS2129" s="8"/>
      <c r="GT2129" s="8"/>
      <c r="GU2129" s="8"/>
      <c r="GV2129" s="8"/>
      <c r="GW2129" s="8"/>
      <c r="GX2129" s="8"/>
    </row>
    <row r="2130">
      <c r="A2130" s="8" t="str">
        <f>IFERROR(__xludf.DUMMYFUNCTION("""COMPUTED_VALUE"""),"115891720181200750")</f>
        <v>115891720181200750</v>
      </c>
      <c r="B2130" s="9" t="str">
        <f>IFERROR(__xludf.DUMMYFUNCTION("""COMPUTED_VALUE"""),"France")</f>
        <v>France</v>
      </c>
      <c r="C2130" s="9" t="str">
        <f>IFERROR(__xludf.DUMMYFUNCTION("""COMPUTED_VALUE"""),"rhone")</f>
        <v>rhone</v>
      </c>
      <c r="D2130" s="9" t="str">
        <f>IFERROR(__xludf.DUMMYFUNCTION("""COMPUTED_VALUE"""),"Domaine Rostaing, Cote Rotie, Ampodium")</f>
        <v>Domaine Rostaing, Cote Rotie, Ampodium</v>
      </c>
      <c r="E2130" s="9">
        <f>IFERROR(__xludf.DUMMYFUNCTION("""COMPUTED_VALUE"""),2018.0)</f>
        <v>2018</v>
      </c>
      <c r="F2130" s="9">
        <f>IFERROR(__xludf.DUMMYFUNCTION("""COMPUTED_VALUE"""),750.0)</f>
        <v>750</v>
      </c>
      <c r="G2130" s="9">
        <f>IFERROR(__xludf.DUMMYFUNCTION("""COMPUTED_VALUE"""),12.0)</f>
        <v>12</v>
      </c>
      <c r="H2130" s="10">
        <f>IFERROR(__xludf.DUMMYFUNCTION("""COMPUTED_VALUE"""),4.0)</f>
        <v>4</v>
      </c>
      <c r="I2130" s="11">
        <f>IFERROR(__xludf.DUMMYFUNCTION("""COMPUTED_VALUE"""),483.0)</f>
        <v>483</v>
      </c>
      <c r="J2130" s="9" t="str">
        <f>IFERROR(__xludf.DUMMYFUNCTION("""COMPUTED_VALUE"""),"UK")</f>
        <v>UK</v>
      </c>
      <c r="K2130" s="8"/>
      <c r="L2130" s="12"/>
      <c r="M2130" s="13"/>
      <c r="N2130" s="13" t="str">
        <f>IFERROR(__xludf.DUMMYFUNCTION("IF(ISBLANK(M2130),"""",M2130*GOOGLEFINANCE(""USDGBP""))"),"")</f>
        <v/>
      </c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  <c r="FG2130" s="8"/>
      <c r="FH2130" s="8"/>
      <c r="FI2130" s="8"/>
      <c r="FJ2130" s="8"/>
      <c r="FK2130" s="8"/>
      <c r="FL2130" s="8"/>
      <c r="FM2130" s="8"/>
      <c r="FN2130" s="8"/>
      <c r="FO2130" s="8"/>
      <c r="FP2130" s="8"/>
      <c r="FQ2130" s="8"/>
      <c r="FR2130" s="8"/>
      <c r="FS2130" s="8"/>
      <c r="FT2130" s="8"/>
      <c r="FU2130" s="8"/>
      <c r="FV2130" s="8"/>
      <c r="FW2130" s="8"/>
      <c r="FX2130" s="8"/>
      <c r="FY2130" s="8"/>
      <c r="FZ2130" s="8"/>
      <c r="GA2130" s="8"/>
      <c r="GB2130" s="8"/>
      <c r="GC2130" s="8"/>
      <c r="GD2130" s="8"/>
      <c r="GE2130" s="8"/>
      <c r="GF2130" s="8"/>
      <c r="GG2130" s="8"/>
      <c r="GH2130" s="8"/>
      <c r="GI2130" s="8"/>
      <c r="GJ2130" s="8"/>
      <c r="GK2130" s="8"/>
      <c r="GL2130" s="8"/>
      <c r="GM2130" s="8"/>
      <c r="GN2130" s="8"/>
      <c r="GO2130" s="8"/>
      <c r="GP2130" s="8"/>
      <c r="GQ2130" s="8"/>
      <c r="GR2130" s="8"/>
      <c r="GS2130" s="8"/>
      <c r="GT2130" s="8"/>
      <c r="GU2130" s="8"/>
      <c r="GV2130" s="8"/>
      <c r="GW2130" s="8"/>
      <c r="GX2130" s="8"/>
    </row>
    <row r="2131">
      <c r="A2131" s="8" t="str">
        <f>IFERROR(__xludf.DUMMYFUNCTION("""COMPUTED_VALUE"""),"115891720191200750")</f>
        <v>115891720191200750</v>
      </c>
      <c r="B2131" s="9" t="str">
        <f>IFERROR(__xludf.DUMMYFUNCTION("""COMPUTED_VALUE"""),"France")</f>
        <v>France</v>
      </c>
      <c r="C2131" s="9" t="str">
        <f>IFERROR(__xludf.DUMMYFUNCTION("""COMPUTED_VALUE"""),"rhone")</f>
        <v>rhone</v>
      </c>
      <c r="D2131" s="9" t="str">
        <f>IFERROR(__xludf.DUMMYFUNCTION("""COMPUTED_VALUE"""),"Domaine Rostaing, Cote Rotie, Ampodium")</f>
        <v>Domaine Rostaing, Cote Rotie, Ampodium</v>
      </c>
      <c r="E2131" s="9">
        <f>IFERROR(__xludf.DUMMYFUNCTION("""COMPUTED_VALUE"""),2019.0)</f>
        <v>2019</v>
      </c>
      <c r="F2131" s="9">
        <f>IFERROR(__xludf.DUMMYFUNCTION("""COMPUTED_VALUE"""),750.0)</f>
        <v>750</v>
      </c>
      <c r="G2131" s="9">
        <f>IFERROR(__xludf.DUMMYFUNCTION("""COMPUTED_VALUE"""),12.0)</f>
        <v>12</v>
      </c>
      <c r="H2131" s="10">
        <f>IFERROR(__xludf.DUMMYFUNCTION("""COMPUTED_VALUE"""),4.0)</f>
        <v>4</v>
      </c>
      <c r="I2131" s="11">
        <f>IFERROR(__xludf.DUMMYFUNCTION("""COMPUTED_VALUE"""),488.0)</f>
        <v>488</v>
      </c>
      <c r="J2131" s="9" t="str">
        <f>IFERROR(__xludf.DUMMYFUNCTION("""COMPUTED_VALUE"""),"UK")</f>
        <v>UK</v>
      </c>
      <c r="K2131" s="8"/>
      <c r="L2131" s="12"/>
      <c r="M2131" s="13"/>
      <c r="N2131" s="13" t="str">
        <f>IFERROR(__xludf.DUMMYFUNCTION("IF(ISBLANK(M2131),"""",M2131*GOOGLEFINANCE(""USDGBP""))"),"")</f>
        <v/>
      </c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  <c r="FG2131" s="8"/>
      <c r="FH2131" s="8"/>
      <c r="FI2131" s="8"/>
      <c r="FJ2131" s="8"/>
      <c r="FK2131" s="8"/>
      <c r="FL2131" s="8"/>
      <c r="FM2131" s="8"/>
      <c r="FN2131" s="8"/>
      <c r="FO2131" s="8"/>
      <c r="FP2131" s="8"/>
      <c r="FQ2131" s="8"/>
      <c r="FR2131" s="8"/>
      <c r="FS2131" s="8"/>
      <c r="FT2131" s="8"/>
      <c r="FU2131" s="8"/>
      <c r="FV2131" s="8"/>
      <c r="FW2131" s="8"/>
      <c r="FX2131" s="8"/>
      <c r="FY2131" s="8"/>
      <c r="FZ2131" s="8"/>
      <c r="GA2131" s="8"/>
      <c r="GB2131" s="8"/>
      <c r="GC2131" s="8"/>
      <c r="GD2131" s="8"/>
      <c r="GE2131" s="8"/>
      <c r="GF2131" s="8"/>
      <c r="GG2131" s="8"/>
      <c r="GH2131" s="8"/>
      <c r="GI2131" s="8"/>
      <c r="GJ2131" s="8"/>
      <c r="GK2131" s="8"/>
      <c r="GL2131" s="8"/>
      <c r="GM2131" s="8"/>
      <c r="GN2131" s="8"/>
      <c r="GO2131" s="8"/>
      <c r="GP2131" s="8"/>
      <c r="GQ2131" s="8"/>
      <c r="GR2131" s="8"/>
      <c r="GS2131" s="8"/>
      <c r="GT2131" s="8"/>
      <c r="GU2131" s="8"/>
      <c r="GV2131" s="8"/>
      <c r="GW2131" s="8"/>
      <c r="GX2131" s="8"/>
    </row>
    <row r="2132">
      <c r="A2132" s="8" t="str">
        <f>IFERROR(__xludf.DUMMYFUNCTION("""COMPUTED_VALUE"""),"161969020191200750")</f>
        <v>161969020191200750</v>
      </c>
      <c r="B2132" s="9" t="str">
        <f>IFERROR(__xludf.DUMMYFUNCTION("""COMPUTED_VALUE"""),"France")</f>
        <v>France</v>
      </c>
      <c r="C2132" s="9" t="str">
        <f>IFERROR(__xludf.DUMMYFUNCTION("""COMPUTED_VALUE"""),"rhone")</f>
        <v>rhone</v>
      </c>
      <c r="D2132" s="9" t="str">
        <f>IFERROR(__xludf.DUMMYFUNCTION("""COMPUTED_VALUE"""),"Domaine Rostaing, Cote Rotie, Cote Brune")</f>
        <v>Domaine Rostaing, Cote Rotie, Cote Brune</v>
      </c>
      <c r="E2132" s="9">
        <f>IFERROR(__xludf.DUMMYFUNCTION("""COMPUTED_VALUE"""),2019.0)</f>
        <v>2019</v>
      </c>
      <c r="F2132" s="9">
        <f>IFERROR(__xludf.DUMMYFUNCTION("""COMPUTED_VALUE"""),750.0)</f>
        <v>750</v>
      </c>
      <c r="G2132" s="9">
        <f>IFERROR(__xludf.DUMMYFUNCTION("""COMPUTED_VALUE"""),12.0)</f>
        <v>12</v>
      </c>
      <c r="H2132" s="10">
        <f>IFERROR(__xludf.DUMMYFUNCTION("""COMPUTED_VALUE"""),1.0)</f>
        <v>1</v>
      </c>
      <c r="I2132" s="11">
        <f>IFERROR(__xludf.DUMMYFUNCTION("""COMPUTED_VALUE"""),5650.0)</f>
        <v>5650</v>
      </c>
      <c r="J2132" s="9" t="str">
        <f>IFERROR(__xludf.DUMMYFUNCTION("""COMPUTED_VALUE"""),"UK")</f>
        <v>UK</v>
      </c>
      <c r="K2132" s="8"/>
      <c r="L2132" s="12"/>
      <c r="M2132" s="13"/>
      <c r="N2132" s="13" t="str">
        <f>IFERROR(__xludf.DUMMYFUNCTION("IF(ISBLANK(M2132),"""",M2132*GOOGLEFINANCE(""USDGBP""))"),"")</f>
        <v/>
      </c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  <c r="FG2132" s="8"/>
      <c r="FH2132" s="8"/>
      <c r="FI2132" s="8"/>
      <c r="FJ2132" s="8"/>
      <c r="FK2132" s="8"/>
      <c r="FL2132" s="8"/>
      <c r="FM2132" s="8"/>
      <c r="FN2132" s="8"/>
      <c r="FO2132" s="8"/>
      <c r="FP2132" s="8"/>
      <c r="FQ2132" s="8"/>
      <c r="FR2132" s="8"/>
      <c r="FS2132" s="8"/>
      <c r="FT2132" s="8"/>
      <c r="FU2132" s="8"/>
      <c r="FV2132" s="8"/>
      <c r="FW2132" s="8"/>
      <c r="FX2132" s="8"/>
      <c r="FY2132" s="8"/>
      <c r="FZ2132" s="8"/>
      <c r="GA2132" s="8"/>
      <c r="GB2132" s="8"/>
      <c r="GC2132" s="8"/>
      <c r="GD2132" s="8"/>
      <c r="GE2132" s="8"/>
      <c r="GF2132" s="8"/>
      <c r="GG2132" s="8"/>
      <c r="GH2132" s="8"/>
      <c r="GI2132" s="8"/>
      <c r="GJ2132" s="8"/>
      <c r="GK2132" s="8"/>
      <c r="GL2132" s="8"/>
      <c r="GM2132" s="8"/>
      <c r="GN2132" s="8"/>
      <c r="GO2132" s="8"/>
      <c r="GP2132" s="8"/>
      <c r="GQ2132" s="8"/>
      <c r="GR2132" s="8"/>
      <c r="GS2132" s="8"/>
      <c r="GT2132" s="8"/>
      <c r="GU2132" s="8"/>
      <c r="GV2132" s="8"/>
      <c r="GW2132" s="8"/>
      <c r="GX2132" s="8"/>
    </row>
    <row r="2133">
      <c r="A2133" s="8" t="str">
        <f>IFERROR(__xludf.DUMMYFUNCTION("""COMPUTED_VALUE"""),"111605620100600750")</f>
        <v>111605620100600750</v>
      </c>
      <c r="B2133" s="9" t="str">
        <f>IFERROR(__xludf.DUMMYFUNCTION("""COMPUTED_VALUE"""),"France")</f>
        <v>France</v>
      </c>
      <c r="C2133" s="9" t="str">
        <f>IFERROR(__xludf.DUMMYFUNCTION("""COMPUTED_VALUE"""),"rhone")</f>
        <v>rhone</v>
      </c>
      <c r="D2133" s="9" t="str">
        <f>IFERROR(__xludf.DUMMYFUNCTION("""COMPUTED_VALUE"""),"Domaine Rostaing, Cote Rotie, La Landonne")</f>
        <v>Domaine Rostaing, Cote Rotie, La Landonne</v>
      </c>
      <c r="E2133" s="9">
        <f>IFERROR(__xludf.DUMMYFUNCTION("""COMPUTED_VALUE"""),2010.0)</f>
        <v>2010</v>
      </c>
      <c r="F2133" s="9">
        <f>IFERROR(__xludf.DUMMYFUNCTION("""COMPUTED_VALUE"""),750.0)</f>
        <v>750</v>
      </c>
      <c r="G2133" s="9">
        <f>IFERROR(__xludf.DUMMYFUNCTION("""COMPUTED_VALUE"""),6.0)</f>
        <v>6</v>
      </c>
      <c r="H2133" s="10">
        <f>IFERROR(__xludf.DUMMYFUNCTION("""COMPUTED_VALUE"""),1.0)</f>
        <v>1</v>
      </c>
      <c r="I2133" s="11">
        <f>IFERROR(__xludf.DUMMYFUNCTION("""COMPUTED_VALUE"""),878.0)</f>
        <v>878</v>
      </c>
      <c r="J2133" s="9" t="str">
        <f>IFERROR(__xludf.DUMMYFUNCTION("""COMPUTED_VALUE"""),"UK")</f>
        <v>UK</v>
      </c>
      <c r="K2133" s="8"/>
      <c r="L2133" s="12"/>
      <c r="M2133" s="13"/>
      <c r="N2133" s="13" t="str">
        <f>IFERROR(__xludf.DUMMYFUNCTION("IF(ISBLANK(M2133),"""",M2133*GOOGLEFINANCE(""USDGBP""))"),"")</f>
        <v/>
      </c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  <c r="FG2133" s="8"/>
      <c r="FH2133" s="8"/>
      <c r="FI2133" s="8"/>
      <c r="FJ2133" s="8"/>
      <c r="FK2133" s="8"/>
      <c r="FL2133" s="8"/>
      <c r="FM2133" s="8"/>
      <c r="FN2133" s="8"/>
      <c r="FO2133" s="8"/>
      <c r="FP2133" s="8"/>
      <c r="FQ2133" s="8"/>
      <c r="FR2133" s="8"/>
      <c r="FS2133" s="8"/>
      <c r="FT2133" s="8"/>
      <c r="FU2133" s="8"/>
      <c r="FV2133" s="8"/>
      <c r="FW2133" s="8"/>
      <c r="FX2133" s="8"/>
      <c r="FY2133" s="8"/>
      <c r="FZ2133" s="8"/>
      <c r="GA2133" s="8"/>
      <c r="GB2133" s="8"/>
      <c r="GC2133" s="8"/>
      <c r="GD2133" s="8"/>
      <c r="GE2133" s="8"/>
      <c r="GF2133" s="8"/>
      <c r="GG2133" s="8"/>
      <c r="GH2133" s="8"/>
      <c r="GI2133" s="8"/>
      <c r="GJ2133" s="8"/>
      <c r="GK2133" s="8"/>
      <c r="GL2133" s="8"/>
      <c r="GM2133" s="8"/>
      <c r="GN2133" s="8"/>
      <c r="GO2133" s="8"/>
      <c r="GP2133" s="8"/>
      <c r="GQ2133" s="8"/>
      <c r="GR2133" s="8"/>
      <c r="GS2133" s="8"/>
      <c r="GT2133" s="8"/>
      <c r="GU2133" s="8"/>
      <c r="GV2133" s="8"/>
      <c r="GW2133" s="8"/>
      <c r="GX2133" s="8"/>
    </row>
    <row r="2134">
      <c r="A2134" s="8" t="str">
        <f>IFERROR(__xludf.DUMMYFUNCTION("""COMPUTED_VALUE"""),"111605620170600750")</f>
        <v>111605620170600750</v>
      </c>
      <c r="B2134" s="9" t="str">
        <f>IFERROR(__xludf.DUMMYFUNCTION("""COMPUTED_VALUE"""),"France")</f>
        <v>France</v>
      </c>
      <c r="C2134" s="9" t="str">
        <f>IFERROR(__xludf.DUMMYFUNCTION("""COMPUTED_VALUE"""),"rhone")</f>
        <v>rhone</v>
      </c>
      <c r="D2134" s="9" t="str">
        <f>IFERROR(__xludf.DUMMYFUNCTION("""COMPUTED_VALUE"""),"Domaine Rostaing, Cote Rotie, La Landonne")</f>
        <v>Domaine Rostaing, Cote Rotie, La Landonne</v>
      </c>
      <c r="E2134" s="9">
        <f>IFERROR(__xludf.DUMMYFUNCTION("""COMPUTED_VALUE"""),2017.0)</f>
        <v>2017</v>
      </c>
      <c r="F2134" s="9">
        <f>IFERROR(__xludf.DUMMYFUNCTION("""COMPUTED_VALUE"""),750.0)</f>
        <v>750</v>
      </c>
      <c r="G2134" s="9">
        <f>IFERROR(__xludf.DUMMYFUNCTION("""COMPUTED_VALUE"""),6.0)</f>
        <v>6</v>
      </c>
      <c r="H2134" s="10">
        <f>IFERROR(__xludf.DUMMYFUNCTION("""COMPUTED_VALUE"""),1.0)</f>
        <v>1</v>
      </c>
      <c r="I2134" s="11">
        <f>IFERROR(__xludf.DUMMYFUNCTION("""COMPUTED_VALUE"""),538.0)</f>
        <v>538</v>
      </c>
      <c r="J2134" s="9" t="str">
        <f>IFERROR(__xludf.DUMMYFUNCTION("""COMPUTED_VALUE"""),"UK")</f>
        <v>UK</v>
      </c>
      <c r="K2134" s="8"/>
      <c r="L2134" s="12"/>
      <c r="M2134" s="13"/>
      <c r="N2134" s="13" t="str">
        <f>IFERROR(__xludf.DUMMYFUNCTION("IF(ISBLANK(M2134),"""",M2134*GOOGLEFINANCE(""USDGBP""))"),"")</f>
        <v/>
      </c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  <c r="FG2134" s="8"/>
      <c r="FH2134" s="8"/>
      <c r="FI2134" s="8"/>
      <c r="FJ2134" s="8"/>
      <c r="FK2134" s="8"/>
      <c r="FL2134" s="8"/>
      <c r="FM2134" s="8"/>
      <c r="FN2134" s="8"/>
      <c r="FO2134" s="8"/>
      <c r="FP2134" s="8"/>
      <c r="FQ2134" s="8"/>
      <c r="FR2134" s="8"/>
      <c r="FS2134" s="8"/>
      <c r="FT2134" s="8"/>
      <c r="FU2134" s="8"/>
      <c r="FV2134" s="8"/>
      <c r="FW2134" s="8"/>
      <c r="FX2134" s="8"/>
      <c r="FY2134" s="8"/>
      <c r="FZ2134" s="8"/>
      <c r="GA2134" s="8"/>
      <c r="GB2134" s="8"/>
      <c r="GC2134" s="8"/>
      <c r="GD2134" s="8"/>
      <c r="GE2134" s="8"/>
      <c r="GF2134" s="8"/>
      <c r="GG2134" s="8"/>
      <c r="GH2134" s="8"/>
      <c r="GI2134" s="8"/>
      <c r="GJ2134" s="8"/>
      <c r="GK2134" s="8"/>
      <c r="GL2134" s="8"/>
      <c r="GM2134" s="8"/>
      <c r="GN2134" s="8"/>
      <c r="GO2134" s="8"/>
      <c r="GP2134" s="8"/>
      <c r="GQ2134" s="8"/>
      <c r="GR2134" s="8"/>
      <c r="GS2134" s="8"/>
      <c r="GT2134" s="8"/>
      <c r="GU2134" s="8"/>
      <c r="GV2134" s="8"/>
      <c r="GW2134" s="8"/>
      <c r="GX2134" s="8"/>
    </row>
    <row r="2135">
      <c r="A2135" s="8" t="str">
        <f>IFERROR(__xludf.DUMMYFUNCTION("""COMPUTED_VALUE"""),"111605620191200750")</f>
        <v>111605620191200750</v>
      </c>
      <c r="B2135" s="9" t="str">
        <f>IFERROR(__xludf.DUMMYFUNCTION("""COMPUTED_VALUE"""),"France")</f>
        <v>France</v>
      </c>
      <c r="C2135" s="9" t="str">
        <f>IFERROR(__xludf.DUMMYFUNCTION("""COMPUTED_VALUE"""),"rhone")</f>
        <v>rhone</v>
      </c>
      <c r="D2135" s="9" t="str">
        <f>IFERROR(__xludf.DUMMYFUNCTION("""COMPUTED_VALUE"""),"Domaine Rostaing, Cote Rotie, La Landonne")</f>
        <v>Domaine Rostaing, Cote Rotie, La Landonne</v>
      </c>
      <c r="E2135" s="9">
        <f>IFERROR(__xludf.DUMMYFUNCTION("""COMPUTED_VALUE"""),2019.0)</f>
        <v>2019</v>
      </c>
      <c r="F2135" s="9">
        <f>IFERROR(__xludf.DUMMYFUNCTION("""COMPUTED_VALUE"""),750.0)</f>
        <v>750</v>
      </c>
      <c r="G2135" s="9">
        <f>IFERROR(__xludf.DUMMYFUNCTION("""COMPUTED_VALUE"""),12.0)</f>
        <v>12</v>
      </c>
      <c r="H2135" s="10">
        <f>IFERROR(__xludf.DUMMYFUNCTION("""COMPUTED_VALUE"""),2.0)</f>
        <v>2</v>
      </c>
      <c r="I2135" s="11">
        <f>IFERROR(__xludf.DUMMYFUNCTION("""COMPUTED_VALUE"""),1461.0)</f>
        <v>1461</v>
      </c>
      <c r="J2135" s="9" t="str">
        <f>IFERROR(__xludf.DUMMYFUNCTION("""COMPUTED_VALUE"""),"UK")</f>
        <v>UK</v>
      </c>
      <c r="K2135" s="8"/>
      <c r="L2135" s="12"/>
      <c r="M2135" s="13"/>
      <c r="N2135" s="13" t="str">
        <f>IFERROR(__xludf.DUMMYFUNCTION("IF(ISBLANK(M2135),"""",M2135*GOOGLEFINANCE(""USDGBP""))"),"")</f>
        <v/>
      </c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  <c r="FG2135" s="8"/>
      <c r="FH2135" s="8"/>
      <c r="FI2135" s="8"/>
      <c r="FJ2135" s="8"/>
      <c r="FK2135" s="8"/>
      <c r="FL2135" s="8"/>
      <c r="FM2135" s="8"/>
      <c r="FN2135" s="8"/>
      <c r="FO2135" s="8"/>
      <c r="FP2135" s="8"/>
      <c r="FQ2135" s="8"/>
      <c r="FR2135" s="8"/>
      <c r="FS2135" s="8"/>
      <c r="FT2135" s="8"/>
      <c r="FU2135" s="8"/>
      <c r="FV2135" s="8"/>
      <c r="FW2135" s="8"/>
      <c r="FX2135" s="8"/>
      <c r="FY2135" s="8"/>
      <c r="FZ2135" s="8"/>
      <c r="GA2135" s="8"/>
      <c r="GB2135" s="8"/>
      <c r="GC2135" s="8"/>
      <c r="GD2135" s="8"/>
      <c r="GE2135" s="8"/>
      <c r="GF2135" s="8"/>
      <c r="GG2135" s="8"/>
      <c r="GH2135" s="8"/>
      <c r="GI2135" s="8"/>
      <c r="GJ2135" s="8"/>
      <c r="GK2135" s="8"/>
      <c r="GL2135" s="8"/>
      <c r="GM2135" s="8"/>
      <c r="GN2135" s="8"/>
      <c r="GO2135" s="8"/>
      <c r="GP2135" s="8"/>
      <c r="GQ2135" s="8"/>
      <c r="GR2135" s="8"/>
      <c r="GS2135" s="8"/>
      <c r="GT2135" s="8"/>
      <c r="GU2135" s="8"/>
      <c r="GV2135" s="8"/>
      <c r="GW2135" s="8"/>
      <c r="GX2135" s="8"/>
    </row>
    <row r="2136">
      <c r="A2136" s="8" t="str">
        <f>IFERROR(__xludf.DUMMYFUNCTION("""COMPUTED_VALUE"""),"131913820130600750")</f>
        <v>131913820130600750</v>
      </c>
      <c r="B2136" s="9" t="str">
        <f>IFERROR(__xludf.DUMMYFUNCTION("""COMPUTED_VALUE"""),"France")</f>
        <v>France</v>
      </c>
      <c r="C2136" s="9" t="str">
        <f>IFERROR(__xludf.DUMMYFUNCTION("""COMPUTED_VALUE"""),"rhone")</f>
        <v>rhone</v>
      </c>
      <c r="D2136" s="9" t="str">
        <f>IFERROR(__xludf.DUMMYFUNCTION("""COMPUTED_VALUE"""),"Domaine Saint Prefert, Chateauneuf-du-Pape, Collection Charles Giraud")</f>
        <v>Domaine Saint Prefert, Chateauneuf-du-Pape, Collection Charles Giraud</v>
      </c>
      <c r="E2136" s="9">
        <f>IFERROR(__xludf.DUMMYFUNCTION("""COMPUTED_VALUE"""),2013.0)</f>
        <v>2013</v>
      </c>
      <c r="F2136" s="9">
        <f>IFERROR(__xludf.DUMMYFUNCTION("""COMPUTED_VALUE"""),750.0)</f>
        <v>750</v>
      </c>
      <c r="G2136" s="9">
        <f>IFERROR(__xludf.DUMMYFUNCTION("""COMPUTED_VALUE"""),6.0)</f>
        <v>6</v>
      </c>
      <c r="H2136" s="10">
        <f>IFERROR(__xludf.DUMMYFUNCTION("""COMPUTED_VALUE"""),1.0)</f>
        <v>1</v>
      </c>
      <c r="I2136" s="11">
        <f>IFERROR(__xludf.DUMMYFUNCTION("""COMPUTED_VALUE"""),385.0)</f>
        <v>385</v>
      </c>
      <c r="J2136" s="9" t="str">
        <f>IFERROR(__xludf.DUMMYFUNCTION("""COMPUTED_VALUE"""),"UK")</f>
        <v>UK</v>
      </c>
      <c r="K2136" s="8"/>
      <c r="L2136" s="12"/>
      <c r="M2136" s="13"/>
      <c r="N2136" s="13" t="str">
        <f>IFERROR(__xludf.DUMMYFUNCTION("IF(ISBLANK(M2136),"""",M2136*GOOGLEFINANCE(""USDGBP""))"),"")</f>
        <v/>
      </c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  <c r="FG2136" s="8"/>
      <c r="FH2136" s="8"/>
      <c r="FI2136" s="8"/>
      <c r="FJ2136" s="8"/>
      <c r="FK2136" s="8"/>
      <c r="FL2136" s="8"/>
      <c r="FM2136" s="8"/>
      <c r="FN2136" s="8"/>
      <c r="FO2136" s="8"/>
      <c r="FP2136" s="8"/>
      <c r="FQ2136" s="8"/>
      <c r="FR2136" s="8"/>
      <c r="FS2136" s="8"/>
      <c r="FT2136" s="8"/>
      <c r="FU2136" s="8"/>
      <c r="FV2136" s="8"/>
      <c r="FW2136" s="8"/>
      <c r="FX2136" s="8"/>
      <c r="FY2136" s="8"/>
      <c r="FZ2136" s="8"/>
      <c r="GA2136" s="8"/>
      <c r="GB2136" s="8"/>
      <c r="GC2136" s="8"/>
      <c r="GD2136" s="8"/>
      <c r="GE2136" s="8"/>
      <c r="GF2136" s="8"/>
      <c r="GG2136" s="8"/>
      <c r="GH2136" s="8"/>
      <c r="GI2136" s="8"/>
      <c r="GJ2136" s="8"/>
      <c r="GK2136" s="8"/>
      <c r="GL2136" s="8"/>
      <c r="GM2136" s="8"/>
      <c r="GN2136" s="8"/>
      <c r="GO2136" s="8"/>
      <c r="GP2136" s="8"/>
      <c r="GQ2136" s="8"/>
      <c r="GR2136" s="8"/>
      <c r="GS2136" s="8"/>
      <c r="GT2136" s="8"/>
      <c r="GU2136" s="8"/>
      <c r="GV2136" s="8"/>
      <c r="GW2136" s="8"/>
      <c r="GX2136" s="8"/>
    </row>
    <row r="2137">
      <c r="A2137" s="8" t="str">
        <f>IFERROR(__xludf.DUMMYFUNCTION("""COMPUTED_VALUE"""),"131913820170600750")</f>
        <v>131913820170600750</v>
      </c>
      <c r="B2137" s="9" t="str">
        <f>IFERROR(__xludf.DUMMYFUNCTION("""COMPUTED_VALUE"""),"France")</f>
        <v>France</v>
      </c>
      <c r="C2137" s="9" t="str">
        <f>IFERROR(__xludf.DUMMYFUNCTION("""COMPUTED_VALUE"""),"rhone")</f>
        <v>rhone</v>
      </c>
      <c r="D2137" s="9" t="str">
        <f>IFERROR(__xludf.DUMMYFUNCTION("""COMPUTED_VALUE"""),"Domaine Saint Prefert, Chateauneuf-du-Pape, Collection Charles Giraud")</f>
        <v>Domaine Saint Prefert, Chateauneuf-du-Pape, Collection Charles Giraud</v>
      </c>
      <c r="E2137" s="9">
        <f>IFERROR(__xludf.DUMMYFUNCTION("""COMPUTED_VALUE"""),2017.0)</f>
        <v>2017</v>
      </c>
      <c r="F2137" s="9">
        <f>IFERROR(__xludf.DUMMYFUNCTION("""COMPUTED_VALUE"""),750.0)</f>
        <v>750</v>
      </c>
      <c r="G2137" s="9">
        <f>IFERROR(__xludf.DUMMYFUNCTION("""COMPUTED_VALUE"""),6.0)</f>
        <v>6</v>
      </c>
      <c r="H2137" s="10">
        <f>IFERROR(__xludf.DUMMYFUNCTION("""COMPUTED_VALUE"""),3.0)</f>
        <v>3</v>
      </c>
      <c r="I2137" s="11">
        <f>IFERROR(__xludf.DUMMYFUNCTION("""COMPUTED_VALUE"""),493.0)</f>
        <v>493</v>
      </c>
      <c r="J2137" s="9" t="str">
        <f>IFERROR(__xludf.DUMMYFUNCTION("""COMPUTED_VALUE"""),"UK")</f>
        <v>UK</v>
      </c>
      <c r="K2137" s="8"/>
      <c r="L2137" s="12"/>
      <c r="M2137" s="13"/>
      <c r="N2137" s="13" t="str">
        <f>IFERROR(__xludf.DUMMYFUNCTION("IF(ISBLANK(M2137),"""",M2137*GOOGLEFINANCE(""USDGBP""))"),"")</f>
        <v/>
      </c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  <c r="FG2137" s="8"/>
      <c r="FH2137" s="8"/>
      <c r="FI2137" s="8"/>
      <c r="FJ2137" s="8"/>
      <c r="FK2137" s="8"/>
      <c r="FL2137" s="8"/>
      <c r="FM2137" s="8"/>
      <c r="FN2137" s="8"/>
      <c r="FO2137" s="8"/>
      <c r="FP2137" s="8"/>
      <c r="FQ2137" s="8"/>
      <c r="FR2137" s="8"/>
      <c r="FS2137" s="8"/>
      <c r="FT2137" s="8"/>
      <c r="FU2137" s="8"/>
      <c r="FV2137" s="8"/>
      <c r="FW2137" s="8"/>
      <c r="FX2137" s="8"/>
      <c r="FY2137" s="8"/>
      <c r="FZ2137" s="8"/>
      <c r="GA2137" s="8"/>
      <c r="GB2137" s="8"/>
      <c r="GC2137" s="8"/>
      <c r="GD2137" s="8"/>
      <c r="GE2137" s="8"/>
      <c r="GF2137" s="8"/>
      <c r="GG2137" s="8"/>
      <c r="GH2137" s="8"/>
      <c r="GI2137" s="8"/>
      <c r="GJ2137" s="8"/>
      <c r="GK2137" s="8"/>
      <c r="GL2137" s="8"/>
      <c r="GM2137" s="8"/>
      <c r="GN2137" s="8"/>
      <c r="GO2137" s="8"/>
      <c r="GP2137" s="8"/>
      <c r="GQ2137" s="8"/>
      <c r="GR2137" s="8"/>
      <c r="GS2137" s="8"/>
      <c r="GT2137" s="8"/>
      <c r="GU2137" s="8"/>
      <c r="GV2137" s="8"/>
      <c r="GW2137" s="8"/>
      <c r="GX2137" s="8"/>
    </row>
    <row r="2138">
      <c r="A2138" s="8" t="str">
        <f>IFERROR(__xludf.DUMMYFUNCTION("""COMPUTED_VALUE"""),"131913820171200750")</f>
        <v>131913820171200750</v>
      </c>
      <c r="B2138" s="9" t="str">
        <f>IFERROR(__xludf.DUMMYFUNCTION("""COMPUTED_VALUE"""),"France")</f>
        <v>France</v>
      </c>
      <c r="C2138" s="9" t="str">
        <f>IFERROR(__xludf.DUMMYFUNCTION("""COMPUTED_VALUE"""),"rhone")</f>
        <v>rhone</v>
      </c>
      <c r="D2138" s="9" t="str">
        <f>IFERROR(__xludf.DUMMYFUNCTION("""COMPUTED_VALUE"""),"Domaine Saint Prefert, Chateauneuf-du-Pape, Collection Charles Giraud")</f>
        <v>Domaine Saint Prefert, Chateauneuf-du-Pape, Collection Charles Giraud</v>
      </c>
      <c r="E2138" s="9">
        <f>IFERROR(__xludf.DUMMYFUNCTION("""COMPUTED_VALUE"""),2017.0)</f>
        <v>2017</v>
      </c>
      <c r="F2138" s="9">
        <f>IFERROR(__xludf.DUMMYFUNCTION("""COMPUTED_VALUE"""),750.0)</f>
        <v>750</v>
      </c>
      <c r="G2138" s="9">
        <f>IFERROR(__xludf.DUMMYFUNCTION("""COMPUTED_VALUE"""),12.0)</f>
        <v>12</v>
      </c>
      <c r="H2138" s="10">
        <f>IFERROR(__xludf.DUMMYFUNCTION("""COMPUTED_VALUE"""),1.0)</f>
        <v>1</v>
      </c>
      <c r="I2138" s="11">
        <f>IFERROR(__xludf.DUMMYFUNCTION("""COMPUTED_VALUE"""),985.0)</f>
        <v>985</v>
      </c>
      <c r="J2138" s="9" t="str">
        <f>IFERROR(__xludf.DUMMYFUNCTION("""COMPUTED_VALUE"""),"UK")</f>
        <v>UK</v>
      </c>
      <c r="K2138" s="8"/>
      <c r="L2138" s="12"/>
      <c r="M2138" s="13"/>
      <c r="N2138" s="13" t="str">
        <f>IFERROR(__xludf.DUMMYFUNCTION("IF(ISBLANK(M2138),"""",M2138*GOOGLEFINANCE(""USDGBP""))"),"")</f>
        <v/>
      </c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  <c r="FG2138" s="8"/>
      <c r="FH2138" s="8"/>
      <c r="FI2138" s="8"/>
      <c r="FJ2138" s="8"/>
      <c r="FK2138" s="8"/>
      <c r="FL2138" s="8"/>
      <c r="FM2138" s="8"/>
      <c r="FN2138" s="8"/>
      <c r="FO2138" s="8"/>
      <c r="FP2138" s="8"/>
      <c r="FQ2138" s="8"/>
      <c r="FR2138" s="8"/>
      <c r="FS2138" s="8"/>
      <c r="FT2138" s="8"/>
      <c r="FU2138" s="8"/>
      <c r="FV2138" s="8"/>
      <c r="FW2138" s="8"/>
      <c r="FX2138" s="8"/>
      <c r="FY2138" s="8"/>
      <c r="FZ2138" s="8"/>
      <c r="GA2138" s="8"/>
      <c r="GB2138" s="8"/>
      <c r="GC2138" s="8"/>
      <c r="GD2138" s="8"/>
      <c r="GE2138" s="8"/>
      <c r="GF2138" s="8"/>
      <c r="GG2138" s="8"/>
      <c r="GH2138" s="8"/>
      <c r="GI2138" s="8"/>
      <c r="GJ2138" s="8"/>
      <c r="GK2138" s="8"/>
      <c r="GL2138" s="8"/>
      <c r="GM2138" s="8"/>
      <c r="GN2138" s="8"/>
      <c r="GO2138" s="8"/>
      <c r="GP2138" s="8"/>
      <c r="GQ2138" s="8"/>
      <c r="GR2138" s="8"/>
      <c r="GS2138" s="8"/>
      <c r="GT2138" s="8"/>
      <c r="GU2138" s="8"/>
      <c r="GV2138" s="8"/>
      <c r="GW2138" s="8"/>
      <c r="GX2138" s="8"/>
    </row>
    <row r="2139">
      <c r="A2139" s="8" t="str">
        <f>IFERROR(__xludf.DUMMYFUNCTION("""COMPUTED_VALUE"""),"111356320090600750")</f>
        <v>111356320090600750</v>
      </c>
      <c r="B2139" s="9" t="str">
        <f>IFERROR(__xludf.DUMMYFUNCTION("""COMPUTED_VALUE"""),"France")</f>
        <v>France</v>
      </c>
      <c r="C2139" s="9" t="str">
        <f>IFERROR(__xludf.DUMMYFUNCTION("""COMPUTED_VALUE"""),"rhone")</f>
        <v>rhone</v>
      </c>
      <c r="D2139" s="9" t="str">
        <f>IFERROR(__xludf.DUMMYFUNCTION("""COMPUTED_VALUE"""),"Domaine de la Chapelle, Hermitage, La Chapelle Rouge")</f>
        <v>Domaine de la Chapelle, Hermitage, La Chapelle Rouge</v>
      </c>
      <c r="E2139" s="9">
        <f>IFERROR(__xludf.DUMMYFUNCTION("""COMPUTED_VALUE"""),2009.0)</f>
        <v>2009</v>
      </c>
      <c r="F2139" s="9">
        <f>IFERROR(__xludf.DUMMYFUNCTION("""COMPUTED_VALUE"""),750.0)</f>
        <v>750</v>
      </c>
      <c r="G2139" s="9">
        <f>IFERROR(__xludf.DUMMYFUNCTION("""COMPUTED_VALUE"""),6.0)</f>
        <v>6</v>
      </c>
      <c r="H2139" s="10">
        <f>IFERROR(__xludf.DUMMYFUNCTION("""COMPUTED_VALUE"""),1.0)</f>
        <v>1</v>
      </c>
      <c r="I2139" s="11">
        <f>IFERROR(__xludf.DUMMYFUNCTION("""COMPUTED_VALUE"""),992.0)</f>
        <v>992</v>
      </c>
      <c r="J2139" s="9" t="str">
        <f>IFERROR(__xludf.DUMMYFUNCTION("""COMPUTED_VALUE"""),"UK")</f>
        <v>UK</v>
      </c>
      <c r="K2139" s="8"/>
      <c r="L2139" s="12"/>
      <c r="M2139" s="13"/>
      <c r="N2139" s="13" t="str">
        <f>IFERROR(__xludf.DUMMYFUNCTION("IF(ISBLANK(M2139),"""",M2139*GOOGLEFINANCE(""USDGBP""))"),"")</f>
        <v/>
      </c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  <c r="FG2139" s="8"/>
      <c r="FH2139" s="8"/>
      <c r="FI2139" s="8"/>
      <c r="FJ2139" s="8"/>
      <c r="FK2139" s="8"/>
      <c r="FL2139" s="8"/>
      <c r="FM2139" s="8"/>
      <c r="FN2139" s="8"/>
      <c r="FO2139" s="8"/>
      <c r="FP2139" s="8"/>
      <c r="FQ2139" s="8"/>
      <c r="FR2139" s="8"/>
      <c r="FS2139" s="8"/>
      <c r="FT2139" s="8"/>
      <c r="FU2139" s="8"/>
      <c r="FV2139" s="8"/>
      <c r="FW2139" s="8"/>
      <c r="FX2139" s="8"/>
      <c r="FY2139" s="8"/>
      <c r="FZ2139" s="8"/>
      <c r="GA2139" s="8"/>
      <c r="GB2139" s="8"/>
      <c r="GC2139" s="8"/>
      <c r="GD2139" s="8"/>
      <c r="GE2139" s="8"/>
      <c r="GF2139" s="8"/>
      <c r="GG2139" s="8"/>
      <c r="GH2139" s="8"/>
      <c r="GI2139" s="8"/>
      <c r="GJ2139" s="8"/>
      <c r="GK2139" s="8"/>
      <c r="GL2139" s="8"/>
      <c r="GM2139" s="8"/>
      <c r="GN2139" s="8"/>
      <c r="GO2139" s="8"/>
      <c r="GP2139" s="8"/>
      <c r="GQ2139" s="8"/>
      <c r="GR2139" s="8"/>
      <c r="GS2139" s="8"/>
      <c r="GT2139" s="8"/>
      <c r="GU2139" s="8"/>
      <c r="GV2139" s="8"/>
      <c r="GW2139" s="8"/>
      <c r="GX2139" s="8"/>
    </row>
    <row r="2140">
      <c r="A2140" s="8" t="str">
        <f>IFERROR(__xludf.DUMMYFUNCTION("""COMPUTED_VALUE"""),"111356320100600750")</f>
        <v>111356320100600750</v>
      </c>
      <c r="B2140" s="9" t="str">
        <f>IFERROR(__xludf.DUMMYFUNCTION("""COMPUTED_VALUE"""),"France")</f>
        <v>France</v>
      </c>
      <c r="C2140" s="9" t="str">
        <f>IFERROR(__xludf.DUMMYFUNCTION("""COMPUTED_VALUE"""),"rhone")</f>
        <v>rhone</v>
      </c>
      <c r="D2140" s="9" t="str">
        <f>IFERROR(__xludf.DUMMYFUNCTION("""COMPUTED_VALUE"""),"Domaine de la Chapelle, Hermitage, La Chapelle Rouge")</f>
        <v>Domaine de la Chapelle, Hermitage, La Chapelle Rouge</v>
      </c>
      <c r="E2140" s="9">
        <f>IFERROR(__xludf.DUMMYFUNCTION("""COMPUTED_VALUE"""),2010.0)</f>
        <v>2010</v>
      </c>
      <c r="F2140" s="9">
        <f>IFERROR(__xludf.DUMMYFUNCTION("""COMPUTED_VALUE"""),750.0)</f>
        <v>750</v>
      </c>
      <c r="G2140" s="9">
        <f>IFERROR(__xludf.DUMMYFUNCTION("""COMPUTED_VALUE"""),6.0)</f>
        <v>6</v>
      </c>
      <c r="H2140" s="10">
        <f>IFERROR(__xludf.DUMMYFUNCTION("""COMPUTED_VALUE"""),2.0)</f>
        <v>2</v>
      </c>
      <c r="I2140" s="11">
        <f>IFERROR(__xludf.DUMMYFUNCTION("""COMPUTED_VALUE"""),933.0)</f>
        <v>933</v>
      </c>
      <c r="J2140" s="9" t="str">
        <f>IFERROR(__xludf.DUMMYFUNCTION("""COMPUTED_VALUE"""),"UK")</f>
        <v>UK</v>
      </c>
      <c r="K2140" s="8"/>
      <c r="L2140" s="12"/>
      <c r="M2140" s="13"/>
      <c r="N2140" s="13" t="str">
        <f>IFERROR(__xludf.DUMMYFUNCTION("IF(ISBLANK(M2140),"""",M2140*GOOGLEFINANCE(""USDGBP""))"),"")</f>
        <v/>
      </c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  <c r="FG2140" s="8"/>
      <c r="FH2140" s="8"/>
      <c r="FI2140" s="8"/>
      <c r="FJ2140" s="8"/>
      <c r="FK2140" s="8"/>
      <c r="FL2140" s="8"/>
      <c r="FM2140" s="8"/>
      <c r="FN2140" s="8"/>
      <c r="FO2140" s="8"/>
      <c r="FP2140" s="8"/>
      <c r="FQ2140" s="8"/>
      <c r="FR2140" s="8"/>
      <c r="FS2140" s="8"/>
      <c r="FT2140" s="8"/>
      <c r="FU2140" s="8"/>
      <c r="FV2140" s="8"/>
      <c r="FW2140" s="8"/>
      <c r="FX2140" s="8"/>
      <c r="FY2140" s="8"/>
      <c r="FZ2140" s="8"/>
      <c r="GA2140" s="8"/>
      <c r="GB2140" s="8"/>
      <c r="GC2140" s="8"/>
      <c r="GD2140" s="8"/>
      <c r="GE2140" s="8"/>
      <c r="GF2140" s="8"/>
      <c r="GG2140" s="8"/>
      <c r="GH2140" s="8"/>
      <c r="GI2140" s="8"/>
      <c r="GJ2140" s="8"/>
      <c r="GK2140" s="8"/>
      <c r="GL2140" s="8"/>
      <c r="GM2140" s="8"/>
      <c r="GN2140" s="8"/>
      <c r="GO2140" s="8"/>
      <c r="GP2140" s="8"/>
      <c r="GQ2140" s="8"/>
      <c r="GR2140" s="8"/>
      <c r="GS2140" s="8"/>
      <c r="GT2140" s="8"/>
      <c r="GU2140" s="8"/>
      <c r="GV2140" s="8"/>
      <c r="GW2140" s="8"/>
      <c r="GX2140" s="8"/>
    </row>
    <row r="2141">
      <c r="A2141" s="8" t="str">
        <f>IFERROR(__xludf.DUMMYFUNCTION("""COMPUTED_VALUE"""),"111356320130600750")</f>
        <v>111356320130600750</v>
      </c>
      <c r="B2141" s="9" t="str">
        <f>IFERROR(__xludf.DUMMYFUNCTION("""COMPUTED_VALUE"""),"France")</f>
        <v>France</v>
      </c>
      <c r="C2141" s="9" t="str">
        <f>IFERROR(__xludf.DUMMYFUNCTION("""COMPUTED_VALUE"""),"rhone")</f>
        <v>rhone</v>
      </c>
      <c r="D2141" s="9" t="str">
        <f>IFERROR(__xludf.DUMMYFUNCTION("""COMPUTED_VALUE"""),"Domaine de la Chapelle, Hermitage, La Chapelle Rouge")</f>
        <v>Domaine de la Chapelle, Hermitage, La Chapelle Rouge</v>
      </c>
      <c r="E2141" s="9">
        <f>IFERROR(__xludf.DUMMYFUNCTION("""COMPUTED_VALUE"""),2013.0)</f>
        <v>2013</v>
      </c>
      <c r="F2141" s="9">
        <f>IFERROR(__xludf.DUMMYFUNCTION("""COMPUTED_VALUE"""),750.0)</f>
        <v>750</v>
      </c>
      <c r="G2141" s="9">
        <f>IFERROR(__xludf.DUMMYFUNCTION("""COMPUTED_VALUE"""),6.0)</f>
        <v>6</v>
      </c>
      <c r="H2141" s="10">
        <f>IFERROR(__xludf.DUMMYFUNCTION("""COMPUTED_VALUE"""),2.0)</f>
        <v>2</v>
      </c>
      <c r="I2141" s="11">
        <f>IFERROR(__xludf.DUMMYFUNCTION("""COMPUTED_VALUE"""),682.0)</f>
        <v>682</v>
      </c>
      <c r="J2141" s="9" t="str">
        <f>IFERROR(__xludf.DUMMYFUNCTION("""COMPUTED_VALUE"""),"UK")</f>
        <v>UK</v>
      </c>
      <c r="K2141" s="8"/>
      <c r="L2141" s="12"/>
      <c r="M2141" s="13"/>
      <c r="N2141" s="13" t="str">
        <f>IFERROR(__xludf.DUMMYFUNCTION("IF(ISBLANK(M2141),"""",M2141*GOOGLEFINANCE(""USDGBP""))"),"")</f>
        <v/>
      </c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  <c r="FG2141" s="8"/>
      <c r="FH2141" s="8"/>
      <c r="FI2141" s="8"/>
      <c r="FJ2141" s="8"/>
      <c r="FK2141" s="8"/>
      <c r="FL2141" s="8"/>
      <c r="FM2141" s="8"/>
      <c r="FN2141" s="8"/>
      <c r="FO2141" s="8"/>
      <c r="FP2141" s="8"/>
      <c r="FQ2141" s="8"/>
      <c r="FR2141" s="8"/>
      <c r="FS2141" s="8"/>
      <c r="FT2141" s="8"/>
      <c r="FU2141" s="8"/>
      <c r="FV2141" s="8"/>
      <c r="FW2141" s="8"/>
      <c r="FX2141" s="8"/>
      <c r="FY2141" s="8"/>
      <c r="FZ2141" s="8"/>
      <c r="GA2141" s="8"/>
      <c r="GB2141" s="8"/>
      <c r="GC2141" s="8"/>
      <c r="GD2141" s="8"/>
      <c r="GE2141" s="8"/>
      <c r="GF2141" s="8"/>
      <c r="GG2141" s="8"/>
      <c r="GH2141" s="8"/>
      <c r="GI2141" s="8"/>
      <c r="GJ2141" s="8"/>
      <c r="GK2141" s="8"/>
      <c r="GL2141" s="8"/>
      <c r="GM2141" s="8"/>
      <c r="GN2141" s="8"/>
      <c r="GO2141" s="8"/>
      <c r="GP2141" s="8"/>
      <c r="GQ2141" s="8"/>
      <c r="GR2141" s="8"/>
      <c r="GS2141" s="8"/>
      <c r="GT2141" s="8"/>
      <c r="GU2141" s="8"/>
      <c r="GV2141" s="8"/>
      <c r="GW2141" s="8"/>
      <c r="GX2141" s="8"/>
    </row>
    <row r="2142">
      <c r="A2142" s="8" t="str">
        <f>IFERROR(__xludf.DUMMYFUNCTION("""COMPUTED_VALUE"""),"111356320170600750")</f>
        <v>111356320170600750</v>
      </c>
      <c r="B2142" s="9" t="str">
        <f>IFERROR(__xludf.DUMMYFUNCTION("""COMPUTED_VALUE"""),"France")</f>
        <v>France</v>
      </c>
      <c r="C2142" s="9" t="str">
        <f>IFERROR(__xludf.DUMMYFUNCTION("""COMPUTED_VALUE"""),"rhone")</f>
        <v>rhone</v>
      </c>
      <c r="D2142" s="9" t="str">
        <f>IFERROR(__xludf.DUMMYFUNCTION("""COMPUTED_VALUE"""),"Domaine de la Chapelle, Hermitage, La Chapelle Rouge")</f>
        <v>Domaine de la Chapelle, Hermitage, La Chapelle Rouge</v>
      </c>
      <c r="E2142" s="9">
        <f>IFERROR(__xludf.DUMMYFUNCTION("""COMPUTED_VALUE"""),2017.0)</f>
        <v>2017</v>
      </c>
      <c r="F2142" s="9">
        <f>IFERROR(__xludf.DUMMYFUNCTION("""COMPUTED_VALUE"""),750.0)</f>
        <v>750</v>
      </c>
      <c r="G2142" s="9">
        <f>IFERROR(__xludf.DUMMYFUNCTION("""COMPUTED_VALUE"""),6.0)</f>
        <v>6</v>
      </c>
      <c r="H2142" s="10">
        <f>IFERROR(__xludf.DUMMYFUNCTION("""COMPUTED_VALUE"""),2.0)</f>
        <v>2</v>
      </c>
      <c r="I2142" s="11">
        <f>IFERROR(__xludf.DUMMYFUNCTION("""COMPUTED_VALUE"""),744.0)</f>
        <v>744</v>
      </c>
      <c r="J2142" s="9" t="str">
        <f>IFERROR(__xludf.DUMMYFUNCTION("""COMPUTED_VALUE"""),"UK")</f>
        <v>UK</v>
      </c>
      <c r="K2142" s="8"/>
      <c r="L2142" s="12"/>
      <c r="M2142" s="13"/>
      <c r="N2142" s="13" t="str">
        <f>IFERROR(__xludf.DUMMYFUNCTION("IF(ISBLANK(M2142),"""",M2142*GOOGLEFINANCE(""USDGBP""))"),"")</f>
        <v/>
      </c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  <c r="FG2142" s="8"/>
      <c r="FH2142" s="8"/>
      <c r="FI2142" s="8"/>
      <c r="FJ2142" s="8"/>
      <c r="FK2142" s="8"/>
      <c r="FL2142" s="8"/>
      <c r="FM2142" s="8"/>
      <c r="FN2142" s="8"/>
      <c r="FO2142" s="8"/>
      <c r="FP2142" s="8"/>
      <c r="FQ2142" s="8"/>
      <c r="FR2142" s="8"/>
      <c r="FS2142" s="8"/>
      <c r="FT2142" s="8"/>
      <c r="FU2142" s="8"/>
      <c r="FV2142" s="8"/>
      <c r="FW2142" s="8"/>
      <c r="FX2142" s="8"/>
      <c r="FY2142" s="8"/>
      <c r="FZ2142" s="8"/>
      <c r="GA2142" s="8"/>
      <c r="GB2142" s="8"/>
      <c r="GC2142" s="8"/>
      <c r="GD2142" s="8"/>
      <c r="GE2142" s="8"/>
      <c r="GF2142" s="8"/>
      <c r="GG2142" s="8"/>
      <c r="GH2142" s="8"/>
      <c r="GI2142" s="8"/>
      <c r="GJ2142" s="8"/>
      <c r="GK2142" s="8"/>
      <c r="GL2142" s="8"/>
      <c r="GM2142" s="8"/>
      <c r="GN2142" s="8"/>
      <c r="GO2142" s="8"/>
      <c r="GP2142" s="8"/>
      <c r="GQ2142" s="8"/>
      <c r="GR2142" s="8"/>
      <c r="GS2142" s="8"/>
      <c r="GT2142" s="8"/>
      <c r="GU2142" s="8"/>
      <c r="GV2142" s="8"/>
      <c r="GW2142" s="8"/>
      <c r="GX2142" s="8"/>
    </row>
    <row r="2143">
      <c r="A2143" s="8" t="str">
        <f>IFERROR(__xludf.DUMMYFUNCTION("""COMPUTED_VALUE"""),"111356320180600750")</f>
        <v>111356320180600750</v>
      </c>
      <c r="B2143" s="9" t="str">
        <f>IFERROR(__xludf.DUMMYFUNCTION("""COMPUTED_VALUE"""),"France")</f>
        <v>France</v>
      </c>
      <c r="C2143" s="9" t="str">
        <f>IFERROR(__xludf.DUMMYFUNCTION("""COMPUTED_VALUE"""),"rhone")</f>
        <v>rhone</v>
      </c>
      <c r="D2143" s="9" t="str">
        <f>IFERROR(__xludf.DUMMYFUNCTION("""COMPUTED_VALUE"""),"Domaine de la Chapelle, Hermitage, La Chapelle Rouge")</f>
        <v>Domaine de la Chapelle, Hermitage, La Chapelle Rouge</v>
      </c>
      <c r="E2143" s="9">
        <f>IFERROR(__xludf.DUMMYFUNCTION("""COMPUTED_VALUE"""),2018.0)</f>
        <v>2018</v>
      </c>
      <c r="F2143" s="9">
        <f>IFERROR(__xludf.DUMMYFUNCTION("""COMPUTED_VALUE"""),750.0)</f>
        <v>750</v>
      </c>
      <c r="G2143" s="9">
        <f>IFERROR(__xludf.DUMMYFUNCTION("""COMPUTED_VALUE"""),6.0)</f>
        <v>6</v>
      </c>
      <c r="H2143" s="10">
        <f>IFERROR(__xludf.DUMMYFUNCTION("""COMPUTED_VALUE"""),5.0)</f>
        <v>5</v>
      </c>
      <c r="I2143" s="11">
        <f>IFERROR(__xludf.DUMMYFUNCTION("""COMPUTED_VALUE"""),769.0)</f>
        <v>769</v>
      </c>
      <c r="J2143" s="9" t="str">
        <f>IFERROR(__xludf.DUMMYFUNCTION("""COMPUTED_VALUE"""),"UK")</f>
        <v>UK</v>
      </c>
      <c r="K2143" s="8"/>
      <c r="L2143" s="12"/>
      <c r="M2143" s="13"/>
      <c r="N2143" s="13" t="str">
        <f>IFERROR(__xludf.DUMMYFUNCTION("IF(ISBLANK(M2143),"""",M2143*GOOGLEFINANCE(""USDGBP""))"),"")</f>
        <v/>
      </c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  <c r="FG2143" s="8"/>
      <c r="FH2143" s="8"/>
      <c r="FI2143" s="8"/>
      <c r="FJ2143" s="8"/>
      <c r="FK2143" s="8"/>
      <c r="FL2143" s="8"/>
      <c r="FM2143" s="8"/>
      <c r="FN2143" s="8"/>
      <c r="FO2143" s="8"/>
      <c r="FP2143" s="8"/>
      <c r="FQ2143" s="8"/>
      <c r="FR2143" s="8"/>
      <c r="FS2143" s="8"/>
      <c r="FT2143" s="8"/>
      <c r="FU2143" s="8"/>
      <c r="FV2143" s="8"/>
      <c r="FW2143" s="8"/>
      <c r="FX2143" s="8"/>
      <c r="FY2143" s="8"/>
      <c r="FZ2143" s="8"/>
      <c r="GA2143" s="8"/>
      <c r="GB2143" s="8"/>
      <c r="GC2143" s="8"/>
      <c r="GD2143" s="8"/>
      <c r="GE2143" s="8"/>
      <c r="GF2143" s="8"/>
      <c r="GG2143" s="8"/>
      <c r="GH2143" s="8"/>
      <c r="GI2143" s="8"/>
      <c r="GJ2143" s="8"/>
      <c r="GK2143" s="8"/>
      <c r="GL2143" s="8"/>
      <c r="GM2143" s="8"/>
      <c r="GN2143" s="8"/>
      <c r="GO2143" s="8"/>
      <c r="GP2143" s="8"/>
      <c r="GQ2143" s="8"/>
      <c r="GR2143" s="8"/>
      <c r="GS2143" s="8"/>
      <c r="GT2143" s="8"/>
      <c r="GU2143" s="8"/>
      <c r="GV2143" s="8"/>
      <c r="GW2143" s="8"/>
      <c r="GX2143" s="8"/>
    </row>
    <row r="2144">
      <c r="A2144" s="8" t="str">
        <f>IFERROR(__xludf.DUMMYFUNCTION("""COMPUTED_VALUE"""),"111395420131200750")</f>
        <v>111395420131200750</v>
      </c>
      <c r="B2144" s="9" t="str">
        <f>IFERROR(__xludf.DUMMYFUNCTION("""COMPUTED_VALUE"""),"France")</f>
        <v>France</v>
      </c>
      <c r="C2144" s="9" t="str">
        <f>IFERROR(__xludf.DUMMYFUNCTION("""COMPUTED_VALUE"""),"rhone")</f>
        <v>rhone</v>
      </c>
      <c r="D2144" s="9" t="str">
        <f>IFERROR(__xludf.DUMMYFUNCTION("""COMPUTED_VALUE"""),"Domaine de la Janasse, Chateauneuf-du-Pape, Chaupin")</f>
        <v>Domaine de la Janasse, Chateauneuf-du-Pape, Chaupin</v>
      </c>
      <c r="E2144" s="9">
        <f>IFERROR(__xludf.DUMMYFUNCTION("""COMPUTED_VALUE"""),2013.0)</f>
        <v>2013</v>
      </c>
      <c r="F2144" s="9">
        <f>IFERROR(__xludf.DUMMYFUNCTION("""COMPUTED_VALUE"""),750.0)</f>
        <v>750</v>
      </c>
      <c r="G2144" s="9">
        <f>IFERROR(__xludf.DUMMYFUNCTION("""COMPUTED_VALUE"""),12.0)</f>
        <v>12</v>
      </c>
      <c r="H2144" s="10">
        <f>IFERROR(__xludf.DUMMYFUNCTION("""COMPUTED_VALUE"""),11.0)</f>
        <v>11</v>
      </c>
      <c r="I2144" s="11">
        <f>IFERROR(__xludf.DUMMYFUNCTION("""COMPUTED_VALUE"""),624.0)</f>
        <v>624</v>
      </c>
      <c r="J2144" s="9" t="str">
        <f>IFERROR(__xludf.DUMMYFUNCTION("""COMPUTED_VALUE"""),"UK")</f>
        <v>UK</v>
      </c>
      <c r="K2144" s="8"/>
      <c r="L2144" s="12"/>
      <c r="M2144" s="13"/>
      <c r="N2144" s="13" t="str">
        <f>IFERROR(__xludf.DUMMYFUNCTION("IF(ISBLANK(M2144),"""",M2144*GOOGLEFINANCE(""USDGBP""))"),"")</f>
        <v/>
      </c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  <c r="FG2144" s="8"/>
      <c r="FH2144" s="8"/>
      <c r="FI2144" s="8"/>
      <c r="FJ2144" s="8"/>
      <c r="FK2144" s="8"/>
      <c r="FL2144" s="8"/>
      <c r="FM2144" s="8"/>
      <c r="FN2144" s="8"/>
      <c r="FO2144" s="8"/>
      <c r="FP2144" s="8"/>
      <c r="FQ2144" s="8"/>
      <c r="FR2144" s="8"/>
      <c r="FS2144" s="8"/>
      <c r="FT2144" s="8"/>
      <c r="FU2144" s="8"/>
      <c r="FV2144" s="8"/>
      <c r="FW2144" s="8"/>
      <c r="FX2144" s="8"/>
      <c r="FY2144" s="8"/>
      <c r="FZ2144" s="8"/>
      <c r="GA2144" s="8"/>
      <c r="GB2144" s="8"/>
      <c r="GC2144" s="8"/>
      <c r="GD2144" s="8"/>
      <c r="GE2144" s="8"/>
      <c r="GF2144" s="8"/>
      <c r="GG2144" s="8"/>
      <c r="GH2144" s="8"/>
      <c r="GI2144" s="8"/>
      <c r="GJ2144" s="8"/>
      <c r="GK2144" s="8"/>
      <c r="GL2144" s="8"/>
      <c r="GM2144" s="8"/>
      <c r="GN2144" s="8"/>
      <c r="GO2144" s="8"/>
      <c r="GP2144" s="8"/>
      <c r="GQ2144" s="8"/>
      <c r="GR2144" s="8"/>
      <c r="GS2144" s="8"/>
      <c r="GT2144" s="8"/>
      <c r="GU2144" s="8"/>
      <c r="GV2144" s="8"/>
      <c r="GW2144" s="8"/>
      <c r="GX2144" s="8"/>
    </row>
    <row r="2145">
      <c r="A2145" s="8" t="str">
        <f>IFERROR(__xludf.DUMMYFUNCTION("""COMPUTED_VALUE"""),"111395420141200750")</f>
        <v>111395420141200750</v>
      </c>
      <c r="B2145" s="9" t="str">
        <f>IFERROR(__xludf.DUMMYFUNCTION("""COMPUTED_VALUE"""),"France")</f>
        <v>France</v>
      </c>
      <c r="C2145" s="9" t="str">
        <f>IFERROR(__xludf.DUMMYFUNCTION("""COMPUTED_VALUE"""),"rhone")</f>
        <v>rhone</v>
      </c>
      <c r="D2145" s="9" t="str">
        <f>IFERROR(__xludf.DUMMYFUNCTION("""COMPUTED_VALUE"""),"Domaine de la Janasse, Chateauneuf-du-Pape, Chaupin")</f>
        <v>Domaine de la Janasse, Chateauneuf-du-Pape, Chaupin</v>
      </c>
      <c r="E2145" s="9">
        <f>IFERROR(__xludf.DUMMYFUNCTION("""COMPUTED_VALUE"""),2014.0)</f>
        <v>2014</v>
      </c>
      <c r="F2145" s="9">
        <f>IFERROR(__xludf.DUMMYFUNCTION("""COMPUTED_VALUE"""),750.0)</f>
        <v>750</v>
      </c>
      <c r="G2145" s="9">
        <f>IFERROR(__xludf.DUMMYFUNCTION("""COMPUTED_VALUE"""),12.0)</f>
        <v>12</v>
      </c>
      <c r="H2145" s="10">
        <f>IFERROR(__xludf.DUMMYFUNCTION("""COMPUTED_VALUE"""),1.0)</f>
        <v>1</v>
      </c>
      <c r="I2145" s="11">
        <f>IFERROR(__xludf.DUMMYFUNCTION("""COMPUTED_VALUE"""),411.0)</f>
        <v>411</v>
      </c>
      <c r="J2145" s="9" t="str">
        <f>IFERROR(__xludf.DUMMYFUNCTION("""COMPUTED_VALUE"""),"UK")</f>
        <v>UK</v>
      </c>
      <c r="K2145" s="8"/>
      <c r="L2145" s="12"/>
      <c r="M2145" s="13"/>
      <c r="N2145" s="13" t="str">
        <f>IFERROR(__xludf.DUMMYFUNCTION("IF(ISBLANK(M2145),"""",M2145*GOOGLEFINANCE(""USDGBP""))"),"")</f>
        <v/>
      </c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  <c r="FG2145" s="8"/>
      <c r="FH2145" s="8"/>
      <c r="FI2145" s="8"/>
      <c r="FJ2145" s="8"/>
      <c r="FK2145" s="8"/>
      <c r="FL2145" s="8"/>
      <c r="FM2145" s="8"/>
      <c r="FN2145" s="8"/>
      <c r="FO2145" s="8"/>
      <c r="FP2145" s="8"/>
      <c r="FQ2145" s="8"/>
      <c r="FR2145" s="8"/>
      <c r="FS2145" s="8"/>
      <c r="FT2145" s="8"/>
      <c r="FU2145" s="8"/>
      <c r="FV2145" s="8"/>
      <c r="FW2145" s="8"/>
      <c r="FX2145" s="8"/>
      <c r="FY2145" s="8"/>
      <c r="FZ2145" s="8"/>
      <c r="GA2145" s="8"/>
      <c r="GB2145" s="8"/>
      <c r="GC2145" s="8"/>
      <c r="GD2145" s="8"/>
      <c r="GE2145" s="8"/>
      <c r="GF2145" s="8"/>
      <c r="GG2145" s="8"/>
      <c r="GH2145" s="8"/>
      <c r="GI2145" s="8"/>
      <c r="GJ2145" s="8"/>
      <c r="GK2145" s="8"/>
      <c r="GL2145" s="8"/>
      <c r="GM2145" s="8"/>
      <c r="GN2145" s="8"/>
      <c r="GO2145" s="8"/>
      <c r="GP2145" s="8"/>
      <c r="GQ2145" s="8"/>
      <c r="GR2145" s="8"/>
      <c r="GS2145" s="8"/>
      <c r="GT2145" s="8"/>
      <c r="GU2145" s="8"/>
      <c r="GV2145" s="8"/>
      <c r="GW2145" s="8"/>
      <c r="GX2145" s="8"/>
    </row>
    <row r="2146">
      <c r="A2146" s="8" t="str">
        <f>IFERROR(__xludf.DUMMYFUNCTION("""COMPUTED_VALUE"""),"111395420171200750")</f>
        <v>111395420171200750</v>
      </c>
      <c r="B2146" s="9" t="str">
        <f>IFERROR(__xludf.DUMMYFUNCTION("""COMPUTED_VALUE"""),"France")</f>
        <v>France</v>
      </c>
      <c r="C2146" s="9" t="str">
        <f>IFERROR(__xludf.DUMMYFUNCTION("""COMPUTED_VALUE"""),"rhone")</f>
        <v>rhone</v>
      </c>
      <c r="D2146" s="9" t="str">
        <f>IFERROR(__xludf.DUMMYFUNCTION("""COMPUTED_VALUE"""),"Domaine de la Janasse, Chateauneuf-du-Pape, Chaupin")</f>
        <v>Domaine de la Janasse, Chateauneuf-du-Pape, Chaupin</v>
      </c>
      <c r="E2146" s="9">
        <f>IFERROR(__xludf.DUMMYFUNCTION("""COMPUTED_VALUE"""),2017.0)</f>
        <v>2017</v>
      </c>
      <c r="F2146" s="9">
        <f>IFERROR(__xludf.DUMMYFUNCTION("""COMPUTED_VALUE"""),750.0)</f>
        <v>750</v>
      </c>
      <c r="G2146" s="9">
        <f>IFERROR(__xludf.DUMMYFUNCTION("""COMPUTED_VALUE"""),12.0)</f>
        <v>12</v>
      </c>
      <c r="H2146" s="10">
        <f>IFERROR(__xludf.DUMMYFUNCTION("""COMPUTED_VALUE"""),6.0)</f>
        <v>6</v>
      </c>
      <c r="I2146" s="11">
        <f>IFERROR(__xludf.DUMMYFUNCTION("""COMPUTED_VALUE"""),464.0)</f>
        <v>464</v>
      </c>
      <c r="J2146" s="9" t="str">
        <f>IFERROR(__xludf.DUMMYFUNCTION("""COMPUTED_VALUE"""),"UK")</f>
        <v>UK</v>
      </c>
      <c r="K2146" s="8"/>
      <c r="L2146" s="12"/>
      <c r="M2146" s="13"/>
      <c r="N2146" s="13" t="str">
        <f>IFERROR(__xludf.DUMMYFUNCTION("IF(ISBLANK(M2146),"""",M2146*GOOGLEFINANCE(""USDGBP""))"),"")</f>
        <v/>
      </c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  <c r="FG2146" s="8"/>
      <c r="FH2146" s="8"/>
      <c r="FI2146" s="8"/>
      <c r="FJ2146" s="8"/>
      <c r="FK2146" s="8"/>
      <c r="FL2146" s="8"/>
      <c r="FM2146" s="8"/>
      <c r="FN2146" s="8"/>
      <c r="FO2146" s="8"/>
      <c r="FP2146" s="8"/>
      <c r="FQ2146" s="8"/>
      <c r="FR2146" s="8"/>
      <c r="FS2146" s="8"/>
      <c r="FT2146" s="8"/>
      <c r="FU2146" s="8"/>
      <c r="FV2146" s="8"/>
      <c r="FW2146" s="8"/>
      <c r="FX2146" s="8"/>
      <c r="FY2146" s="8"/>
      <c r="FZ2146" s="8"/>
      <c r="GA2146" s="8"/>
      <c r="GB2146" s="8"/>
      <c r="GC2146" s="8"/>
      <c r="GD2146" s="8"/>
      <c r="GE2146" s="8"/>
      <c r="GF2146" s="8"/>
      <c r="GG2146" s="8"/>
      <c r="GH2146" s="8"/>
      <c r="GI2146" s="8"/>
      <c r="GJ2146" s="8"/>
      <c r="GK2146" s="8"/>
      <c r="GL2146" s="8"/>
      <c r="GM2146" s="8"/>
      <c r="GN2146" s="8"/>
      <c r="GO2146" s="8"/>
      <c r="GP2146" s="8"/>
      <c r="GQ2146" s="8"/>
      <c r="GR2146" s="8"/>
      <c r="GS2146" s="8"/>
      <c r="GT2146" s="8"/>
      <c r="GU2146" s="8"/>
      <c r="GV2146" s="8"/>
      <c r="GW2146" s="8"/>
      <c r="GX2146" s="8"/>
    </row>
    <row r="2147">
      <c r="A2147" s="8" t="str">
        <f>IFERROR(__xludf.DUMMYFUNCTION("""COMPUTED_VALUE"""),"111395420170601500")</f>
        <v>111395420170601500</v>
      </c>
      <c r="B2147" s="9" t="str">
        <f>IFERROR(__xludf.DUMMYFUNCTION("""COMPUTED_VALUE"""),"France")</f>
        <v>France</v>
      </c>
      <c r="C2147" s="9" t="str">
        <f>IFERROR(__xludf.DUMMYFUNCTION("""COMPUTED_VALUE"""),"rhone")</f>
        <v>rhone</v>
      </c>
      <c r="D2147" s="9" t="str">
        <f>IFERROR(__xludf.DUMMYFUNCTION("""COMPUTED_VALUE"""),"Domaine de la Janasse, Chateauneuf-du-Pape, Chaupin")</f>
        <v>Domaine de la Janasse, Chateauneuf-du-Pape, Chaupin</v>
      </c>
      <c r="E2147" s="9">
        <f>IFERROR(__xludf.DUMMYFUNCTION("""COMPUTED_VALUE"""),2017.0)</f>
        <v>2017</v>
      </c>
      <c r="F2147" s="9">
        <f>IFERROR(__xludf.DUMMYFUNCTION("""COMPUTED_VALUE"""),1500.0)</f>
        <v>1500</v>
      </c>
      <c r="G2147" s="9">
        <f>IFERROR(__xludf.DUMMYFUNCTION("""COMPUTED_VALUE"""),6.0)</f>
        <v>6</v>
      </c>
      <c r="H2147" s="10">
        <f>IFERROR(__xludf.DUMMYFUNCTION("""COMPUTED_VALUE"""),3.0)</f>
        <v>3</v>
      </c>
      <c r="I2147" s="11">
        <f>IFERROR(__xludf.DUMMYFUNCTION("""COMPUTED_VALUE"""),486.0)</f>
        <v>486</v>
      </c>
      <c r="J2147" s="9" t="str">
        <f>IFERROR(__xludf.DUMMYFUNCTION("""COMPUTED_VALUE"""),"UK")</f>
        <v>UK</v>
      </c>
      <c r="K2147" s="8"/>
      <c r="L2147" s="12"/>
      <c r="M2147" s="13"/>
      <c r="N2147" s="13" t="str">
        <f>IFERROR(__xludf.DUMMYFUNCTION("IF(ISBLANK(M2147),"""",M2147*GOOGLEFINANCE(""USDGBP""))"),"")</f>
        <v/>
      </c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  <c r="FG2147" s="8"/>
      <c r="FH2147" s="8"/>
      <c r="FI2147" s="8"/>
      <c r="FJ2147" s="8"/>
      <c r="FK2147" s="8"/>
      <c r="FL2147" s="8"/>
      <c r="FM2147" s="8"/>
      <c r="FN2147" s="8"/>
      <c r="FO2147" s="8"/>
      <c r="FP2147" s="8"/>
      <c r="FQ2147" s="8"/>
      <c r="FR2147" s="8"/>
      <c r="FS2147" s="8"/>
      <c r="FT2147" s="8"/>
      <c r="FU2147" s="8"/>
      <c r="FV2147" s="8"/>
      <c r="FW2147" s="8"/>
      <c r="FX2147" s="8"/>
      <c r="FY2147" s="8"/>
      <c r="FZ2147" s="8"/>
      <c r="GA2147" s="8"/>
      <c r="GB2147" s="8"/>
      <c r="GC2147" s="8"/>
      <c r="GD2147" s="8"/>
      <c r="GE2147" s="8"/>
      <c r="GF2147" s="8"/>
      <c r="GG2147" s="8"/>
      <c r="GH2147" s="8"/>
      <c r="GI2147" s="8"/>
      <c r="GJ2147" s="8"/>
      <c r="GK2147" s="8"/>
      <c r="GL2147" s="8"/>
      <c r="GM2147" s="8"/>
      <c r="GN2147" s="8"/>
      <c r="GO2147" s="8"/>
      <c r="GP2147" s="8"/>
      <c r="GQ2147" s="8"/>
      <c r="GR2147" s="8"/>
      <c r="GS2147" s="8"/>
      <c r="GT2147" s="8"/>
      <c r="GU2147" s="8"/>
      <c r="GV2147" s="8"/>
      <c r="GW2147" s="8"/>
      <c r="GX2147" s="8"/>
    </row>
    <row r="2148">
      <c r="A2148" s="8" t="str">
        <f>IFERROR(__xludf.DUMMYFUNCTION("""COMPUTED_VALUE"""),"111395420181200750")</f>
        <v>111395420181200750</v>
      </c>
      <c r="B2148" s="9" t="str">
        <f>IFERROR(__xludf.DUMMYFUNCTION("""COMPUTED_VALUE"""),"France")</f>
        <v>France</v>
      </c>
      <c r="C2148" s="9" t="str">
        <f>IFERROR(__xludf.DUMMYFUNCTION("""COMPUTED_VALUE"""),"rhone")</f>
        <v>rhone</v>
      </c>
      <c r="D2148" s="9" t="str">
        <f>IFERROR(__xludf.DUMMYFUNCTION("""COMPUTED_VALUE"""),"Domaine de la Janasse, Chateauneuf-du-Pape, Chaupin")</f>
        <v>Domaine de la Janasse, Chateauneuf-du-Pape, Chaupin</v>
      </c>
      <c r="E2148" s="9">
        <f>IFERROR(__xludf.DUMMYFUNCTION("""COMPUTED_VALUE"""),2018.0)</f>
        <v>2018</v>
      </c>
      <c r="F2148" s="9">
        <f>IFERROR(__xludf.DUMMYFUNCTION("""COMPUTED_VALUE"""),750.0)</f>
        <v>750</v>
      </c>
      <c r="G2148" s="9">
        <f>IFERROR(__xludf.DUMMYFUNCTION("""COMPUTED_VALUE"""),12.0)</f>
        <v>12</v>
      </c>
      <c r="H2148" s="10">
        <f>IFERROR(__xludf.DUMMYFUNCTION("""COMPUTED_VALUE"""),5.0)</f>
        <v>5</v>
      </c>
      <c r="I2148" s="11">
        <f>IFERROR(__xludf.DUMMYFUNCTION("""COMPUTED_VALUE"""),425.0)</f>
        <v>425</v>
      </c>
      <c r="J2148" s="9" t="str">
        <f>IFERROR(__xludf.DUMMYFUNCTION("""COMPUTED_VALUE"""),"UK")</f>
        <v>UK</v>
      </c>
      <c r="K2148" s="8"/>
      <c r="L2148" s="12"/>
      <c r="M2148" s="13"/>
      <c r="N2148" s="13" t="str">
        <f>IFERROR(__xludf.DUMMYFUNCTION("IF(ISBLANK(M2148),"""",M2148*GOOGLEFINANCE(""USDGBP""))"),"")</f>
        <v/>
      </c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  <c r="FG2148" s="8"/>
      <c r="FH2148" s="8"/>
      <c r="FI2148" s="8"/>
      <c r="FJ2148" s="8"/>
      <c r="FK2148" s="8"/>
      <c r="FL2148" s="8"/>
      <c r="FM2148" s="8"/>
      <c r="FN2148" s="8"/>
      <c r="FO2148" s="8"/>
      <c r="FP2148" s="8"/>
      <c r="FQ2148" s="8"/>
      <c r="FR2148" s="8"/>
      <c r="FS2148" s="8"/>
      <c r="FT2148" s="8"/>
      <c r="FU2148" s="8"/>
      <c r="FV2148" s="8"/>
      <c r="FW2148" s="8"/>
      <c r="FX2148" s="8"/>
      <c r="FY2148" s="8"/>
      <c r="FZ2148" s="8"/>
      <c r="GA2148" s="8"/>
      <c r="GB2148" s="8"/>
      <c r="GC2148" s="8"/>
      <c r="GD2148" s="8"/>
      <c r="GE2148" s="8"/>
      <c r="GF2148" s="8"/>
      <c r="GG2148" s="8"/>
      <c r="GH2148" s="8"/>
      <c r="GI2148" s="8"/>
      <c r="GJ2148" s="8"/>
      <c r="GK2148" s="8"/>
      <c r="GL2148" s="8"/>
      <c r="GM2148" s="8"/>
      <c r="GN2148" s="8"/>
      <c r="GO2148" s="8"/>
      <c r="GP2148" s="8"/>
      <c r="GQ2148" s="8"/>
      <c r="GR2148" s="8"/>
      <c r="GS2148" s="8"/>
      <c r="GT2148" s="8"/>
      <c r="GU2148" s="8"/>
      <c r="GV2148" s="8"/>
      <c r="GW2148" s="8"/>
      <c r="GX2148" s="8"/>
    </row>
    <row r="2149">
      <c r="A2149" s="8" t="str">
        <f>IFERROR(__xludf.DUMMYFUNCTION("""COMPUTED_VALUE"""),"111395420191200750")</f>
        <v>111395420191200750</v>
      </c>
      <c r="B2149" s="9" t="str">
        <f>IFERROR(__xludf.DUMMYFUNCTION("""COMPUTED_VALUE"""),"France")</f>
        <v>France</v>
      </c>
      <c r="C2149" s="9" t="str">
        <f>IFERROR(__xludf.DUMMYFUNCTION("""COMPUTED_VALUE"""),"rhone")</f>
        <v>rhone</v>
      </c>
      <c r="D2149" s="9" t="str">
        <f>IFERROR(__xludf.DUMMYFUNCTION("""COMPUTED_VALUE"""),"Domaine de la Janasse, Chateauneuf-du-Pape, Chaupin")</f>
        <v>Domaine de la Janasse, Chateauneuf-du-Pape, Chaupin</v>
      </c>
      <c r="E2149" s="9">
        <f>IFERROR(__xludf.DUMMYFUNCTION("""COMPUTED_VALUE"""),2019.0)</f>
        <v>2019</v>
      </c>
      <c r="F2149" s="9">
        <f>IFERROR(__xludf.DUMMYFUNCTION("""COMPUTED_VALUE"""),750.0)</f>
        <v>750</v>
      </c>
      <c r="G2149" s="9">
        <f>IFERROR(__xludf.DUMMYFUNCTION("""COMPUTED_VALUE"""),12.0)</f>
        <v>12</v>
      </c>
      <c r="H2149" s="10">
        <f>IFERROR(__xludf.DUMMYFUNCTION("""COMPUTED_VALUE"""),22.0)</f>
        <v>22</v>
      </c>
      <c r="I2149" s="11">
        <f>IFERROR(__xludf.DUMMYFUNCTION("""COMPUTED_VALUE"""),560.0)</f>
        <v>560</v>
      </c>
      <c r="J2149" s="9" t="str">
        <f>IFERROR(__xludf.DUMMYFUNCTION("""COMPUTED_VALUE"""),"UK")</f>
        <v>UK</v>
      </c>
      <c r="K2149" s="8"/>
      <c r="L2149" s="12"/>
      <c r="M2149" s="13"/>
      <c r="N2149" s="13" t="str">
        <f>IFERROR(__xludf.DUMMYFUNCTION("IF(ISBLANK(M2149),"""",M2149*GOOGLEFINANCE(""USDGBP""))"),"")</f>
        <v/>
      </c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  <c r="FG2149" s="8"/>
      <c r="FH2149" s="8"/>
      <c r="FI2149" s="8"/>
      <c r="FJ2149" s="8"/>
      <c r="FK2149" s="8"/>
      <c r="FL2149" s="8"/>
      <c r="FM2149" s="8"/>
      <c r="FN2149" s="8"/>
      <c r="FO2149" s="8"/>
      <c r="FP2149" s="8"/>
      <c r="FQ2149" s="8"/>
      <c r="FR2149" s="8"/>
      <c r="FS2149" s="8"/>
      <c r="FT2149" s="8"/>
      <c r="FU2149" s="8"/>
      <c r="FV2149" s="8"/>
      <c r="FW2149" s="8"/>
      <c r="FX2149" s="8"/>
      <c r="FY2149" s="8"/>
      <c r="FZ2149" s="8"/>
      <c r="GA2149" s="8"/>
      <c r="GB2149" s="8"/>
      <c r="GC2149" s="8"/>
      <c r="GD2149" s="8"/>
      <c r="GE2149" s="8"/>
      <c r="GF2149" s="8"/>
      <c r="GG2149" s="8"/>
      <c r="GH2149" s="8"/>
      <c r="GI2149" s="8"/>
      <c r="GJ2149" s="8"/>
      <c r="GK2149" s="8"/>
      <c r="GL2149" s="8"/>
      <c r="GM2149" s="8"/>
      <c r="GN2149" s="8"/>
      <c r="GO2149" s="8"/>
      <c r="GP2149" s="8"/>
      <c r="GQ2149" s="8"/>
      <c r="GR2149" s="8"/>
      <c r="GS2149" s="8"/>
      <c r="GT2149" s="8"/>
      <c r="GU2149" s="8"/>
      <c r="GV2149" s="8"/>
      <c r="GW2149" s="8"/>
      <c r="GX2149" s="8"/>
    </row>
    <row r="2150">
      <c r="A2150" s="8" t="str">
        <f>IFERROR(__xludf.DUMMYFUNCTION("""COMPUTED_VALUE"""),"111395420201200750")</f>
        <v>111395420201200750</v>
      </c>
      <c r="B2150" s="9" t="str">
        <f>IFERROR(__xludf.DUMMYFUNCTION("""COMPUTED_VALUE"""),"France")</f>
        <v>France</v>
      </c>
      <c r="C2150" s="9" t="str">
        <f>IFERROR(__xludf.DUMMYFUNCTION("""COMPUTED_VALUE"""),"rhone")</f>
        <v>rhone</v>
      </c>
      <c r="D2150" s="9" t="str">
        <f>IFERROR(__xludf.DUMMYFUNCTION("""COMPUTED_VALUE"""),"Domaine de la Janasse, Chateauneuf-du-Pape, Chaupin")</f>
        <v>Domaine de la Janasse, Chateauneuf-du-Pape, Chaupin</v>
      </c>
      <c r="E2150" s="9">
        <f>IFERROR(__xludf.DUMMYFUNCTION("""COMPUTED_VALUE"""),2020.0)</f>
        <v>2020</v>
      </c>
      <c r="F2150" s="9">
        <f>IFERROR(__xludf.DUMMYFUNCTION("""COMPUTED_VALUE"""),750.0)</f>
        <v>750</v>
      </c>
      <c r="G2150" s="9">
        <f>IFERROR(__xludf.DUMMYFUNCTION("""COMPUTED_VALUE"""),12.0)</f>
        <v>12</v>
      </c>
      <c r="H2150" s="10">
        <f>IFERROR(__xludf.DUMMYFUNCTION("""COMPUTED_VALUE"""),10.0)</f>
        <v>10</v>
      </c>
      <c r="I2150" s="11">
        <f>IFERROR(__xludf.DUMMYFUNCTION("""COMPUTED_VALUE"""),514.0)</f>
        <v>514</v>
      </c>
      <c r="J2150" s="9" t="str">
        <f>IFERROR(__xludf.DUMMYFUNCTION("""COMPUTED_VALUE"""),"UK")</f>
        <v>UK</v>
      </c>
      <c r="K2150" s="8"/>
      <c r="L2150" s="12"/>
      <c r="M2150" s="13"/>
      <c r="N2150" s="13" t="str">
        <f>IFERROR(__xludf.DUMMYFUNCTION("IF(ISBLANK(M2150),"""",M2150*GOOGLEFINANCE(""USDGBP""))"),"")</f>
        <v/>
      </c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  <c r="FG2150" s="8"/>
      <c r="FH2150" s="8"/>
      <c r="FI2150" s="8"/>
      <c r="FJ2150" s="8"/>
      <c r="FK2150" s="8"/>
      <c r="FL2150" s="8"/>
      <c r="FM2150" s="8"/>
      <c r="FN2150" s="8"/>
      <c r="FO2150" s="8"/>
      <c r="FP2150" s="8"/>
      <c r="FQ2150" s="8"/>
      <c r="FR2150" s="8"/>
      <c r="FS2150" s="8"/>
      <c r="FT2150" s="8"/>
      <c r="FU2150" s="8"/>
      <c r="FV2150" s="8"/>
      <c r="FW2150" s="8"/>
      <c r="FX2150" s="8"/>
      <c r="FY2150" s="8"/>
      <c r="FZ2150" s="8"/>
      <c r="GA2150" s="8"/>
      <c r="GB2150" s="8"/>
      <c r="GC2150" s="8"/>
      <c r="GD2150" s="8"/>
      <c r="GE2150" s="8"/>
      <c r="GF2150" s="8"/>
      <c r="GG2150" s="8"/>
      <c r="GH2150" s="8"/>
      <c r="GI2150" s="8"/>
      <c r="GJ2150" s="8"/>
      <c r="GK2150" s="8"/>
      <c r="GL2150" s="8"/>
      <c r="GM2150" s="8"/>
      <c r="GN2150" s="8"/>
      <c r="GO2150" s="8"/>
      <c r="GP2150" s="8"/>
      <c r="GQ2150" s="8"/>
      <c r="GR2150" s="8"/>
      <c r="GS2150" s="8"/>
      <c r="GT2150" s="8"/>
      <c r="GU2150" s="8"/>
      <c r="GV2150" s="8"/>
      <c r="GW2150" s="8"/>
      <c r="GX2150" s="8"/>
    </row>
    <row r="2151">
      <c r="A2151" s="8" t="str">
        <f>IFERROR(__xludf.DUMMYFUNCTION("""COMPUTED_VALUE"""),"111397020081200750")</f>
        <v>111397020081200750</v>
      </c>
      <c r="B2151" s="9" t="str">
        <f>IFERROR(__xludf.DUMMYFUNCTION("""COMPUTED_VALUE"""),"France")</f>
        <v>France</v>
      </c>
      <c r="C2151" s="9" t="str">
        <f>IFERROR(__xludf.DUMMYFUNCTION("""COMPUTED_VALUE"""),"rhone")</f>
        <v>rhone</v>
      </c>
      <c r="D2151" s="9" t="str">
        <f>IFERROR(__xludf.DUMMYFUNCTION("""COMPUTED_VALUE"""),"Domaine de la Janasse, Chateauneuf-du-Pape, Vieilles Vignes")</f>
        <v>Domaine de la Janasse, Chateauneuf-du-Pape, Vieilles Vignes</v>
      </c>
      <c r="E2151" s="9">
        <f>IFERROR(__xludf.DUMMYFUNCTION("""COMPUTED_VALUE"""),2008.0)</f>
        <v>2008</v>
      </c>
      <c r="F2151" s="9">
        <f>IFERROR(__xludf.DUMMYFUNCTION("""COMPUTED_VALUE"""),750.0)</f>
        <v>750</v>
      </c>
      <c r="G2151" s="9">
        <f>IFERROR(__xludf.DUMMYFUNCTION("""COMPUTED_VALUE"""),12.0)</f>
        <v>12</v>
      </c>
      <c r="H2151" s="10">
        <f>IFERROR(__xludf.DUMMYFUNCTION("""COMPUTED_VALUE"""),1.0)</f>
        <v>1</v>
      </c>
      <c r="I2151" s="11">
        <f>IFERROR(__xludf.DUMMYFUNCTION("""COMPUTED_VALUE"""),739.0)</f>
        <v>739</v>
      </c>
      <c r="J2151" s="9" t="str">
        <f>IFERROR(__xludf.DUMMYFUNCTION("""COMPUTED_VALUE"""),"UK")</f>
        <v>UK</v>
      </c>
      <c r="K2151" s="8"/>
      <c r="L2151" s="12"/>
      <c r="M2151" s="13"/>
      <c r="N2151" s="13" t="str">
        <f>IFERROR(__xludf.DUMMYFUNCTION("IF(ISBLANK(M2151),"""",M2151*GOOGLEFINANCE(""USDGBP""))"),"")</f>
        <v/>
      </c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  <c r="FG2151" s="8"/>
      <c r="FH2151" s="8"/>
      <c r="FI2151" s="8"/>
      <c r="FJ2151" s="8"/>
      <c r="FK2151" s="8"/>
      <c r="FL2151" s="8"/>
      <c r="FM2151" s="8"/>
      <c r="FN2151" s="8"/>
      <c r="FO2151" s="8"/>
      <c r="FP2151" s="8"/>
      <c r="FQ2151" s="8"/>
      <c r="FR2151" s="8"/>
      <c r="FS2151" s="8"/>
      <c r="FT2151" s="8"/>
      <c r="FU2151" s="8"/>
      <c r="FV2151" s="8"/>
      <c r="FW2151" s="8"/>
      <c r="FX2151" s="8"/>
      <c r="FY2151" s="8"/>
      <c r="FZ2151" s="8"/>
      <c r="GA2151" s="8"/>
      <c r="GB2151" s="8"/>
      <c r="GC2151" s="8"/>
      <c r="GD2151" s="8"/>
      <c r="GE2151" s="8"/>
      <c r="GF2151" s="8"/>
      <c r="GG2151" s="8"/>
      <c r="GH2151" s="8"/>
      <c r="GI2151" s="8"/>
      <c r="GJ2151" s="8"/>
      <c r="GK2151" s="8"/>
      <c r="GL2151" s="8"/>
      <c r="GM2151" s="8"/>
      <c r="GN2151" s="8"/>
      <c r="GO2151" s="8"/>
      <c r="GP2151" s="8"/>
      <c r="GQ2151" s="8"/>
      <c r="GR2151" s="8"/>
      <c r="GS2151" s="8"/>
      <c r="GT2151" s="8"/>
      <c r="GU2151" s="8"/>
      <c r="GV2151" s="8"/>
      <c r="GW2151" s="8"/>
      <c r="GX2151" s="8"/>
    </row>
    <row r="2152">
      <c r="A2152" s="8" t="str">
        <f>IFERROR(__xludf.DUMMYFUNCTION("""COMPUTED_VALUE"""),"111397020120601500")</f>
        <v>111397020120601500</v>
      </c>
      <c r="B2152" s="9" t="str">
        <f>IFERROR(__xludf.DUMMYFUNCTION("""COMPUTED_VALUE"""),"France")</f>
        <v>France</v>
      </c>
      <c r="C2152" s="9" t="str">
        <f>IFERROR(__xludf.DUMMYFUNCTION("""COMPUTED_VALUE"""),"rhone")</f>
        <v>rhone</v>
      </c>
      <c r="D2152" s="9" t="str">
        <f>IFERROR(__xludf.DUMMYFUNCTION("""COMPUTED_VALUE"""),"Domaine de la Janasse, Chateauneuf-du-Pape, Vieilles Vignes")</f>
        <v>Domaine de la Janasse, Chateauneuf-du-Pape, Vieilles Vignes</v>
      </c>
      <c r="E2152" s="9">
        <f>IFERROR(__xludf.DUMMYFUNCTION("""COMPUTED_VALUE"""),2012.0)</f>
        <v>2012</v>
      </c>
      <c r="F2152" s="9">
        <f>IFERROR(__xludf.DUMMYFUNCTION("""COMPUTED_VALUE"""),1500.0)</f>
        <v>1500</v>
      </c>
      <c r="G2152" s="9">
        <f>IFERROR(__xludf.DUMMYFUNCTION("""COMPUTED_VALUE"""),6.0)</f>
        <v>6</v>
      </c>
      <c r="H2152" s="10">
        <f>IFERROR(__xludf.DUMMYFUNCTION("""COMPUTED_VALUE"""),2.0)</f>
        <v>2</v>
      </c>
      <c r="I2152" s="11">
        <f>IFERROR(__xludf.DUMMYFUNCTION("""COMPUTED_VALUE"""),672.0)</f>
        <v>672</v>
      </c>
      <c r="J2152" s="9" t="str">
        <f>IFERROR(__xludf.DUMMYFUNCTION("""COMPUTED_VALUE"""),"UK")</f>
        <v>UK</v>
      </c>
      <c r="K2152" s="8"/>
      <c r="L2152" s="12"/>
      <c r="M2152" s="13"/>
      <c r="N2152" s="13" t="str">
        <f>IFERROR(__xludf.DUMMYFUNCTION("IF(ISBLANK(M2152),"""",M2152*GOOGLEFINANCE(""USDGBP""))"),"")</f>
        <v/>
      </c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  <c r="FG2152" s="8"/>
      <c r="FH2152" s="8"/>
      <c r="FI2152" s="8"/>
      <c r="FJ2152" s="8"/>
      <c r="FK2152" s="8"/>
      <c r="FL2152" s="8"/>
      <c r="FM2152" s="8"/>
      <c r="FN2152" s="8"/>
      <c r="FO2152" s="8"/>
      <c r="FP2152" s="8"/>
      <c r="FQ2152" s="8"/>
      <c r="FR2152" s="8"/>
      <c r="FS2152" s="8"/>
      <c r="FT2152" s="8"/>
      <c r="FU2152" s="8"/>
      <c r="FV2152" s="8"/>
      <c r="FW2152" s="8"/>
      <c r="FX2152" s="8"/>
      <c r="FY2152" s="8"/>
      <c r="FZ2152" s="8"/>
      <c r="GA2152" s="8"/>
      <c r="GB2152" s="8"/>
      <c r="GC2152" s="8"/>
      <c r="GD2152" s="8"/>
      <c r="GE2152" s="8"/>
      <c r="GF2152" s="8"/>
      <c r="GG2152" s="8"/>
      <c r="GH2152" s="8"/>
      <c r="GI2152" s="8"/>
      <c r="GJ2152" s="8"/>
      <c r="GK2152" s="8"/>
      <c r="GL2152" s="8"/>
      <c r="GM2152" s="8"/>
      <c r="GN2152" s="8"/>
      <c r="GO2152" s="8"/>
      <c r="GP2152" s="8"/>
      <c r="GQ2152" s="8"/>
      <c r="GR2152" s="8"/>
      <c r="GS2152" s="8"/>
      <c r="GT2152" s="8"/>
      <c r="GU2152" s="8"/>
      <c r="GV2152" s="8"/>
      <c r="GW2152" s="8"/>
      <c r="GX2152" s="8"/>
    </row>
    <row r="2153">
      <c r="A2153" s="8" t="str">
        <f>IFERROR(__xludf.DUMMYFUNCTION("""COMPUTED_VALUE"""),"111397020131200750")</f>
        <v>111397020131200750</v>
      </c>
      <c r="B2153" s="9" t="str">
        <f>IFERROR(__xludf.DUMMYFUNCTION("""COMPUTED_VALUE"""),"France")</f>
        <v>France</v>
      </c>
      <c r="C2153" s="9" t="str">
        <f>IFERROR(__xludf.DUMMYFUNCTION("""COMPUTED_VALUE"""),"rhone")</f>
        <v>rhone</v>
      </c>
      <c r="D2153" s="9" t="str">
        <f>IFERROR(__xludf.DUMMYFUNCTION("""COMPUTED_VALUE"""),"Domaine de la Janasse, Chateauneuf-du-Pape, Vieilles Vignes")</f>
        <v>Domaine de la Janasse, Chateauneuf-du-Pape, Vieilles Vignes</v>
      </c>
      <c r="E2153" s="9">
        <f>IFERROR(__xludf.DUMMYFUNCTION("""COMPUTED_VALUE"""),2013.0)</f>
        <v>2013</v>
      </c>
      <c r="F2153" s="9">
        <f>IFERROR(__xludf.DUMMYFUNCTION("""COMPUTED_VALUE"""),750.0)</f>
        <v>750</v>
      </c>
      <c r="G2153" s="9">
        <f>IFERROR(__xludf.DUMMYFUNCTION("""COMPUTED_VALUE"""),12.0)</f>
        <v>12</v>
      </c>
      <c r="H2153" s="10">
        <f>IFERROR(__xludf.DUMMYFUNCTION("""COMPUTED_VALUE"""),1.0)</f>
        <v>1</v>
      </c>
      <c r="I2153" s="11">
        <f>IFERROR(__xludf.DUMMYFUNCTION("""COMPUTED_VALUE"""),556.0)</f>
        <v>556</v>
      </c>
      <c r="J2153" s="9" t="str">
        <f>IFERROR(__xludf.DUMMYFUNCTION("""COMPUTED_VALUE"""),"UK")</f>
        <v>UK</v>
      </c>
      <c r="K2153" s="8"/>
      <c r="L2153" s="12"/>
      <c r="M2153" s="13"/>
      <c r="N2153" s="13" t="str">
        <f>IFERROR(__xludf.DUMMYFUNCTION("IF(ISBLANK(M2153),"""",M2153*GOOGLEFINANCE(""USDGBP""))"),"")</f>
        <v/>
      </c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  <c r="FG2153" s="8"/>
      <c r="FH2153" s="8"/>
      <c r="FI2153" s="8"/>
      <c r="FJ2153" s="8"/>
      <c r="FK2153" s="8"/>
      <c r="FL2153" s="8"/>
      <c r="FM2153" s="8"/>
      <c r="FN2153" s="8"/>
      <c r="FO2153" s="8"/>
      <c r="FP2153" s="8"/>
      <c r="FQ2153" s="8"/>
      <c r="FR2153" s="8"/>
      <c r="FS2153" s="8"/>
      <c r="FT2153" s="8"/>
      <c r="FU2153" s="8"/>
      <c r="FV2153" s="8"/>
      <c r="FW2153" s="8"/>
      <c r="FX2153" s="8"/>
      <c r="FY2153" s="8"/>
      <c r="FZ2153" s="8"/>
      <c r="GA2153" s="8"/>
      <c r="GB2153" s="8"/>
      <c r="GC2153" s="8"/>
      <c r="GD2153" s="8"/>
      <c r="GE2153" s="8"/>
      <c r="GF2153" s="8"/>
      <c r="GG2153" s="8"/>
      <c r="GH2153" s="8"/>
      <c r="GI2153" s="8"/>
      <c r="GJ2153" s="8"/>
      <c r="GK2153" s="8"/>
      <c r="GL2153" s="8"/>
      <c r="GM2153" s="8"/>
      <c r="GN2153" s="8"/>
      <c r="GO2153" s="8"/>
      <c r="GP2153" s="8"/>
      <c r="GQ2153" s="8"/>
      <c r="GR2153" s="8"/>
      <c r="GS2153" s="8"/>
      <c r="GT2153" s="8"/>
      <c r="GU2153" s="8"/>
      <c r="GV2153" s="8"/>
      <c r="GW2153" s="8"/>
      <c r="GX2153" s="8"/>
    </row>
    <row r="2154">
      <c r="A2154" s="8" t="str">
        <f>IFERROR(__xludf.DUMMYFUNCTION("""COMPUTED_VALUE"""),"111397020141200750")</f>
        <v>111397020141200750</v>
      </c>
      <c r="B2154" s="9" t="str">
        <f>IFERROR(__xludf.DUMMYFUNCTION("""COMPUTED_VALUE"""),"France")</f>
        <v>France</v>
      </c>
      <c r="C2154" s="9" t="str">
        <f>IFERROR(__xludf.DUMMYFUNCTION("""COMPUTED_VALUE"""),"rhone")</f>
        <v>rhone</v>
      </c>
      <c r="D2154" s="9" t="str">
        <f>IFERROR(__xludf.DUMMYFUNCTION("""COMPUTED_VALUE"""),"Domaine de la Janasse, Chateauneuf-du-Pape, Vieilles Vignes")</f>
        <v>Domaine de la Janasse, Chateauneuf-du-Pape, Vieilles Vignes</v>
      </c>
      <c r="E2154" s="9">
        <f>IFERROR(__xludf.DUMMYFUNCTION("""COMPUTED_VALUE"""),2014.0)</f>
        <v>2014</v>
      </c>
      <c r="F2154" s="9">
        <f>IFERROR(__xludf.DUMMYFUNCTION("""COMPUTED_VALUE"""),750.0)</f>
        <v>750</v>
      </c>
      <c r="G2154" s="9">
        <f>IFERROR(__xludf.DUMMYFUNCTION("""COMPUTED_VALUE"""),12.0)</f>
        <v>12</v>
      </c>
      <c r="H2154" s="10">
        <f>IFERROR(__xludf.DUMMYFUNCTION("""COMPUTED_VALUE"""),1.0)</f>
        <v>1</v>
      </c>
      <c r="I2154" s="11">
        <f>IFERROR(__xludf.DUMMYFUNCTION("""COMPUTED_VALUE"""),557.0)</f>
        <v>557</v>
      </c>
      <c r="J2154" s="9" t="str">
        <f>IFERROR(__xludf.DUMMYFUNCTION("""COMPUTED_VALUE"""),"UK")</f>
        <v>UK</v>
      </c>
      <c r="K2154" s="8"/>
      <c r="L2154" s="12"/>
      <c r="M2154" s="13"/>
      <c r="N2154" s="13" t="str">
        <f>IFERROR(__xludf.DUMMYFUNCTION("IF(ISBLANK(M2154),"""",M2154*GOOGLEFINANCE(""USDGBP""))"),"")</f>
        <v/>
      </c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  <c r="FG2154" s="8"/>
      <c r="FH2154" s="8"/>
      <c r="FI2154" s="8"/>
      <c r="FJ2154" s="8"/>
      <c r="FK2154" s="8"/>
      <c r="FL2154" s="8"/>
      <c r="FM2154" s="8"/>
      <c r="FN2154" s="8"/>
      <c r="FO2154" s="8"/>
      <c r="FP2154" s="8"/>
      <c r="FQ2154" s="8"/>
      <c r="FR2154" s="8"/>
      <c r="FS2154" s="8"/>
      <c r="FT2154" s="8"/>
      <c r="FU2154" s="8"/>
      <c r="FV2154" s="8"/>
      <c r="FW2154" s="8"/>
      <c r="FX2154" s="8"/>
      <c r="FY2154" s="8"/>
      <c r="FZ2154" s="8"/>
      <c r="GA2154" s="8"/>
      <c r="GB2154" s="8"/>
      <c r="GC2154" s="8"/>
      <c r="GD2154" s="8"/>
      <c r="GE2154" s="8"/>
      <c r="GF2154" s="8"/>
      <c r="GG2154" s="8"/>
      <c r="GH2154" s="8"/>
      <c r="GI2154" s="8"/>
      <c r="GJ2154" s="8"/>
      <c r="GK2154" s="8"/>
      <c r="GL2154" s="8"/>
      <c r="GM2154" s="8"/>
      <c r="GN2154" s="8"/>
      <c r="GO2154" s="8"/>
      <c r="GP2154" s="8"/>
      <c r="GQ2154" s="8"/>
      <c r="GR2154" s="8"/>
      <c r="GS2154" s="8"/>
      <c r="GT2154" s="8"/>
      <c r="GU2154" s="8"/>
      <c r="GV2154" s="8"/>
      <c r="GW2154" s="8"/>
      <c r="GX2154" s="8"/>
    </row>
    <row r="2155">
      <c r="A2155" s="8" t="str">
        <f>IFERROR(__xludf.DUMMYFUNCTION("""COMPUTED_VALUE"""),"111397020171200750")</f>
        <v>111397020171200750</v>
      </c>
      <c r="B2155" s="9" t="str">
        <f>IFERROR(__xludf.DUMMYFUNCTION("""COMPUTED_VALUE"""),"France")</f>
        <v>France</v>
      </c>
      <c r="C2155" s="9" t="str">
        <f>IFERROR(__xludf.DUMMYFUNCTION("""COMPUTED_VALUE"""),"rhone")</f>
        <v>rhone</v>
      </c>
      <c r="D2155" s="9" t="str">
        <f>IFERROR(__xludf.DUMMYFUNCTION("""COMPUTED_VALUE"""),"Domaine de la Janasse, Chateauneuf-du-Pape, Vieilles Vignes")</f>
        <v>Domaine de la Janasse, Chateauneuf-du-Pape, Vieilles Vignes</v>
      </c>
      <c r="E2155" s="9">
        <f>IFERROR(__xludf.DUMMYFUNCTION("""COMPUTED_VALUE"""),2017.0)</f>
        <v>2017</v>
      </c>
      <c r="F2155" s="9">
        <f>IFERROR(__xludf.DUMMYFUNCTION("""COMPUTED_VALUE"""),750.0)</f>
        <v>750</v>
      </c>
      <c r="G2155" s="9">
        <f>IFERROR(__xludf.DUMMYFUNCTION("""COMPUTED_VALUE"""),12.0)</f>
        <v>12</v>
      </c>
      <c r="H2155" s="10">
        <f>IFERROR(__xludf.DUMMYFUNCTION("""COMPUTED_VALUE"""),12.0)</f>
        <v>12</v>
      </c>
      <c r="I2155" s="11">
        <f>IFERROR(__xludf.DUMMYFUNCTION("""COMPUTED_VALUE"""),705.0)</f>
        <v>705</v>
      </c>
      <c r="J2155" s="9" t="str">
        <f>IFERROR(__xludf.DUMMYFUNCTION("""COMPUTED_VALUE"""),"UK")</f>
        <v>UK</v>
      </c>
      <c r="K2155" s="8"/>
      <c r="L2155" s="12"/>
      <c r="M2155" s="13"/>
      <c r="N2155" s="13" t="str">
        <f>IFERROR(__xludf.DUMMYFUNCTION("IF(ISBLANK(M2155),"""",M2155*GOOGLEFINANCE(""USDGBP""))"),"")</f>
        <v/>
      </c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  <c r="FG2155" s="8"/>
      <c r="FH2155" s="8"/>
      <c r="FI2155" s="8"/>
      <c r="FJ2155" s="8"/>
      <c r="FK2155" s="8"/>
      <c r="FL2155" s="8"/>
      <c r="FM2155" s="8"/>
      <c r="FN2155" s="8"/>
      <c r="FO2155" s="8"/>
      <c r="FP2155" s="8"/>
      <c r="FQ2155" s="8"/>
      <c r="FR2155" s="8"/>
      <c r="FS2155" s="8"/>
      <c r="FT2155" s="8"/>
      <c r="FU2155" s="8"/>
      <c r="FV2155" s="8"/>
      <c r="FW2155" s="8"/>
      <c r="FX2155" s="8"/>
      <c r="FY2155" s="8"/>
      <c r="FZ2155" s="8"/>
      <c r="GA2155" s="8"/>
      <c r="GB2155" s="8"/>
      <c r="GC2155" s="8"/>
      <c r="GD2155" s="8"/>
      <c r="GE2155" s="8"/>
      <c r="GF2155" s="8"/>
      <c r="GG2155" s="8"/>
      <c r="GH2155" s="8"/>
      <c r="GI2155" s="8"/>
      <c r="GJ2155" s="8"/>
      <c r="GK2155" s="8"/>
      <c r="GL2155" s="8"/>
      <c r="GM2155" s="8"/>
      <c r="GN2155" s="8"/>
      <c r="GO2155" s="8"/>
      <c r="GP2155" s="8"/>
      <c r="GQ2155" s="8"/>
      <c r="GR2155" s="8"/>
      <c r="GS2155" s="8"/>
      <c r="GT2155" s="8"/>
      <c r="GU2155" s="8"/>
      <c r="GV2155" s="8"/>
      <c r="GW2155" s="8"/>
      <c r="GX2155" s="8"/>
    </row>
    <row r="2156">
      <c r="A2156" s="8" t="str">
        <f>IFERROR(__xludf.DUMMYFUNCTION("""COMPUTED_VALUE"""),"111397020181200750")</f>
        <v>111397020181200750</v>
      </c>
      <c r="B2156" s="9" t="str">
        <f>IFERROR(__xludf.DUMMYFUNCTION("""COMPUTED_VALUE"""),"France")</f>
        <v>France</v>
      </c>
      <c r="C2156" s="9" t="str">
        <f>IFERROR(__xludf.DUMMYFUNCTION("""COMPUTED_VALUE"""),"rhone")</f>
        <v>rhone</v>
      </c>
      <c r="D2156" s="9" t="str">
        <f>IFERROR(__xludf.DUMMYFUNCTION("""COMPUTED_VALUE"""),"Domaine de la Janasse, Chateauneuf-du-Pape, Vieilles Vignes")</f>
        <v>Domaine de la Janasse, Chateauneuf-du-Pape, Vieilles Vignes</v>
      </c>
      <c r="E2156" s="9">
        <f>IFERROR(__xludf.DUMMYFUNCTION("""COMPUTED_VALUE"""),2018.0)</f>
        <v>2018</v>
      </c>
      <c r="F2156" s="9">
        <f>IFERROR(__xludf.DUMMYFUNCTION("""COMPUTED_VALUE"""),750.0)</f>
        <v>750</v>
      </c>
      <c r="G2156" s="9">
        <f>IFERROR(__xludf.DUMMYFUNCTION("""COMPUTED_VALUE"""),12.0)</f>
        <v>12</v>
      </c>
      <c r="H2156" s="10">
        <f>IFERROR(__xludf.DUMMYFUNCTION("""COMPUTED_VALUE"""),49.0)</f>
        <v>49</v>
      </c>
      <c r="I2156" s="11">
        <f>IFERROR(__xludf.DUMMYFUNCTION("""COMPUTED_VALUE"""),583.0)</f>
        <v>583</v>
      </c>
      <c r="J2156" s="9" t="str">
        <f>IFERROR(__xludf.DUMMYFUNCTION("""COMPUTED_VALUE"""),"UK")</f>
        <v>UK</v>
      </c>
      <c r="K2156" s="8"/>
      <c r="L2156" s="12"/>
      <c r="M2156" s="13"/>
      <c r="N2156" s="13" t="str">
        <f>IFERROR(__xludf.DUMMYFUNCTION("IF(ISBLANK(M2156),"""",M2156*GOOGLEFINANCE(""USDGBP""))"),"")</f>
        <v/>
      </c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  <c r="FG2156" s="8"/>
      <c r="FH2156" s="8"/>
      <c r="FI2156" s="8"/>
      <c r="FJ2156" s="8"/>
      <c r="FK2156" s="8"/>
      <c r="FL2156" s="8"/>
      <c r="FM2156" s="8"/>
      <c r="FN2156" s="8"/>
      <c r="FO2156" s="8"/>
      <c r="FP2156" s="8"/>
      <c r="FQ2156" s="8"/>
      <c r="FR2156" s="8"/>
      <c r="FS2156" s="8"/>
      <c r="FT2156" s="8"/>
      <c r="FU2156" s="8"/>
      <c r="FV2156" s="8"/>
      <c r="FW2156" s="8"/>
      <c r="FX2156" s="8"/>
      <c r="FY2156" s="8"/>
      <c r="FZ2156" s="8"/>
      <c r="GA2156" s="8"/>
      <c r="GB2156" s="8"/>
      <c r="GC2156" s="8"/>
      <c r="GD2156" s="8"/>
      <c r="GE2156" s="8"/>
      <c r="GF2156" s="8"/>
      <c r="GG2156" s="8"/>
      <c r="GH2156" s="8"/>
      <c r="GI2156" s="8"/>
      <c r="GJ2156" s="8"/>
      <c r="GK2156" s="8"/>
      <c r="GL2156" s="8"/>
      <c r="GM2156" s="8"/>
      <c r="GN2156" s="8"/>
      <c r="GO2156" s="8"/>
      <c r="GP2156" s="8"/>
      <c r="GQ2156" s="8"/>
      <c r="GR2156" s="8"/>
      <c r="GS2156" s="8"/>
      <c r="GT2156" s="8"/>
      <c r="GU2156" s="8"/>
      <c r="GV2156" s="8"/>
      <c r="GW2156" s="8"/>
      <c r="GX2156" s="8"/>
    </row>
    <row r="2157">
      <c r="A2157" s="8" t="str">
        <f>IFERROR(__xludf.DUMMYFUNCTION("""COMPUTED_VALUE"""),"111397020191200750")</f>
        <v>111397020191200750</v>
      </c>
      <c r="B2157" s="9" t="str">
        <f>IFERROR(__xludf.DUMMYFUNCTION("""COMPUTED_VALUE"""),"France")</f>
        <v>France</v>
      </c>
      <c r="C2157" s="9" t="str">
        <f>IFERROR(__xludf.DUMMYFUNCTION("""COMPUTED_VALUE"""),"rhone")</f>
        <v>rhone</v>
      </c>
      <c r="D2157" s="9" t="str">
        <f>IFERROR(__xludf.DUMMYFUNCTION("""COMPUTED_VALUE"""),"Domaine de la Janasse, Chateauneuf-du-Pape, Vieilles Vignes")</f>
        <v>Domaine de la Janasse, Chateauneuf-du-Pape, Vieilles Vignes</v>
      </c>
      <c r="E2157" s="9">
        <f>IFERROR(__xludf.DUMMYFUNCTION("""COMPUTED_VALUE"""),2019.0)</f>
        <v>2019</v>
      </c>
      <c r="F2157" s="9">
        <f>IFERROR(__xludf.DUMMYFUNCTION("""COMPUTED_VALUE"""),750.0)</f>
        <v>750</v>
      </c>
      <c r="G2157" s="9">
        <f>IFERROR(__xludf.DUMMYFUNCTION("""COMPUTED_VALUE"""),12.0)</f>
        <v>12</v>
      </c>
      <c r="H2157" s="10">
        <f>IFERROR(__xludf.DUMMYFUNCTION("""COMPUTED_VALUE"""),36.0)</f>
        <v>36</v>
      </c>
      <c r="I2157" s="11">
        <f>IFERROR(__xludf.DUMMYFUNCTION("""COMPUTED_VALUE"""),739.0)</f>
        <v>739</v>
      </c>
      <c r="J2157" s="9" t="str">
        <f>IFERROR(__xludf.DUMMYFUNCTION("""COMPUTED_VALUE"""),"UK")</f>
        <v>UK</v>
      </c>
      <c r="K2157" s="8"/>
      <c r="L2157" s="12"/>
      <c r="M2157" s="13"/>
      <c r="N2157" s="13" t="str">
        <f>IFERROR(__xludf.DUMMYFUNCTION("IF(ISBLANK(M2157),"""",M2157*GOOGLEFINANCE(""USDGBP""))"),"")</f>
        <v/>
      </c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  <c r="FG2157" s="8"/>
      <c r="FH2157" s="8"/>
      <c r="FI2157" s="8"/>
      <c r="FJ2157" s="8"/>
      <c r="FK2157" s="8"/>
      <c r="FL2157" s="8"/>
      <c r="FM2157" s="8"/>
      <c r="FN2157" s="8"/>
      <c r="FO2157" s="8"/>
      <c r="FP2157" s="8"/>
      <c r="FQ2157" s="8"/>
      <c r="FR2157" s="8"/>
      <c r="FS2157" s="8"/>
      <c r="FT2157" s="8"/>
      <c r="FU2157" s="8"/>
      <c r="FV2157" s="8"/>
      <c r="FW2157" s="8"/>
      <c r="FX2157" s="8"/>
      <c r="FY2157" s="8"/>
      <c r="FZ2157" s="8"/>
      <c r="GA2157" s="8"/>
      <c r="GB2157" s="8"/>
      <c r="GC2157" s="8"/>
      <c r="GD2157" s="8"/>
      <c r="GE2157" s="8"/>
      <c r="GF2157" s="8"/>
      <c r="GG2157" s="8"/>
      <c r="GH2157" s="8"/>
      <c r="GI2157" s="8"/>
      <c r="GJ2157" s="8"/>
      <c r="GK2157" s="8"/>
      <c r="GL2157" s="8"/>
      <c r="GM2157" s="8"/>
      <c r="GN2157" s="8"/>
      <c r="GO2157" s="8"/>
      <c r="GP2157" s="8"/>
      <c r="GQ2157" s="8"/>
      <c r="GR2157" s="8"/>
      <c r="GS2157" s="8"/>
      <c r="GT2157" s="8"/>
      <c r="GU2157" s="8"/>
      <c r="GV2157" s="8"/>
      <c r="GW2157" s="8"/>
      <c r="GX2157" s="8"/>
    </row>
    <row r="2158">
      <c r="A2158" s="8" t="str">
        <f>IFERROR(__xludf.DUMMYFUNCTION("""COMPUTED_VALUE"""),"111397020190601500")</f>
        <v>111397020190601500</v>
      </c>
      <c r="B2158" s="9" t="str">
        <f>IFERROR(__xludf.DUMMYFUNCTION("""COMPUTED_VALUE"""),"France")</f>
        <v>France</v>
      </c>
      <c r="C2158" s="9" t="str">
        <f>IFERROR(__xludf.DUMMYFUNCTION("""COMPUTED_VALUE"""),"rhone")</f>
        <v>rhone</v>
      </c>
      <c r="D2158" s="9" t="str">
        <f>IFERROR(__xludf.DUMMYFUNCTION("""COMPUTED_VALUE"""),"Domaine de la Janasse, Chateauneuf-du-Pape, Vieilles Vignes")</f>
        <v>Domaine de la Janasse, Chateauneuf-du-Pape, Vieilles Vignes</v>
      </c>
      <c r="E2158" s="9">
        <f>IFERROR(__xludf.DUMMYFUNCTION("""COMPUTED_VALUE"""),2019.0)</f>
        <v>2019</v>
      </c>
      <c r="F2158" s="9">
        <f>IFERROR(__xludf.DUMMYFUNCTION("""COMPUTED_VALUE"""),1500.0)</f>
        <v>1500</v>
      </c>
      <c r="G2158" s="9">
        <f>IFERROR(__xludf.DUMMYFUNCTION("""COMPUTED_VALUE"""),6.0)</f>
        <v>6</v>
      </c>
      <c r="H2158" s="10">
        <f>IFERROR(__xludf.DUMMYFUNCTION("""COMPUTED_VALUE"""),2.0)</f>
        <v>2</v>
      </c>
      <c r="I2158" s="11">
        <f>IFERROR(__xludf.DUMMYFUNCTION("""COMPUTED_VALUE"""),739.0)</f>
        <v>739</v>
      </c>
      <c r="J2158" s="9" t="str">
        <f>IFERROR(__xludf.DUMMYFUNCTION("""COMPUTED_VALUE"""),"UK")</f>
        <v>UK</v>
      </c>
      <c r="K2158" s="8"/>
      <c r="L2158" s="12"/>
      <c r="M2158" s="13"/>
      <c r="N2158" s="13" t="str">
        <f>IFERROR(__xludf.DUMMYFUNCTION("IF(ISBLANK(M2158),"""",M2158*GOOGLEFINANCE(""USDGBP""))"),"")</f>
        <v/>
      </c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  <c r="FG2158" s="8"/>
      <c r="FH2158" s="8"/>
      <c r="FI2158" s="8"/>
      <c r="FJ2158" s="8"/>
      <c r="FK2158" s="8"/>
      <c r="FL2158" s="8"/>
      <c r="FM2158" s="8"/>
      <c r="FN2158" s="8"/>
      <c r="FO2158" s="8"/>
      <c r="FP2158" s="8"/>
      <c r="FQ2158" s="8"/>
      <c r="FR2158" s="8"/>
      <c r="FS2158" s="8"/>
      <c r="FT2158" s="8"/>
      <c r="FU2158" s="8"/>
      <c r="FV2158" s="8"/>
      <c r="FW2158" s="8"/>
      <c r="FX2158" s="8"/>
      <c r="FY2158" s="8"/>
      <c r="FZ2158" s="8"/>
      <c r="GA2158" s="8"/>
      <c r="GB2158" s="8"/>
      <c r="GC2158" s="8"/>
      <c r="GD2158" s="8"/>
      <c r="GE2158" s="8"/>
      <c r="GF2158" s="8"/>
      <c r="GG2158" s="8"/>
      <c r="GH2158" s="8"/>
      <c r="GI2158" s="8"/>
      <c r="GJ2158" s="8"/>
      <c r="GK2158" s="8"/>
      <c r="GL2158" s="8"/>
      <c r="GM2158" s="8"/>
      <c r="GN2158" s="8"/>
      <c r="GO2158" s="8"/>
      <c r="GP2158" s="8"/>
      <c r="GQ2158" s="8"/>
      <c r="GR2158" s="8"/>
      <c r="GS2158" s="8"/>
      <c r="GT2158" s="8"/>
      <c r="GU2158" s="8"/>
      <c r="GV2158" s="8"/>
      <c r="GW2158" s="8"/>
      <c r="GX2158" s="8"/>
    </row>
    <row r="2159">
      <c r="A2159" s="8" t="str">
        <f>IFERROR(__xludf.DUMMYFUNCTION("""COMPUTED_VALUE"""),"111397020201200750")</f>
        <v>111397020201200750</v>
      </c>
      <c r="B2159" s="9" t="str">
        <f>IFERROR(__xludf.DUMMYFUNCTION("""COMPUTED_VALUE"""),"France")</f>
        <v>France</v>
      </c>
      <c r="C2159" s="9" t="str">
        <f>IFERROR(__xludf.DUMMYFUNCTION("""COMPUTED_VALUE"""),"rhone")</f>
        <v>rhone</v>
      </c>
      <c r="D2159" s="9" t="str">
        <f>IFERROR(__xludf.DUMMYFUNCTION("""COMPUTED_VALUE"""),"Domaine de la Janasse, Chateauneuf-du-Pape, Vieilles Vignes")</f>
        <v>Domaine de la Janasse, Chateauneuf-du-Pape, Vieilles Vignes</v>
      </c>
      <c r="E2159" s="9">
        <f>IFERROR(__xludf.DUMMYFUNCTION("""COMPUTED_VALUE"""),2020.0)</f>
        <v>2020</v>
      </c>
      <c r="F2159" s="9">
        <f>IFERROR(__xludf.DUMMYFUNCTION("""COMPUTED_VALUE"""),750.0)</f>
        <v>750</v>
      </c>
      <c r="G2159" s="9">
        <f>IFERROR(__xludf.DUMMYFUNCTION("""COMPUTED_VALUE"""),12.0)</f>
        <v>12</v>
      </c>
      <c r="H2159" s="10">
        <f>IFERROR(__xludf.DUMMYFUNCTION("""COMPUTED_VALUE"""),10.0)</f>
        <v>10</v>
      </c>
      <c r="I2159" s="11">
        <f>IFERROR(__xludf.DUMMYFUNCTION("""COMPUTED_VALUE"""),672.0)</f>
        <v>672</v>
      </c>
      <c r="J2159" s="9" t="str">
        <f>IFERROR(__xludf.DUMMYFUNCTION("""COMPUTED_VALUE"""),"UK")</f>
        <v>UK</v>
      </c>
      <c r="K2159" s="8"/>
      <c r="L2159" s="12"/>
      <c r="M2159" s="13"/>
      <c r="N2159" s="13" t="str">
        <f>IFERROR(__xludf.DUMMYFUNCTION("IF(ISBLANK(M2159),"""",M2159*GOOGLEFINANCE(""USDGBP""))"),"")</f>
        <v/>
      </c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  <c r="FG2159" s="8"/>
      <c r="FH2159" s="8"/>
      <c r="FI2159" s="8"/>
      <c r="FJ2159" s="8"/>
      <c r="FK2159" s="8"/>
      <c r="FL2159" s="8"/>
      <c r="FM2159" s="8"/>
      <c r="FN2159" s="8"/>
      <c r="FO2159" s="8"/>
      <c r="FP2159" s="8"/>
      <c r="FQ2159" s="8"/>
      <c r="FR2159" s="8"/>
      <c r="FS2159" s="8"/>
      <c r="FT2159" s="8"/>
      <c r="FU2159" s="8"/>
      <c r="FV2159" s="8"/>
      <c r="FW2159" s="8"/>
      <c r="FX2159" s="8"/>
      <c r="FY2159" s="8"/>
      <c r="FZ2159" s="8"/>
      <c r="GA2159" s="8"/>
      <c r="GB2159" s="8"/>
      <c r="GC2159" s="8"/>
      <c r="GD2159" s="8"/>
      <c r="GE2159" s="8"/>
      <c r="GF2159" s="8"/>
      <c r="GG2159" s="8"/>
      <c r="GH2159" s="8"/>
      <c r="GI2159" s="8"/>
      <c r="GJ2159" s="8"/>
      <c r="GK2159" s="8"/>
      <c r="GL2159" s="8"/>
      <c r="GM2159" s="8"/>
      <c r="GN2159" s="8"/>
      <c r="GO2159" s="8"/>
      <c r="GP2159" s="8"/>
      <c r="GQ2159" s="8"/>
      <c r="GR2159" s="8"/>
      <c r="GS2159" s="8"/>
      <c r="GT2159" s="8"/>
      <c r="GU2159" s="8"/>
      <c r="GV2159" s="8"/>
      <c r="GW2159" s="8"/>
      <c r="GX2159" s="8"/>
    </row>
    <row r="2160">
      <c r="A2160" s="8" t="str">
        <f>IFERROR(__xludf.DUMMYFUNCTION("""COMPUTED_VALUE"""),"111506220160600750")</f>
        <v>111506220160600750</v>
      </c>
      <c r="B2160" s="9" t="str">
        <f>IFERROR(__xludf.DUMMYFUNCTION("""COMPUTED_VALUE"""),"France")</f>
        <v>France</v>
      </c>
      <c r="C2160" s="9" t="str">
        <f>IFERROR(__xludf.DUMMYFUNCTION("""COMPUTED_VALUE"""),"rhone")</f>
        <v>rhone</v>
      </c>
      <c r="D2160" s="9" t="str">
        <f>IFERROR(__xludf.DUMMYFUNCTION("""COMPUTED_VALUE"""),"Domaine du Pegau, Chateauneuf-du-Pape, Cuvee Da Capo")</f>
        <v>Domaine du Pegau, Chateauneuf-du-Pape, Cuvee Da Capo</v>
      </c>
      <c r="E2160" s="9">
        <f>IFERROR(__xludf.DUMMYFUNCTION("""COMPUTED_VALUE"""),2016.0)</f>
        <v>2016</v>
      </c>
      <c r="F2160" s="9">
        <f>IFERROR(__xludf.DUMMYFUNCTION("""COMPUTED_VALUE"""),750.0)</f>
        <v>750</v>
      </c>
      <c r="G2160" s="9">
        <f>IFERROR(__xludf.DUMMYFUNCTION("""COMPUTED_VALUE"""),6.0)</f>
        <v>6</v>
      </c>
      <c r="H2160" s="10">
        <f>IFERROR(__xludf.DUMMYFUNCTION("""COMPUTED_VALUE"""),3.0)</f>
        <v>3</v>
      </c>
      <c r="I2160" s="11">
        <f>IFERROR(__xludf.DUMMYFUNCTION("""COMPUTED_VALUE"""),1572.0)</f>
        <v>1572</v>
      </c>
      <c r="J2160" s="9" t="str">
        <f>IFERROR(__xludf.DUMMYFUNCTION("""COMPUTED_VALUE"""),"UK")</f>
        <v>UK</v>
      </c>
      <c r="K2160" s="8"/>
      <c r="L2160" s="12"/>
      <c r="M2160" s="13"/>
      <c r="N2160" s="13" t="str">
        <f>IFERROR(__xludf.DUMMYFUNCTION("IF(ISBLANK(M2160),"""",M2160*GOOGLEFINANCE(""USDGBP""))"),"")</f>
        <v/>
      </c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  <c r="FG2160" s="8"/>
      <c r="FH2160" s="8"/>
      <c r="FI2160" s="8"/>
      <c r="FJ2160" s="8"/>
      <c r="FK2160" s="8"/>
      <c r="FL2160" s="8"/>
      <c r="FM2160" s="8"/>
      <c r="FN2160" s="8"/>
      <c r="FO2160" s="8"/>
      <c r="FP2160" s="8"/>
      <c r="FQ2160" s="8"/>
      <c r="FR2160" s="8"/>
      <c r="FS2160" s="8"/>
      <c r="FT2160" s="8"/>
      <c r="FU2160" s="8"/>
      <c r="FV2160" s="8"/>
      <c r="FW2160" s="8"/>
      <c r="FX2160" s="8"/>
      <c r="FY2160" s="8"/>
      <c r="FZ2160" s="8"/>
      <c r="GA2160" s="8"/>
      <c r="GB2160" s="8"/>
      <c r="GC2160" s="8"/>
      <c r="GD2160" s="8"/>
      <c r="GE2160" s="8"/>
      <c r="GF2160" s="8"/>
      <c r="GG2160" s="8"/>
      <c r="GH2160" s="8"/>
      <c r="GI2160" s="8"/>
      <c r="GJ2160" s="8"/>
      <c r="GK2160" s="8"/>
      <c r="GL2160" s="8"/>
      <c r="GM2160" s="8"/>
      <c r="GN2160" s="8"/>
      <c r="GO2160" s="8"/>
      <c r="GP2160" s="8"/>
      <c r="GQ2160" s="8"/>
      <c r="GR2160" s="8"/>
      <c r="GS2160" s="8"/>
      <c r="GT2160" s="8"/>
      <c r="GU2160" s="8"/>
      <c r="GV2160" s="8"/>
      <c r="GW2160" s="8"/>
      <c r="GX2160" s="8"/>
    </row>
    <row r="2161">
      <c r="A2161" s="8" t="str">
        <f>IFERROR(__xludf.DUMMYFUNCTION("""COMPUTED_VALUE"""),"111506220160301500")</f>
        <v>111506220160301500</v>
      </c>
      <c r="B2161" s="9" t="str">
        <f>IFERROR(__xludf.DUMMYFUNCTION("""COMPUTED_VALUE"""),"France")</f>
        <v>France</v>
      </c>
      <c r="C2161" s="9" t="str">
        <f>IFERROR(__xludf.DUMMYFUNCTION("""COMPUTED_VALUE"""),"rhone")</f>
        <v>rhone</v>
      </c>
      <c r="D2161" s="9" t="str">
        <f>IFERROR(__xludf.DUMMYFUNCTION("""COMPUTED_VALUE"""),"Domaine du Pegau, Chateauneuf-du-Pape, Cuvee Da Capo")</f>
        <v>Domaine du Pegau, Chateauneuf-du-Pape, Cuvee Da Capo</v>
      </c>
      <c r="E2161" s="9">
        <f>IFERROR(__xludf.DUMMYFUNCTION("""COMPUTED_VALUE"""),2016.0)</f>
        <v>2016</v>
      </c>
      <c r="F2161" s="9">
        <f>IFERROR(__xludf.DUMMYFUNCTION("""COMPUTED_VALUE"""),1500.0)</f>
        <v>1500</v>
      </c>
      <c r="G2161" s="9">
        <f>IFERROR(__xludf.DUMMYFUNCTION("""COMPUTED_VALUE"""),3.0)</f>
        <v>3</v>
      </c>
      <c r="H2161" s="10">
        <f>IFERROR(__xludf.DUMMYFUNCTION("""COMPUTED_VALUE"""),2.0)</f>
        <v>2</v>
      </c>
      <c r="I2161" s="11">
        <f>IFERROR(__xludf.DUMMYFUNCTION("""COMPUTED_VALUE"""),1572.0)</f>
        <v>1572</v>
      </c>
      <c r="J2161" s="9" t="str">
        <f>IFERROR(__xludf.DUMMYFUNCTION("""COMPUTED_VALUE"""),"UK")</f>
        <v>UK</v>
      </c>
      <c r="K2161" s="8"/>
      <c r="L2161" s="12"/>
      <c r="M2161" s="13"/>
      <c r="N2161" s="13" t="str">
        <f>IFERROR(__xludf.DUMMYFUNCTION("IF(ISBLANK(M2161),"""",M2161*GOOGLEFINANCE(""USDGBP""))"),"")</f>
        <v/>
      </c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  <c r="FG2161" s="8"/>
      <c r="FH2161" s="8"/>
      <c r="FI2161" s="8"/>
      <c r="FJ2161" s="8"/>
      <c r="FK2161" s="8"/>
      <c r="FL2161" s="8"/>
      <c r="FM2161" s="8"/>
      <c r="FN2161" s="8"/>
      <c r="FO2161" s="8"/>
      <c r="FP2161" s="8"/>
      <c r="FQ2161" s="8"/>
      <c r="FR2161" s="8"/>
      <c r="FS2161" s="8"/>
      <c r="FT2161" s="8"/>
      <c r="FU2161" s="8"/>
      <c r="FV2161" s="8"/>
      <c r="FW2161" s="8"/>
      <c r="FX2161" s="8"/>
      <c r="FY2161" s="8"/>
      <c r="FZ2161" s="8"/>
      <c r="GA2161" s="8"/>
      <c r="GB2161" s="8"/>
      <c r="GC2161" s="8"/>
      <c r="GD2161" s="8"/>
      <c r="GE2161" s="8"/>
      <c r="GF2161" s="8"/>
      <c r="GG2161" s="8"/>
      <c r="GH2161" s="8"/>
      <c r="GI2161" s="8"/>
      <c r="GJ2161" s="8"/>
      <c r="GK2161" s="8"/>
      <c r="GL2161" s="8"/>
      <c r="GM2161" s="8"/>
      <c r="GN2161" s="8"/>
      <c r="GO2161" s="8"/>
      <c r="GP2161" s="8"/>
      <c r="GQ2161" s="8"/>
      <c r="GR2161" s="8"/>
      <c r="GS2161" s="8"/>
      <c r="GT2161" s="8"/>
      <c r="GU2161" s="8"/>
      <c r="GV2161" s="8"/>
      <c r="GW2161" s="8"/>
      <c r="GX2161" s="8"/>
    </row>
    <row r="2162">
      <c r="A2162" s="8" t="str">
        <f>IFERROR(__xludf.DUMMYFUNCTION("""COMPUTED_VALUE"""),"111511820051200750")</f>
        <v>111511820051200750</v>
      </c>
      <c r="B2162" s="9" t="str">
        <f>IFERROR(__xludf.DUMMYFUNCTION("""COMPUTED_VALUE"""),"France")</f>
        <v>France</v>
      </c>
      <c r="C2162" s="9" t="str">
        <f>IFERROR(__xludf.DUMMYFUNCTION("""COMPUTED_VALUE"""),"rhone")</f>
        <v>rhone</v>
      </c>
      <c r="D2162" s="9" t="str">
        <f>IFERROR(__xludf.DUMMYFUNCTION("""COMPUTED_VALUE"""),"Domaine du Pegau, Chateauneuf-du-Pape, Cuvee Reservee Rouge")</f>
        <v>Domaine du Pegau, Chateauneuf-du-Pape, Cuvee Reservee Rouge</v>
      </c>
      <c r="E2162" s="9">
        <f>IFERROR(__xludf.DUMMYFUNCTION("""COMPUTED_VALUE"""),2005.0)</f>
        <v>2005</v>
      </c>
      <c r="F2162" s="9">
        <f>IFERROR(__xludf.DUMMYFUNCTION("""COMPUTED_VALUE"""),750.0)</f>
        <v>750</v>
      </c>
      <c r="G2162" s="9">
        <f>IFERROR(__xludf.DUMMYFUNCTION("""COMPUTED_VALUE"""),12.0)</f>
        <v>12</v>
      </c>
      <c r="H2162" s="10">
        <f>IFERROR(__xludf.DUMMYFUNCTION("""COMPUTED_VALUE"""),3.0)</f>
        <v>3</v>
      </c>
      <c r="I2162" s="11">
        <f>IFERROR(__xludf.DUMMYFUNCTION("""COMPUTED_VALUE"""),736.0)</f>
        <v>736</v>
      </c>
      <c r="J2162" s="9" t="str">
        <f>IFERROR(__xludf.DUMMYFUNCTION("""COMPUTED_VALUE"""),"UK")</f>
        <v>UK</v>
      </c>
      <c r="K2162" s="8"/>
      <c r="L2162" s="12"/>
      <c r="M2162" s="13"/>
      <c r="N2162" s="13" t="str">
        <f>IFERROR(__xludf.DUMMYFUNCTION("IF(ISBLANK(M2162),"""",M2162*GOOGLEFINANCE(""USDGBP""))"),"")</f>
        <v/>
      </c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  <c r="FG2162" s="8"/>
      <c r="FH2162" s="8"/>
      <c r="FI2162" s="8"/>
      <c r="FJ2162" s="8"/>
      <c r="FK2162" s="8"/>
      <c r="FL2162" s="8"/>
      <c r="FM2162" s="8"/>
      <c r="FN2162" s="8"/>
      <c r="FO2162" s="8"/>
      <c r="FP2162" s="8"/>
      <c r="FQ2162" s="8"/>
      <c r="FR2162" s="8"/>
      <c r="FS2162" s="8"/>
      <c r="FT2162" s="8"/>
      <c r="FU2162" s="8"/>
      <c r="FV2162" s="8"/>
      <c r="FW2162" s="8"/>
      <c r="FX2162" s="8"/>
      <c r="FY2162" s="8"/>
      <c r="FZ2162" s="8"/>
      <c r="GA2162" s="8"/>
      <c r="GB2162" s="8"/>
      <c r="GC2162" s="8"/>
      <c r="GD2162" s="8"/>
      <c r="GE2162" s="8"/>
      <c r="GF2162" s="8"/>
      <c r="GG2162" s="8"/>
      <c r="GH2162" s="8"/>
      <c r="GI2162" s="8"/>
      <c r="GJ2162" s="8"/>
      <c r="GK2162" s="8"/>
      <c r="GL2162" s="8"/>
      <c r="GM2162" s="8"/>
      <c r="GN2162" s="8"/>
      <c r="GO2162" s="8"/>
      <c r="GP2162" s="8"/>
      <c r="GQ2162" s="8"/>
      <c r="GR2162" s="8"/>
      <c r="GS2162" s="8"/>
      <c r="GT2162" s="8"/>
      <c r="GU2162" s="8"/>
      <c r="GV2162" s="8"/>
      <c r="GW2162" s="8"/>
      <c r="GX2162" s="8"/>
    </row>
    <row r="2163">
      <c r="A2163" s="8" t="str">
        <f>IFERROR(__xludf.DUMMYFUNCTION("""COMPUTED_VALUE"""),"111511820151200750")</f>
        <v>111511820151200750</v>
      </c>
      <c r="B2163" s="9" t="str">
        <f>IFERROR(__xludf.DUMMYFUNCTION("""COMPUTED_VALUE"""),"France")</f>
        <v>France</v>
      </c>
      <c r="C2163" s="9" t="str">
        <f>IFERROR(__xludf.DUMMYFUNCTION("""COMPUTED_VALUE"""),"rhone")</f>
        <v>rhone</v>
      </c>
      <c r="D2163" s="9" t="str">
        <f>IFERROR(__xludf.DUMMYFUNCTION("""COMPUTED_VALUE"""),"Domaine du Pegau, Chateauneuf-du-Pape, Cuvee Reservee Rouge")</f>
        <v>Domaine du Pegau, Chateauneuf-du-Pape, Cuvee Reservee Rouge</v>
      </c>
      <c r="E2163" s="9">
        <f>IFERROR(__xludf.DUMMYFUNCTION("""COMPUTED_VALUE"""),2015.0)</f>
        <v>2015</v>
      </c>
      <c r="F2163" s="9">
        <f>IFERROR(__xludf.DUMMYFUNCTION("""COMPUTED_VALUE"""),750.0)</f>
        <v>750</v>
      </c>
      <c r="G2163" s="9">
        <f>IFERROR(__xludf.DUMMYFUNCTION("""COMPUTED_VALUE"""),12.0)</f>
        <v>12</v>
      </c>
      <c r="H2163" s="10">
        <f>IFERROR(__xludf.DUMMYFUNCTION("""COMPUTED_VALUE"""),2.0)</f>
        <v>2</v>
      </c>
      <c r="I2163" s="11">
        <f>IFERROR(__xludf.DUMMYFUNCTION("""COMPUTED_VALUE"""),627.0)</f>
        <v>627</v>
      </c>
      <c r="J2163" s="9" t="str">
        <f>IFERROR(__xludf.DUMMYFUNCTION("""COMPUTED_VALUE"""),"UK")</f>
        <v>UK</v>
      </c>
      <c r="K2163" s="8"/>
      <c r="L2163" s="12"/>
      <c r="M2163" s="13"/>
      <c r="N2163" s="13" t="str">
        <f>IFERROR(__xludf.DUMMYFUNCTION("IF(ISBLANK(M2163),"""",M2163*GOOGLEFINANCE(""USDGBP""))"),"")</f>
        <v/>
      </c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  <c r="FG2163" s="8"/>
      <c r="FH2163" s="8"/>
      <c r="FI2163" s="8"/>
      <c r="FJ2163" s="8"/>
      <c r="FK2163" s="8"/>
      <c r="FL2163" s="8"/>
      <c r="FM2163" s="8"/>
      <c r="FN2163" s="8"/>
      <c r="FO2163" s="8"/>
      <c r="FP2163" s="8"/>
      <c r="FQ2163" s="8"/>
      <c r="FR2163" s="8"/>
      <c r="FS2163" s="8"/>
      <c r="FT2163" s="8"/>
      <c r="FU2163" s="8"/>
      <c r="FV2163" s="8"/>
      <c r="FW2163" s="8"/>
      <c r="FX2163" s="8"/>
      <c r="FY2163" s="8"/>
      <c r="FZ2163" s="8"/>
      <c r="GA2163" s="8"/>
      <c r="GB2163" s="8"/>
      <c r="GC2163" s="8"/>
      <c r="GD2163" s="8"/>
      <c r="GE2163" s="8"/>
      <c r="GF2163" s="8"/>
      <c r="GG2163" s="8"/>
      <c r="GH2163" s="8"/>
      <c r="GI2163" s="8"/>
      <c r="GJ2163" s="8"/>
      <c r="GK2163" s="8"/>
      <c r="GL2163" s="8"/>
      <c r="GM2163" s="8"/>
      <c r="GN2163" s="8"/>
      <c r="GO2163" s="8"/>
      <c r="GP2163" s="8"/>
      <c r="GQ2163" s="8"/>
      <c r="GR2163" s="8"/>
      <c r="GS2163" s="8"/>
      <c r="GT2163" s="8"/>
      <c r="GU2163" s="8"/>
      <c r="GV2163" s="8"/>
      <c r="GW2163" s="8"/>
      <c r="GX2163" s="8"/>
    </row>
    <row r="2164">
      <c r="A2164" s="8" t="str">
        <f>IFERROR(__xludf.DUMMYFUNCTION("""COMPUTED_VALUE"""),"111511820161200750")</f>
        <v>111511820161200750</v>
      </c>
      <c r="B2164" s="9" t="str">
        <f>IFERROR(__xludf.DUMMYFUNCTION("""COMPUTED_VALUE"""),"France")</f>
        <v>France</v>
      </c>
      <c r="C2164" s="9" t="str">
        <f>IFERROR(__xludf.DUMMYFUNCTION("""COMPUTED_VALUE"""),"rhone")</f>
        <v>rhone</v>
      </c>
      <c r="D2164" s="9" t="str">
        <f>IFERROR(__xludf.DUMMYFUNCTION("""COMPUTED_VALUE"""),"Domaine du Pegau, Chateauneuf-du-Pape, Cuvee Reservee Rouge")</f>
        <v>Domaine du Pegau, Chateauneuf-du-Pape, Cuvee Reservee Rouge</v>
      </c>
      <c r="E2164" s="9">
        <f>IFERROR(__xludf.DUMMYFUNCTION("""COMPUTED_VALUE"""),2016.0)</f>
        <v>2016</v>
      </c>
      <c r="F2164" s="9">
        <f>IFERROR(__xludf.DUMMYFUNCTION("""COMPUTED_VALUE"""),750.0)</f>
        <v>750</v>
      </c>
      <c r="G2164" s="9">
        <f>IFERROR(__xludf.DUMMYFUNCTION("""COMPUTED_VALUE"""),12.0)</f>
        <v>12</v>
      </c>
      <c r="H2164" s="10">
        <f>IFERROR(__xludf.DUMMYFUNCTION("""COMPUTED_VALUE"""),6.0)</f>
        <v>6</v>
      </c>
      <c r="I2164" s="11">
        <f>IFERROR(__xludf.DUMMYFUNCTION("""COMPUTED_VALUE"""),593.0)</f>
        <v>593</v>
      </c>
      <c r="J2164" s="9" t="str">
        <f>IFERROR(__xludf.DUMMYFUNCTION("""COMPUTED_VALUE"""),"UK")</f>
        <v>UK</v>
      </c>
      <c r="K2164" s="8"/>
      <c r="L2164" s="12"/>
      <c r="M2164" s="13"/>
      <c r="N2164" s="13" t="str">
        <f>IFERROR(__xludf.DUMMYFUNCTION("IF(ISBLANK(M2164),"""",M2164*GOOGLEFINANCE(""USDGBP""))"),"")</f>
        <v/>
      </c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  <c r="FG2164" s="8"/>
      <c r="FH2164" s="8"/>
      <c r="FI2164" s="8"/>
      <c r="FJ2164" s="8"/>
      <c r="FK2164" s="8"/>
      <c r="FL2164" s="8"/>
      <c r="FM2164" s="8"/>
      <c r="FN2164" s="8"/>
      <c r="FO2164" s="8"/>
      <c r="FP2164" s="8"/>
      <c r="FQ2164" s="8"/>
      <c r="FR2164" s="8"/>
      <c r="FS2164" s="8"/>
      <c r="FT2164" s="8"/>
      <c r="FU2164" s="8"/>
      <c r="FV2164" s="8"/>
      <c r="FW2164" s="8"/>
      <c r="FX2164" s="8"/>
      <c r="FY2164" s="8"/>
      <c r="FZ2164" s="8"/>
      <c r="GA2164" s="8"/>
      <c r="GB2164" s="8"/>
      <c r="GC2164" s="8"/>
      <c r="GD2164" s="8"/>
      <c r="GE2164" s="8"/>
      <c r="GF2164" s="8"/>
      <c r="GG2164" s="8"/>
      <c r="GH2164" s="8"/>
      <c r="GI2164" s="8"/>
      <c r="GJ2164" s="8"/>
      <c r="GK2164" s="8"/>
      <c r="GL2164" s="8"/>
      <c r="GM2164" s="8"/>
      <c r="GN2164" s="8"/>
      <c r="GO2164" s="8"/>
      <c r="GP2164" s="8"/>
      <c r="GQ2164" s="8"/>
      <c r="GR2164" s="8"/>
      <c r="GS2164" s="8"/>
      <c r="GT2164" s="8"/>
      <c r="GU2164" s="8"/>
      <c r="GV2164" s="8"/>
      <c r="GW2164" s="8"/>
      <c r="GX2164" s="8"/>
    </row>
    <row r="2165">
      <c r="A2165" s="8" t="str">
        <f>IFERROR(__xludf.DUMMYFUNCTION("""COMPUTED_VALUE"""),"111511820171200750")</f>
        <v>111511820171200750</v>
      </c>
      <c r="B2165" s="9" t="str">
        <f>IFERROR(__xludf.DUMMYFUNCTION("""COMPUTED_VALUE"""),"France")</f>
        <v>France</v>
      </c>
      <c r="C2165" s="9" t="str">
        <f>IFERROR(__xludf.DUMMYFUNCTION("""COMPUTED_VALUE"""),"rhone")</f>
        <v>rhone</v>
      </c>
      <c r="D2165" s="9" t="str">
        <f>IFERROR(__xludf.DUMMYFUNCTION("""COMPUTED_VALUE"""),"Domaine du Pegau, Chateauneuf-du-Pape, Cuvee Reservee Rouge")</f>
        <v>Domaine du Pegau, Chateauneuf-du-Pape, Cuvee Reservee Rouge</v>
      </c>
      <c r="E2165" s="9">
        <f>IFERROR(__xludf.DUMMYFUNCTION("""COMPUTED_VALUE"""),2017.0)</f>
        <v>2017</v>
      </c>
      <c r="F2165" s="9">
        <f>IFERROR(__xludf.DUMMYFUNCTION("""COMPUTED_VALUE"""),750.0)</f>
        <v>750</v>
      </c>
      <c r="G2165" s="9">
        <f>IFERROR(__xludf.DUMMYFUNCTION("""COMPUTED_VALUE"""),12.0)</f>
        <v>12</v>
      </c>
      <c r="H2165" s="10">
        <f>IFERROR(__xludf.DUMMYFUNCTION("""COMPUTED_VALUE"""),2.0)</f>
        <v>2</v>
      </c>
      <c r="I2165" s="11">
        <f>IFERROR(__xludf.DUMMYFUNCTION("""COMPUTED_VALUE"""),425.0)</f>
        <v>425</v>
      </c>
      <c r="J2165" s="9" t="str">
        <f>IFERROR(__xludf.DUMMYFUNCTION("""COMPUTED_VALUE"""),"UK")</f>
        <v>UK</v>
      </c>
      <c r="K2165" s="8"/>
      <c r="L2165" s="12"/>
      <c r="M2165" s="13"/>
      <c r="N2165" s="13" t="str">
        <f>IFERROR(__xludf.DUMMYFUNCTION("IF(ISBLANK(M2165),"""",M2165*GOOGLEFINANCE(""USDGBP""))"),"")</f>
        <v/>
      </c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  <c r="FG2165" s="8"/>
      <c r="FH2165" s="8"/>
      <c r="FI2165" s="8"/>
      <c r="FJ2165" s="8"/>
      <c r="FK2165" s="8"/>
      <c r="FL2165" s="8"/>
      <c r="FM2165" s="8"/>
      <c r="FN2165" s="8"/>
      <c r="FO2165" s="8"/>
      <c r="FP2165" s="8"/>
      <c r="FQ2165" s="8"/>
      <c r="FR2165" s="8"/>
      <c r="FS2165" s="8"/>
      <c r="FT2165" s="8"/>
      <c r="FU2165" s="8"/>
      <c r="FV2165" s="8"/>
      <c r="FW2165" s="8"/>
      <c r="FX2165" s="8"/>
      <c r="FY2165" s="8"/>
      <c r="FZ2165" s="8"/>
      <c r="GA2165" s="8"/>
      <c r="GB2165" s="8"/>
      <c r="GC2165" s="8"/>
      <c r="GD2165" s="8"/>
      <c r="GE2165" s="8"/>
      <c r="GF2165" s="8"/>
      <c r="GG2165" s="8"/>
      <c r="GH2165" s="8"/>
      <c r="GI2165" s="8"/>
      <c r="GJ2165" s="8"/>
      <c r="GK2165" s="8"/>
      <c r="GL2165" s="8"/>
      <c r="GM2165" s="8"/>
      <c r="GN2165" s="8"/>
      <c r="GO2165" s="8"/>
      <c r="GP2165" s="8"/>
      <c r="GQ2165" s="8"/>
      <c r="GR2165" s="8"/>
      <c r="GS2165" s="8"/>
      <c r="GT2165" s="8"/>
      <c r="GU2165" s="8"/>
      <c r="GV2165" s="8"/>
      <c r="GW2165" s="8"/>
      <c r="GX2165" s="8"/>
    </row>
    <row r="2166">
      <c r="A2166" s="8" t="str">
        <f>IFERROR(__xludf.DUMMYFUNCTION("""COMPUTED_VALUE"""),"111507520160101500")</f>
        <v>111507520160101500</v>
      </c>
      <c r="B2166" s="9" t="str">
        <f>IFERROR(__xludf.DUMMYFUNCTION("""COMPUTED_VALUE"""),"France")</f>
        <v>France</v>
      </c>
      <c r="C2166" s="9" t="str">
        <f>IFERROR(__xludf.DUMMYFUNCTION("""COMPUTED_VALUE"""),"rhone")</f>
        <v>rhone</v>
      </c>
      <c r="D2166" s="9" t="str">
        <f>IFERROR(__xludf.DUMMYFUNCTION("""COMPUTED_VALUE"""),"Domaine du Pegau, Chateauneuf-du-Pape, Inspiration")</f>
        <v>Domaine du Pegau, Chateauneuf-du-Pape, Inspiration</v>
      </c>
      <c r="E2166" s="9">
        <f>IFERROR(__xludf.DUMMYFUNCTION("""COMPUTED_VALUE"""),2016.0)</f>
        <v>2016</v>
      </c>
      <c r="F2166" s="9">
        <f>IFERROR(__xludf.DUMMYFUNCTION("""COMPUTED_VALUE"""),1500.0)</f>
        <v>1500</v>
      </c>
      <c r="G2166" s="9">
        <f>IFERROR(__xludf.DUMMYFUNCTION("""COMPUTED_VALUE"""),1.0)</f>
        <v>1</v>
      </c>
      <c r="H2166" s="10">
        <f>IFERROR(__xludf.DUMMYFUNCTION("""COMPUTED_VALUE"""),1.0)</f>
        <v>1</v>
      </c>
      <c r="I2166" s="11">
        <f>IFERROR(__xludf.DUMMYFUNCTION("""COMPUTED_VALUE"""),1417.0)</f>
        <v>1417</v>
      </c>
      <c r="J2166" s="9" t="str">
        <f>IFERROR(__xludf.DUMMYFUNCTION("""COMPUTED_VALUE"""),"UK")</f>
        <v>UK</v>
      </c>
      <c r="K2166" s="8"/>
      <c r="L2166" s="12"/>
      <c r="M2166" s="13"/>
      <c r="N2166" s="13" t="str">
        <f>IFERROR(__xludf.DUMMYFUNCTION("IF(ISBLANK(M2166),"""",M2166*GOOGLEFINANCE(""USDGBP""))"),"")</f>
        <v/>
      </c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  <c r="FG2166" s="8"/>
      <c r="FH2166" s="8"/>
      <c r="FI2166" s="8"/>
      <c r="FJ2166" s="8"/>
      <c r="FK2166" s="8"/>
      <c r="FL2166" s="8"/>
      <c r="FM2166" s="8"/>
      <c r="FN2166" s="8"/>
      <c r="FO2166" s="8"/>
      <c r="FP2166" s="8"/>
      <c r="FQ2166" s="8"/>
      <c r="FR2166" s="8"/>
      <c r="FS2166" s="8"/>
      <c r="FT2166" s="8"/>
      <c r="FU2166" s="8"/>
      <c r="FV2166" s="8"/>
      <c r="FW2166" s="8"/>
      <c r="FX2166" s="8"/>
      <c r="FY2166" s="8"/>
      <c r="FZ2166" s="8"/>
      <c r="GA2166" s="8"/>
      <c r="GB2166" s="8"/>
      <c r="GC2166" s="8"/>
      <c r="GD2166" s="8"/>
      <c r="GE2166" s="8"/>
      <c r="GF2166" s="8"/>
      <c r="GG2166" s="8"/>
      <c r="GH2166" s="8"/>
      <c r="GI2166" s="8"/>
      <c r="GJ2166" s="8"/>
      <c r="GK2166" s="8"/>
      <c r="GL2166" s="8"/>
      <c r="GM2166" s="8"/>
      <c r="GN2166" s="8"/>
      <c r="GO2166" s="8"/>
      <c r="GP2166" s="8"/>
      <c r="GQ2166" s="8"/>
      <c r="GR2166" s="8"/>
      <c r="GS2166" s="8"/>
      <c r="GT2166" s="8"/>
      <c r="GU2166" s="8"/>
      <c r="GV2166" s="8"/>
      <c r="GW2166" s="8"/>
      <c r="GX2166" s="8"/>
    </row>
    <row r="2167">
      <c r="A2167" s="8" t="str">
        <f>IFERROR(__xludf.DUMMYFUNCTION("""COMPUTED_VALUE"""),"114247320170300750")</f>
        <v>114247320170300750</v>
      </c>
      <c r="B2167" s="9" t="str">
        <f>IFERROR(__xludf.DUMMYFUNCTION("""COMPUTED_VALUE"""),"France")</f>
        <v>France</v>
      </c>
      <c r="C2167" s="9" t="str">
        <f>IFERROR(__xludf.DUMMYFUNCTION("""COMPUTED_VALUE"""),"rhone")</f>
        <v>rhone</v>
      </c>
      <c r="D2167" s="9" t="str">
        <f>IFERROR(__xludf.DUMMYFUNCTION("""COMPUTED_VALUE"""),"E. Guigal, Cote Rotie, Assortment Case")</f>
        <v>E. Guigal, Cote Rotie, Assortment Case</v>
      </c>
      <c r="E2167" s="9">
        <f>IFERROR(__xludf.DUMMYFUNCTION("""COMPUTED_VALUE"""),2017.0)</f>
        <v>2017</v>
      </c>
      <c r="F2167" s="9">
        <f>IFERROR(__xludf.DUMMYFUNCTION("""COMPUTED_VALUE"""),750.0)</f>
        <v>750</v>
      </c>
      <c r="G2167" s="9">
        <f>IFERROR(__xludf.DUMMYFUNCTION("""COMPUTED_VALUE"""),3.0)</f>
        <v>3</v>
      </c>
      <c r="H2167" s="10">
        <f>IFERROR(__xludf.DUMMYFUNCTION("""COMPUTED_VALUE"""),1.0)</f>
        <v>1</v>
      </c>
      <c r="I2167" s="11">
        <f>IFERROR(__xludf.DUMMYFUNCTION("""COMPUTED_VALUE"""),842.0)</f>
        <v>842</v>
      </c>
      <c r="J2167" s="9" t="str">
        <f>IFERROR(__xludf.DUMMYFUNCTION("""COMPUTED_VALUE"""),"UK")</f>
        <v>UK</v>
      </c>
      <c r="K2167" s="8"/>
      <c r="L2167" s="12"/>
      <c r="M2167" s="13"/>
      <c r="N2167" s="13" t="str">
        <f>IFERROR(__xludf.DUMMYFUNCTION("IF(ISBLANK(M2167),"""",M2167*GOOGLEFINANCE(""USDGBP""))"),"")</f>
        <v/>
      </c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  <c r="FG2167" s="8"/>
      <c r="FH2167" s="8"/>
      <c r="FI2167" s="8"/>
      <c r="FJ2167" s="8"/>
      <c r="FK2167" s="8"/>
      <c r="FL2167" s="8"/>
      <c r="FM2167" s="8"/>
      <c r="FN2167" s="8"/>
      <c r="FO2167" s="8"/>
      <c r="FP2167" s="8"/>
      <c r="FQ2167" s="8"/>
      <c r="FR2167" s="8"/>
      <c r="FS2167" s="8"/>
      <c r="FT2167" s="8"/>
      <c r="FU2167" s="8"/>
      <c r="FV2167" s="8"/>
      <c r="FW2167" s="8"/>
      <c r="FX2167" s="8"/>
      <c r="FY2167" s="8"/>
      <c r="FZ2167" s="8"/>
      <c r="GA2167" s="8"/>
      <c r="GB2167" s="8"/>
      <c r="GC2167" s="8"/>
      <c r="GD2167" s="8"/>
      <c r="GE2167" s="8"/>
      <c r="GF2167" s="8"/>
      <c r="GG2167" s="8"/>
      <c r="GH2167" s="8"/>
      <c r="GI2167" s="8"/>
      <c r="GJ2167" s="8"/>
      <c r="GK2167" s="8"/>
      <c r="GL2167" s="8"/>
      <c r="GM2167" s="8"/>
      <c r="GN2167" s="8"/>
      <c r="GO2167" s="8"/>
      <c r="GP2167" s="8"/>
      <c r="GQ2167" s="8"/>
      <c r="GR2167" s="8"/>
      <c r="GS2167" s="8"/>
      <c r="GT2167" s="8"/>
      <c r="GU2167" s="8"/>
      <c r="GV2167" s="8"/>
      <c r="GW2167" s="8"/>
      <c r="GX2167" s="8"/>
    </row>
    <row r="2168">
      <c r="A2168" s="8" t="str">
        <f>IFERROR(__xludf.DUMMYFUNCTION("""COMPUTED_VALUE"""),"111317220111200750")</f>
        <v>111317220111200750</v>
      </c>
      <c r="B2168" s="9" t="str">
        <f>IFERROR(__xludf.DUMMYFUNCTION("""COMPUTED_VALUE"""),"France")</f>
        <v>France</v>
      </c>
      <c r="C2168" s="9" t="str">
        <f>IFERROR(__xludf.DUMMYFUNCTION("""COMPUTED_VALUE"""),"rhone")</f>
        <v>rhone</v>
      </c>
      <c r="D2168" s="9" t="str">
        <f>IFERROR(__xludf.DUMMYFUNCTION("""COMPUTED_VALUE"""),"E. Guigal, Cote Rotie, Chateau d'Ampuis")</f>
        <v>E. Guigal, Cote Rotie, Chateau d'Ampuis</v>
      </c>
      <c r="E2168" s="9">
        <f>IFERROR(__xludf.DUMMYFUNCTION("""COMPUTED_VALUE"""),2011.0)</f>
        <v>2011</v>
      </c>
      <c r="F2168" s="9">
        <f>IFERROR(__xludf.DUMMYFUNCTION("""COMPUTED_VALUE"""),750.0)</f>
        <v>750</v>
      </c>
      <c r="G2168" s="9">
        <f>IFERROR(__xludf.DUMMYFUNCTION("""COMPUTED_VALUE"""),12.0)</f>
        <v>12</v>
      </c>
      <c r="H2168" s="10">
        <f>IFERROR(__xludf.DUMMYFUNCTION("""COMPUTED_VALUE"""),5.0)</f>
        <v>5</v>
      </c>
      <c r="I2168" s="11">
        <f>IFERROR(__xludf.DUMMYFUNCTION("""COMPUTED_VALUE"""),1052.0)</f>
        <v>1052</v>
      </c>
      <c r="J2168" s="9" t="str">
        <f>IFERROR(__xludf.DUMMYFUNCTION("""COMPUTED_VALUE"""),"UK")</f>
        <v>UK</v>
      </c>
      <c r="K2168" s="8"/>
      <c r="L2168" s="12"/>
      <c r="M2168" s="13"/>
      <c r="N2168" s="13" t="str">
        <f>IFERROR(__xludf.DUMMYFUNCTION("IF(ISBLANK(M2168),"""",M2168*GOOGLEFINANCE(""USDGBP""))"),"")</f>
        <v/>
      </c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  <c r="FG2168" s="8"/>
      <c r="FH2168" s="8"/>
      <c r="FI2168" s="8"/>
      <c r="FJ2168" s="8"/>
      <c r="FK2168" s="8"/>
      <c r="FL2168" s="8"/>
      <c r="FM2168" s="8"/>
      <c r="FN2168" s="8"/>
      <c r="FO2168" s="8"/>
      <c r="FP2168" s="8"/>
      <c r="FQ2168" s="8"/>
      <c r="FR2168" s="8"/>
      <c r="FS2168" s="8"/>
      <c r="FT2168" s="8"/>
      <c r="FU2168" s="8"/>
      <c r="FV2168" s="8"/>
      <c r="FW2168" s="8"/>
      <c r="FX2168" s="8"/>
      <c r="FY2168" s="8"/>
      <c r="FZ2168" s="8"/>
      <c r="GA2168" s="8"/>
      <c r="GB2168" s="8"/>
      <c r="GC2168" s="8"/>
      <c r="GD2168" s="8"/>
      <c r="GE2168" s="8"/>
      <c r="GF2168" s="8"/>
      <c r="GG2168" s="8"/>
      <c r="GH2168" s="8"/>
      <c r="GI2168" s="8"/>
      <c r="GJ2168" s="8"/>
      <c r="GK2168" s="8"/>
      <c r="GL2168" s="8"/>
      <c r="GM2168" s="8"/>
      <c r="GN2168" s="8"/>
      <c r="GO2168" s="8"/>
      <c r="GP2168" s="8"/>
      <c r="GQ2168" s="8"/>
      <c r="GR2168" s="8"/>
      <c r="GS2168" s="8"/>
      <c r="GT2168" s="8"/>
      <c r="GU2168" s="8"/>
      <c r="GV2168" s="8"/>
      <c r="GW2168" s="8"/>
      <c r="GX2168" s="8"/>
    </row>
    <row r="2169">
      <c r="A2169" s="8" t="str">
        <f>IFERROR(__xludf.DUMMYFUNCTION("""COMPUTED_VALUE"""),"111317220120601500")</f>
        <v>111317220120601500</v>
      </c>
      <c r="B2169" s="9" t="str">
        <f>IFERROR(__xludf.DUMMYFUNCTION("""COMPUTED_VALUE"""),"France")</f>
        <v>France</v>
      </c>
      <c r="C2169" s="9" t="str">
        <f>IFERROR(__xludf.DUMMYFUNCTION("""COMPUTED_VALUE"""),"rhone")</f>
        <v>rhone</v>
      </c>
      <c r="D2169" s="9" t="str">
        <f>IFERROR(__xludf.DUMMYFUNCTION("""COMPUTED_VALUE"""),"E. Guigal, Cote Rotie, Chateau d'Ampuis")</f>
        <v>E. Guigal, Cote Rotie, Chateau d'Ampuis</v>
      </c>
      <c r="E2169" s="9">
        <f>IFERROR(__xludf.DUMMYFUNCTION("""COMPUTED_VALUE"""),2012.0)</f>
        <v>2012</v>
      </c>
      <c r="F2169" s="9">
        <f>IFERROR(__xludf.DUMMYFUNCTION("""COMPUTED_VALUE"""),1500.0)</f>
        <v>1500</v>
      </c>
      <c r="G2169" s="9">
        <f>IFERROR(__xludf.DUMMYFUNCTION("""COMPUTED_VALUE"""),6.0)</f>
        <v>6</v>
      </c>
      <c r="H2169" s="10">
        <f>IFERROR(__xludf.DUMMYFUNCTION("""COMPUTED_VALUE"""),5.0)</f>
        <v>5</v>
      </c>
      <c r="I2169" s="11">
        <f>IFERROR(__xludf.DUMMYFUNCTION("""COMPUTED_VALUE"""),1223.0)</f>
        <v>1223</v>
      </c>
      <c r="J2169" s="9" t="str">
        <f>IFERROR(__xludf.DUMMYFUNCTION("""COMPUTED_VALUE"""),"UK")</f>
        <v>UK</v>
      </c>
      <c r="K2169" s="8"/>
      <c r="L2169" s="12"/>
      <c r="M2169" s="13"/>
      <c r="N2169" s="13" t="str">
        <f>IFERROR(__xludf.DUMMYFUNCTION("IF(ISBLANK(M2169),"""",M2169*GOOGLEFINANCE(""USDGBP""))"),"")</f>
        <v/>
      </c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  <c r="FG2169" s="8"/>
      <c r="FH2169" s="8"/>
      <c r="FI2169" s="8"/>
      <c r="FJ2169" s="8"/>
      <c r="FK2169" s="8"/>
      <c r="FL2169" s="8"/>
      <c r="FM2169" s="8"/>
      <c r="FN2169" s="8"/>
      <c r="FO2169" s="8"/>
      <c r="FP2169" s="8"/>
      <c r="FQ2169" s="8"/>
      <c r="FR2169" s="8"/>
      <c r="FS2169" s="8"/>
      <c r="FT2169" s="8"/>
      <c r="FU2169" s="8"/>
      <c r="FV2169" s="8"/>
      <c r="FW2169" s="8"/>
      <c r="FX2169" s="8"/>
      <c r="FY2169" s="8"/>
      <c r="FZ2169" s="8"/>
      <c r="GA2169" s="8"/>
      <c r="GB2169" s="8"/>
      <c r="GC2169" s="8"/>
      <c r="GD2169" s="8"/>
      <c r="GE2169" s="8"/>
      <c r="GF2169" s="8"/>
      <c r="GG2169" s="8"/>
      <c r="GH2169" s="8"/>
      <c r="GI2169" s="8"/>
      <c r="GJ2169" s="8"/>
      <c r="GK2169" s="8"/>
      <c r="GL2169" s="8"/>
      <c r="GM2169" s="8"/>
      <c r="GN2169" s="8"/>
      <c r="GO2169" s="8"/>
      <c r="GP2169" s="8"/>
      <c r="GQ2169" s="8"/>
      <c r="GR2169" s="8"/>
      <c r="GS2169" s="8"/>
      <c r="GT2169" s="8"/>
      <c r="GU2169" s="8"/>
      <c r="GV2169" s="8"/>
      <c r="GW2169" s="8"/>
      <c r="GX2169" s="8"/>
    </row>
    <row r="2170">
      <c r="A2170" s="8" t="str">
        <f>IFERROR(__xludf.DUMMYFUNCTION("""COMPUTED_VALUE"""),"111317220151200750")</f>
        <v>111317220151200750</v>
      </c>
      <c r="B2170" s="9" t="str">
        <f>IFERROR(__xludf.DUMMYFUNCTION("""COMPUTED_VALUE"""),"France")</f>
        <v>France</v>
      </c>
      <c r="C2170" s="9" t="str">
        <f>IFERROR(__xludf.DUMMYFUNCTION("""COMPUTED_VALUE"""),"rhone")</f>
        <v>rhone</v>
      </c>
      <c r="D2170" s="9" t="str">
        <f>IFERROR(__xludf.DUMMYFUNCTION("""COMPUTED_VALUE"""),"E. Guigal, Cote Rotie, Chateau d'Ampuis")</f>
        <v>E. Guigal, Cote Rotie, Chateau d'Ampuis</v>
      </c>
      <c r="E2170" s="9">
        <f>IFERROR(__xludf.DUMMYFUNCTION("""COMPUTED_VALUE"""),2015.0)</f>
        <v>2015</v>
      </c>
      <c r="F2170" s="9">
        <f>IFERROR(__xludf.DUMMYFUNCTION("""COMPUTED_VALUE"""),750.0)</f>
        <v>750</v>
      </c>
      <c r="G2170" s="9">
        <f>IFERROR(__xludf.DUMMYFUNCTION("""COMPUTED_VALUE"""),12.0)</f>
        <v>12</v>
      </c>
      <c r="H2170" s="10">
        <f>IFERROR(__xludf.DUMMYFUNCTION("""COMPUTED_VALUE"""),1.0)</f>
        <v>1</v>
      </c>
      <c r="I2170" s="11">
        <f>IFERROR(__xludf.DUMMYFUNCTION("""COMPUTED_VALUE"""),956.0)</f>
        <v>956</v>
      </c>
      <c r="J2170" s="9" t="str">
        <f>IFERROR(__xludf.DUMMYFUNCTION("""COMPUTED_VALUE"""),"UK")</f>
        <v>UK</v>
      </c>
      <c r="K2170" s="8"/>
      <c r="L2170" s="12"/>
      <c r="M2170" s="13"/>
      <c r="N2170" s="13" t="str">
        <f>IFERROR(__xludf.DUMMYFUNCTION("IF(ISBLANK(M2170),"""",M2170*GOOGLEFINANCE(""USDGBP""))"),"")</f>
        <v/>
      </c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  <c r="FG2170" s="8"/>
      <c r="FH2170" s="8"/>
      <c r="FI2170" s="8"/>
      <c r="FJ2170" s="8"/>
      <c r="FK2170" s="8"/>
      <c r="FL2170" s="8"/>
      <c r="FM2170" s="8"/>
      <c r="FN2170" s="8"/>
      <c r="FO2170" s="8"/>
      <c r="FP2170" s="8"/>
      <c r="FQ2170" s="8"/>
      <c r="FR2170" s="8"/>
      <c r="FS2170" s="8"/>
      <c r="FT2170" s="8"/>
      <c r="FU2170" s="8"/>
      <c r="FV2170" s="8"/>
      <c r="FW2170" s="8"/>
      <c r="FX2170" s="8"/>
      <c r="FY2170" s="8"/>
      <c r="FZ2170" s="8"/>
      <c r="GA2170" s="8"/>
      <c r="GB2170" s="8"/>
      <c r="GC2170" s="8"/>
      <c r="GD2170" s="8"/>
      <c r="GE2170" s="8"/>
      <c r="GF2170" s="8"/>
      <c r="GG2170" s="8"/>
      <c r="GH2170" s="8"/>
      <c r="GI2170" s="8"/>
      <c r="GJ2170" s="8"/>
      <c r="GK2170" s="8"/>
      <c r="GL2170" s="8"/>
      <c r="GM2170" s="8"/>
      <c r="GN2170" s="8"/>
      <c r="GO2170" s="8"/>
      <c r="GP2170" s="8"/>
      <c r="GQ2170" s="8"/>
      <c r="GR2170" s="8"/>
      <c r="GS2170" s="8"/>
      <c r="GT2170" s="8"/>
      <c r="GU2170" s="8"/>
      <c r="GV2170" s="8"/>
      <c r="GW2170" s="8"/>
      <c r="GX2170" s="8"/>
    </row>
    <row r="2171">
      <c r="A2171" s="8" t="str">
        <f>IFERROR(__xludf.DUMMYFUNCTION("""COMPUTED_VALUE"""),"111317220150301500")</f>
        <v>111317220150301500</v>
      </c>
      <c r="B2171" s="9" t="str">
        <f>IFERROR(__xludf.DUMMYFUNCTION("""COMPUTED_VALUE"""),"France")</f>
        <v>France</v>
      </c>
      <c r="C2171" s="9" t="str">
        <f>IFERROR(__xludf.DUMMYFUNCTION("""COMPUTED_VALUE"""),"rhone")</f>
        <v>rhone</v>
      </c>
      <c r="D2171" s="9" t="str">
        <f>IFERROR(__xludf.DUMMYFUNCTION("""COMPUTED_VALUE"""),"E. Guigal, Cote Rotie, Chateau d'Ampuis")</f>
        <v>E. Guigal, Cote Rotie, Chateau d'Ampuis</v>
      </c>
      <c r="E2171" s="9">
        <f>IFERROR(__xludf.DUMMYFUNCTION("""COMPUTED_VALUE"""),2015.0)</f>
        <v>2015</v>
      </c>
      <c r="F2171" s="9">
        <f>IFERROR(__xludf.DUMMYFUNCTION("""COMPUTED_VALUE"""),1500.0)</f>
        <v>1500</v>
      </c>
      <c r="G2171" s="9">
        <f>IFERROR(__xludf.DUMMYFUNCTION("""COMPUTED_VALUE"""),3.0)</f>
        <v>3</v>
      </c>
      <c r="H2171" s="10">
        <f>IFERROR(__xludf.DUMMYFUNCTION("""COMPUTED_VALUE"""),1.0)</f>
        <v>1</v>
      </c>
      <c r="I2171" s="11">
        <f>IFERROR(__xludf.DUMMYFUNCTION("""COMPUTED_VALUE"""),478.0)</f>
        <v>478</v>
      </c>
      <c r="J2171" s="9" t="str">
        <f>IFERROR(__xludf.DUMMYFUNCTION("""COMPUTED_VALUE"""),"UK")</f>
        <v>UK</v>
      </c>
      <c r="K2171" s="8"/>
      <c r="L2171" s="12"/>
      <c r="M2171" s="13"/>
      <c r="N2171" s="13" t="str">
        <f>IFERROR(__xludf.DUMMYFUNCTION("IF(ISBLANK(M2171),"""",M2171*GOOGLEFINANCE(""USDGBP""))"),"")</f>
        <v/>
      </c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  <c r="FG2171" s="8"/>
      <c r="FH2171" s="8"/>
      <c r="FI2171" s="8"/>
      <c r="FJ2171" s="8"/>
      <c r="FK2171" s="8"/>
      <c r="FL2171" s="8"/>
      <c r="FM2171" s="8"/>
      <c r="FN2171" s="8"/>
      <c r="FO2171" s="8"/>
      <c r="FP2171" s="8"/>
      <c r="FQ2171" s="8"/>
      <c r="FR2171" s="8"/>
      <c r="FS2171" s="8"/>
      <c r="FT2171" s="8"/>
      <c r="FU2171" s="8"/>
      <c r="FV2171" s="8"/>
      <c r="FW2171" s="8"/>
      <c r="FX2171" s="8"/>
      <c r="FY2171" s="8"/>
      <c r="FZ2171" s="8"/>
      <c r="GA2171" s="8"/>
      <c r="GB2171" s="8"/>
      <c r="GC2171" s="8"/>
      <c r="GD2171" s="8"/>
      <c r="GE2171" s="8"/>
      <c r="GF2171" s="8"/>
      <c r="GG2171" s="8"/>
      <c r="GH2171" s="8"/>
      <c r="GI2171" s="8"/>
      <c r="GJ2171" s="8"/>
      <c r="GK2171" s="8"/>
      <c r="GL2171" s="8"/>
      <c r="GM2171" s="8"/>
      <c r="GN2171" s="8"/>
      <c r="GO2171" s="8"/>
      <c r="GP2171" s="8"/>
      <c r="GQ2171" s="8"/>
      <c r="GR2171" s="8"/>
      <c r="GS2171" s="8"/>
      <c r="GT2171" s="8"/>
      <c r="GU2171" s="8"/>
      <c r="GV2171" s="8"/>
      <c r="GW2171" s="8"/>
      <c r="GX2171" s="8"/>
    </row>
    <row r="2172">
      <c r="A2172" s="8" t="str">
        <f>IFERROR(__xludf.DUMMYFUNCTION("""COMPUTED_VALUE"""),"111317220160601500")</f>
        <v>111317220160601500</v>
      </c>
      <c r="B2172" s="9" t="str">
        <f>IFERROR(__xludf.DUMMYFUNCTION("""COMPUTED_VALUE"""),"France")</f>
        <v>France</v>
      </c>
      <c r="C2172" s="9" t="str">
        <f>IFERROR(__xludf.DUMMYFUNCTION("""COMPUTED_VALUE"""),"rhone")</f>
        <v>rhone</v>
      </c>
      <c r="D2172" s="9" t="str">
        <f>IFERROR(__xludf.DUMMYFUNCTION("""COMPUTED_VALUE"""),"E. Guigal, Cote Rotie, Chateau d'Ampuis")</f>
        <v>E. Guigal, Cote Rotie, Chateau d'Ampuis</v>
      </c>
      <c r="E2172" s="9">
        <f>IFERROR(__xludf.DUMMYFUNCTION("""COMPUTED_VALUE"""),2016.0)</f>
        <v>2016</v>
      </c>
      <c r="F2172" s="9">
        <f>IFERROR(__xludf.DUMMYFUNCTION("""COMPUTED_VALUE"""),1500.0)</f>
        <v>1500</v>
      </c>
      <c r="G2172" s="9">
        <f>IFERROR(__xludf.DUMMYFUNCTION("""COMPUTED_VALUE"""),6.0)</f>
        <v>6</v>
      </c>
      <c r="H2172" s="10">
        <f>IFERROR(__xludf.DUMMYFUNCTION("""COMPUTED_VALUE"""),1.0)</f>
        <v>1</v>
      </c>
      <c r="I2172" s="11">
        <f>IFERROR(__xludf.DUMMYFUNCTION("""COMPUTED_VALUE"""),921.0)</f>
        <v>921</v>
      </c>
      <c r="J2172" s="9" t="str">
        <f>IFERROR(__xludf.DUMMYFUNCTION("""COMPUTED_VALUE"""),"UK")</f>
        <v>UK</v>
      </c>
      <c r="K2172" s="8"/>
      <c r="L2172" s="12"/>
      <c r="M2172" s="13"/>
      <c r="N2172" s="13" t="str">
        <f>IFERROR(__xludf.DUMMYFUNCTION("IF(ISBLANK(M2172),"""",M2172*GOOGLEFINANCE(""USDGBP""))"),"")</f>
        <v/>
      </c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  <c r="FG2172" s="8"/>
      <c r="FH2172" s="8"/>
      <c r="FI2172" s="8"/>
      <c r="FJ2172" s="8"/>
      <c r="FK2172" s="8"/>
      <c r="FL2172" s="8"/>
      <c r="FM2172" s="8"/>
      <c r="FN2172" s="8"/>
      <c r="FO2172" s="8"/>
      <c r="FP2172" s="8"/>
      <c r="FQ2172" s="8"/>
      <c r="FR2172" s="8"/>
      <c r="FS2172" s="8"/>
      <c r="FT2172" s="8"/>
      <c r="FU2172" s="8"/>
      <c r="FV2172" s="8"/>
      <c r="FW2172" s="8"/>
      <c r="FX2172" s="8"/>
      <c r="FY2172" s="8"/>
      <c r="FZ2172" s="8"/>
      <c r="GA2172" s="8"/>
      <c r="GB2172" s="8"/>
      <c r="GC2172" s="8"/>
      <c r="GD2172" s="8"/>
      <c r="GE2172" s="8"/>
      <c r="GF2172" s="8"/>
      <c r="GG2172" s="8"/>
      <c r="GH2172" s="8"/>
      <c r="GI2172" s="8"/>
      <c r="GJ2172" s="8"/>
      <c r="GK2172" s="8"/>
      <c r="GL2172" s="8"/>
      <c r="GM2172" s="8"/>
      <c r="GN2172" s="8"/>
      <c r="GO2172" s="8"/>
      <c r="GP2172" s="8"/>
      <c r="GQ2172" s="8"/>
      <c r="GR2172" s="8"/>
      <c r="GS2172" s="8"/>
      <c r="GT2172" s="8"/>
      <c r="GU2172" s="8"/>
      <c r="GV2172" s="8"/>
      <c r="GW2172" s="8"/>
      <c r="GX2172" s="8"/>
    </row>
    <row r="2173">
      <c r="A2173" s="8" t="str">
        <f>IFERROR(__xludf.DUMMYFUNCTION("""COMPUTED_VALUE"""),"111317220171200750")</f>
        <v>111317220171200750</v>
      </c>
      <c r="B2173" s="9" t="str">
        <f>IFERROR(__xludf.DUMMYFUNCTION("""COMPUTED_VALUE"""),"France")</f>
        <v>France</v>
      </c>
      <c r="C2173" s="9" t="str">
        <f>IFERROR(__xludf.DUMMYFUNCTION("""COMPUTED_VALUE"""),"rhone")</f>
        <v>rhone</v>
      </c>
      <c r="D2173" s="9" t="str">
        <f>IFERROR(__xludf.DUMMYFUNCTION("""COMPUTED_VALUE"""),"E. Guigal, Cote Rotie, Chateau d'Ampuis")</f>
        <v>E. Guigal, Cote Rotie, Chateau d'Ampuis</v>
      </c>
      <c r="E2173" s="9">
        <f>IFERROR(__xludf.DUMMYFUNCTION("""COMPUTED_VALUE"""),2017.0)</f>
        <v>2017</v>
      </c>
      <c r="F2173" s="9">
        <f>IFERROR(__xludf.DUMMYFUNCTION("""COMPUTED_VALUE"""),750.0)</f>
        <v>750</v>
      </c>
      <c r="G2173" s="9">
        <f>IFERROR(__xludf.DUMMYFUNCTION("""COMPUTED_VALUE"""),12.0)</f>
        <v>12</v>
      </c>
      <c r="H2173" s="10">
        <f>IFERROR(__xludf.DUMMYFUNCTION("""COMPUTED_VALUE"""),2.0)</f>
        <v>2</v>
      </c>
      <c r="I2173" s="11">
        <f>IFERROR(__xludf.DUMMYFUNCTION("""COMPUTED_VALUE"""),896.0)</f>
        <v>896</v>
      </c>
      <c r="J2173" s="9" t="str">
        <f>IFERROR(__xludf.DUMMYFUNCTION("""COMPUTED_VALUE"""),"UK")</f>
        <v>UK</v>
      </c>
      <c r="K2173" s="8"/>
      <c r="L2173" s="12"/>
      <c r="M2173" s="13"/>
      <c r="N2173" s="13" t="str">
        <f>IFERROR(__xludf.DUMMYFUNCTION("IF(ISBLANK(M2173),"""",M2173*GOOGLEFINANCE(""USDGBP""))"),"")</f>
        <v/>
      </c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  <c r="FG2173" s="8"/>
      <c r="FH2173" s="8"/>
      <c r="FI2173" s="8"/>
      <c r="FJ2173" s="8"/>
      <c r="FK2173" s="8"/>
      <c r="FL2173" s="8"/>
      <c r="FM2173" s="8"/>
      <c r="FN2173" s="8"/>
      <c r="FO2173" s="8"/>
      <c r="FP2173" s="8"/>
      <c r="FQ2173" s="8"/>
      <c r="FR2173" s="8"/>
      <c r="FS2173" s="8"/>
      <c r="FT2173" s="8"/>
      <c r="FU2173" s="8"/>
      <c r="FV2173" s="8"/>
      <c r="FW2173" s="8"/>
      <c r="FX2173" s="8"/>
      <c r="FY2173" s="8"/>
      <c r="FZ2173" s="8"/>
      <c r="GA2173" s="8"/>
      <c r="GB2173" s="8"/>
      <c r="GC2173" s="8"/>
      <c r="GD2173" s="8"/>
      <c r="GE2173" s="8"/>
      <c r="GF2173" s="8"/>
      <c r="GG2173" s="8"/>
      <c r="GH2173" s="8"/>
      <c r="GI2173" s="8"/>
      <c r="GJ2173" s="8"/>
      <c r="GK2173" s="8"/>
      <c r="GL2173" s="8"/>
      <c r="GM2173" s="8"/>
      <c r="GN2173" s="8"/>
      <c r="GO2173" s="8"/>
      <c r="GP2173" s="8"/>
      <c r="GQ2173" s="8"/>
      <c r="GR2173" s="8"/>
      <c r="GS2173" s="8"/>
      <c r="GT2173" s="8"/>
      <c r="GU2173" s="8"/>
      <c r="GV2173" s="8"/>
      <c r="GW2173" s="8"/>
      <c r="GX2173" s="8"/>
    </row>
    <row r="2174">
      <c r="A2174" s="8" t="str">
        <f>IFERROR(__xludf.DUMMYFUNCTION("""COMPUTED_VALUE"""),"111317220181200750")</f>
        <v>111317220181200750</v>
      </c>
      <c r="B2174" s="9" t="str">
        <f>IFERROR(__xludf.DUMMYFUNCTION("""COMPUTED_VALUE"""),"France")</f>
        <v>France</v>
      </c>
      <c r="C2174" s="9" t="str">
        <f>IFERROR(__xludf.DUMMYFUNCTION("""COMPUTED_VALUE"""),"rhone")</f>
        <v>rhone</v>
      </c>
      <c r="D2174" s="9" t="str">
        <f>IFERROR(__xludf.DUMMYFUNCTION("""COMPUTED_VALUE"""),"E. Guigal, Cote Rotie, Chateau d'Ampuis")</f>
        <v>E. Guigal, Cote Rotie, Chateau d'Ampuis</v>
      </c>
      <c r="E2174" s="9">
        <f>IFERROR(__xludf.DUMMYFUNCTION("""COMPUTED_VALUE"""),2018.0)</f>
        <v>2018</v>
      </c>
      <c r="F2174" s="9">
        <f>IFERROR(__xludf.DUMMYFUNCTION("""COMPUTED_VALUE"""),750.0)</f>
        <v>750</v>
      </c>
      <c r="G2174" s="9">
        <f>IFERROR(__xludf.DUMMYFUNCTION("""COMPUTED_VALUE"""),12.0)</f>
        <v>12</v>
      </c>
      <c r="H2174" s="10">
        <f>IFERROR(__xludf.DUMMYFUNCTION("""COMPUTED_VALUE"""),5.0)</f>
        <v>5</v>
      </c>
      <c r="I2174" s="11">
        <f>IFERROR(__xludf.DUMMYFUNCTION("""COMPUTED_VALUE"""),817.0)</f>
        <v>817</v>
      </c>
      <c r="J2174" s="9" t="str">
        <f>IFERROR(__xludf.DUMMYFUNCTION("""COMPUTED_VALUE"""),"UK")</f>
        <v>UK</v>
      </c>
      <c r="K2174" s="8"/>
      <c r="L2174" s="12"/>
      <c r="M2174" s="13"/>
      <c r="N2174" s="13" t="str">
        <f>IFERROR(__xludf.DUMMYFUNCTION("IF(ISBLANK(M2174),"""",M2174*GOOGLEFINANCE(""USDGBP""))"),"")</f>
        <v/>
      </c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  <c r="FG2174" s="8"/>
      <c r="FH2174" s="8"/>
      <c r="FI2174" s="8"/>
      <c r="FJ2174" s="8"/>
      <c r="FK2174" s="8"/>
      <c r="FL2174" s="8"/>
      <c r="FM2174" s="8"/>
      <c r="FN2174" s="8"/>
      <c r="FO2174" s="8"/>
      <c r="FP2174" s="8"/>
      <c r="FQ2174" s="8"/>
      <c r="FR2174" s="8"/>
      <c r="FS2174" s="8"/>
      <c r="FT2174" s="8"/>
      <c r="FU2174" s="8"/>
      <c r="FV2174" s="8"/>
      <c r="FW2174" s="8"/>
      <c r="FX2174" s="8"/>
      <c r="FY2174" s="8"/>
      <c r="FZ2174" s="8"/>
      <c r="GA2174" s="8"/>
      <c r="GB2174" s="8"/>
      <c r="GC2174" s="8"/>
      <c r="GD2174" s="8"/>
      <c r="GE2174" s="8"/>
      <c r="GF2174" s="8"/>
      <c r="GG2174" s="8"/>
      <c r="GH2174" s="8"/>
      <c r="GI2174" s="8"/>
      <c r="GJ2174" s="8"/>
      <c r="GK2174" s="8"/>
      <c r="GL2174" s="8"/>
      <c r="GM2174" s="8"/>
      <c r="GN2174" s="8"/>
      <c r="GO2174" s="8"/>
      <c r="GP2174" s="8"/>
      <c r="GQ2174" s="8"/>
      <c r="GR2174" s="8"/>
      <c r="GS2174" s="8"/>
      <c r="GT2174" s="8"/>
      <c r="GU2174" s="8"/>
      <c r="GV2174" s="8"/>
      <c r="GW2174" s="8"/>
      <c r="GX2174" s="8"/>
    </row>
    <row r="2175">
      <c r="A2175" s="8" t="str">
        <f>IFERROR(__xludf.DUMMYFUNCTION("""COMPUTED_VALUE"""),"111317220180301500")</f>
        <v>111317220180301500</v>
      </c>
      <c r="B2175" s="9" t="str">
        <f>IFERROR(__xludf.DUMMYFUNCTION("""COMPUTED_VALUE"""),"France")</f>
        <v>France</v>
      </c>
      <c r="C2175" s="9" t="str">
        <f>IFERROR(__xludf.DUMMYFUNCTION("""COMPUTED_VALUE"""),"rhone")</f>
        <v>rhone</v>
      </c>
      <c r="D2175" s="9" t="str">
        <f>IFERROR(__xludf.DUMMYFUNCTION("""COMPUTED_VALUE"""),"E. Guigal, Cote Rotie, Chateau d'Ampuis")</f>
        <v>E. Guigal, Cote Rotie, Chateau d'Ampuis</v>
      </c>
      <c r="E2175" s="9">
        <f>IFERROR(__xludf.DUMMYFUNCTION("""COMPUTED_VALUE"""),2018.0)</f>
        <v>2018</v>
      </c>
      <c r="F2175" s="9">
        <f>IFERROR(__xludf.DUMMYFUNCTION("""COMPUTED_VALUE"""),1500.0)</f>
        <v>1500</v>
      </c>
      <c r="G2175" s="9">
        <f>IFERROR(__xludf.DUMMYFUNCTION("""COMPUTED_VALUE"""),3.0)</f>
        <v>3</v>
      </c>
      <c r="H2175" s="10">
        <f>IFERROR(__xludf.DUMMYFUNCTION("""COMPUTED_VALUE"""),1.0)</f>
        <v>1</v>
      </c>
      <c r="I2175" s="11">
        <f>IFERROR(__xludf.DUMMYFUNCTION("""COMPUTED_VALUE"""),424.0)</f>
        <v>424</v>
      </c>
      <c r="J2175" s="9" t="str">
        <f>IFERROR(__xludf.DUMMYFUNCTION("""COMPUTED_VALUE"""),"UK")</f>
        <v>UK</v>
      </c>
      <c r="K2175" s="8"/>
      <c r="L2175" s="12"/>
      <c r="M2175" s="13"/>
      <c r="N2175" s="13" t="str">
        <f>IFERROR(__xludf.DUMMYFUNCTION("IF(ISBLANK(M2175),"""",M2175*GOOGLEFINANCE(""USDGBP""))"),"")</f>
        <v/>
      </c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  <c r="FG2175" s="8"/>
      <c r="FH2175" s="8"/>
      <c r="FI2175" s="8"/>
      <c r="FJ2175" s="8"/>
      <c r="FK2175" s="8"/>
      <c r="FL2175" s="8"/>
      <c r="FM2175" s="8"/>
      <c r="FN2175" s="8"/>
      <c r="FO2175" s="8"/>
      <c r="FP2175" s="8"/>
      <c r="FQ2175" s="8"/>
      <c r="FR2175" s="8"/>
      <c r="FS2175" s="8"/>
      <c r="FT2175" s="8"/>
      <c r="FU2175" s="8"/>
      <c r="FV2175" s="8"/>
      <c r="FW2175" s="8"/>
      <c r="FX2175" s="8"/>
      <c r="FY2175" s="8"/>
      <c r="FZ2175" s="8"/>
      <c r="GA2175" s="8"/>
      <c r="GB2175" s="8"/>
      <c r="GC2175" s="8"/>
      <c r="GD2175" s="8"/>
      <c r="GE2175" s="8"/>
      <c r="GF2175" s="8"/>
      <c r="GG2175" s="8"/>
      <c r="GH2175" s="8"/>
      <c r="GI2175" s="8"/>
      <c r="GJ2175" s="8"/>
      <c r="GK2175" s="8"/>
      <c r="GL2175" s="8"/>
      <c r="GM2175" s="8"/>
      <c r="GN2175" s="8"/>
      <c r="GO2175" s="8"/>
      <c r="GP2175" s="8"/>
      <c r="GQ2175" s="8"/>
      <c r="GR2175" s="8"/>
      <c r="GS2175" s="8"/>
      <c r="GT2175" s="8"/>
      <c r="GU2175" s="8"/>
      <c r="GV2175" s="8"/>
      <c r="GW2175" s="8"/>
      <c r="GX2175" s="8"/>
    </row>
    <row r="2176">
      <c r="A2176" s="8" t="str">
        <f>IFERROR(__xludf.DUMMYFUNCTION("""COMPUTED_VALUE"""),"111319820181200750")</f>
        <v>111319820181200750</v>
      </c>
      <c r="B2176" s="9" t="str">
        <f>IFERROR(__xludf.DUMMYFUNCTION("""COMPUTED_VALUE"""),"France")</f>
        <v>France</v>
      </c>
      <c r="C2176" s="9" t="str">
        <f>IFERROR(__xludf.DUMMYFUNCTION("""COMPUTED_VALUE"""),"rhone")</f>
        <v>rhone</v>
      </c>
      <c r="D2176" s="9" t="str">
        <f>IFERROR(__xludf.DUMMYFUNCTION("""COMPUTED_VALUE"""),"E. Guigal, Cote Rotie, La Landonne")</f>
        <v>E. Guigal, Cote Rotie, La Landonne</v>
      </c>
      <c r="E2176" s="9">
        <f>IFERROR(__xludf.DUMMYFUNCTION("""COMPUTED_VALUE"""),2018.0)</f>
        <v>2018</v>
      </c>
      <c r="F2176" s="9">
        <f>IFERROR(__xludf.DUMMYFUNCTION("""COMPUTED_VALUE"""),750.0)</f>
        <v>750</v>
      </c>
      <c r="G2176" s="9">
        <f>IFERROR(__xludf.DUMMYFUNCTION("""COMPUTED_VALUE"""),12.0)</f>
        <v>12</v>
      </c>
      <c r="H2176" s="10">
        <f>IFERROR(__xludf.DUMMYFUNCTION("""COMPUTED_VALUE"""),1.0)</f>
        <v>1</v>
      </c>
      <c r="I2176" s="11">
        <f>IFERROR(__xludf.DUMMYFUNCTION("""COMPUTED_VALUE"""),3157.0)</f>
        <v>3157</v>
      </c>
      <c r="J2176" s="9" t="str">
        <f>IFERROR(__xludf.DUMMYFUNCTION("""COMPUTED_VALUE"""),"UK")</f>
        <v>UK</v>
      </c>
      <c r="K2176" s="8"/>
      <c r="L2176" s="12"/>
      <c r="M2176" s="13"/>
      <c r="N2176" s="13" t="str">
        <f>IFERROR(__xludf.DUMMYFUNCTION("IF(ISBLANK(M2176),"""",M2176*GOOGLEFINANCE(""USDGBP""))"),"")</f>
        <v/>
      </c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  <c r="FG2176" s="8"/>
      <c r="FH2176" s="8"/>
      <c r="FI2176" s="8"/>
      <c r="FJ2176" s="8"/>
      <c r="FK2176" s="8"/>
      <c r="FL2176" s="8"/>
      <c r="FM2176" s="8"/>
      <c r="FN2176" s="8"/>
      <c r="FO2176" s="8"/>
      <c r="FP2176" s="8"/>
      <c r="FQ2176" s="8"/>
      <c r="FR2176" s="8"/>
      <c r="FS2176" s="8"/>
      <c r="FT2176" s="8"/>
      <c r="FU2176" s="8"/>
      <c r="FV2176" s="8"/>
      <c r="FW2176" s="8"/>
      <c r="FX2176" s="8"/>
      <c r="FY2176" s="8"/>
      <c r="FZ2176" s="8"/>
      <c r="GA2176" s="8"/>
      <c r="GB2176" s="8"/>
      <c r="GC2176" s="8"/>
      <c r="GD2176" s="8"/>
      <c r="GE2176" s="8"/>
      <c r="GF2176" s="8"/>
      <c r="GG2176" s="8"/>
      <c r="GH2176" s="8"/>
      <c r="GI2176" s="8"/>
      <c r="GJ2176" s="8"/>
      <c r="GK2176" s="8"/>
      <c r="GL2176" s="8"/>
      <c r="GM2176" s="8"/>
      <c r="GN2176" s="8"/>
      <c r="GO2176" s="8"/>
      <c r="GP2176" s="8"/>
      <c r="GQ2176" s="8"/>
      <c r="GR2176" s="8"/>
      <c r="GS2176" s="8"/>
      <c r="GT2176" s="8"/>
      <c r="GU2176" s="8"/>
      <c r="GV2176" s="8"/>
      <c r="GW2176" s="8"/>
      <c r="GX2176" s="8"/>
    </row>
    <row r="2177">
      <c r="A2177" s="8" t="str">
        <f>IFERROR(__xludf.DUMMYFUNCTION("""COMPUTED_VALUE"""),"111320220120300750")</f>
        <v>111320220120300750</v>
      </c>
      <c r="B2177" s="9" t="str">
        <f>IFERROR(__xludf.DUMMYFUNCTION("""COMPUTED_VALUE"""),"France")</f>
        <v>France</v>
      </c>
      <c r="C2177" s="9" t="str">
        <f>IFERROR(__xludf.DUMMYFUNCTION("""COMPUTED_VALUE"""),"rhone")</f>
        <v>rhone</v>
      </c>
      <c r="D2177" s="9" t="str">
        <f>IFERROR(__xludf.DUMMYFUNCTION("""COMPUTED_VALUE"""),"E. Guigal, Cote Rotie, La Mouline")</f>
        <v>E. Guigal, Cote Rotie, La Mouline</v>
      </c>
      <c r="E2177" s="9">
        <f>IFERROR(__xludf.DUMMYFUNCTION("""COMPUTED_VALUE"""),2012.0)</f>
        <v>2012</v>
      </c>
      <c r="F2177" s="9">
        <f>IFERROR(__xludf.DUMMYFUNCTION("""COMPUTED_VALUE"""),750.0)</f>
        <v>750</v>
      </c>
      <c r="G2177" s="9">
        <f>IFERROR(__xludf.DUMMYFUNCTION("""COMPUTED_VALUE"""),3.0)</f>
        <v>3</v>
      </c>
      <c r="H2177" s="10">
        <f>IFERROR(__xludf.DUMMYFUNCTION("""COMPUTED_VALUE"""),1.0)</f>
        <v>1</v>
      </c>
      <c r="I2177" s="11">
        <f>IFERROR(__xludf.DUMMYFUNCTION("""COMPUTED_VALUE"""),630.0)</f>
        <v>630</v>
      </c>
      <c r="J2177" s="9" t="str">
        <f>IFERROR(__xludf.DUMMYFUNCTION("""COMPUTED_VALUE"""),"UK")</f>
        <v>UK</v>
      </c>
      <c r="K2177" s="8"/>
      <c r="L2177" s="12"/>
      <c r="M2177" s="13"/>
      <c r="N2177" s="13" t="str">
        <f>IFERROR(__xludf.DUMMYFUNCTION("IF(ISBLANK(M2177),"""",M2177*GOOGLEFINANCE(""USDGBP""))"),"")</f>
        <v/>
      </c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  <c r="FG2177" s="8"/>
      <c r="FH2177" s="8"/>
      <c r="FI2177" s="8"/>
      <c r="FJ2177" s="8"/>
      <c r="FK2177" s="8"/>
      <c r="FL2177" s="8"/>
      <c r="FM2177" s="8"/>
      <c r="FN2177" s="8"/>
      <c r="FO2177" s="8"/>
      <c r="FP2177" s="8"/>
      <c r="FQ2177" s="8"/>
      <c r="FR2177" s="8"/>
      <c r="FS2177" s="8"/>
      <c r="FT2177" s="8"/>
      <c r="FU2177" s="8"/>
      <c r="FV2177" s="8"/>
      <c r="FW2177" s="8"/>
      <c r="FX2177" s="8"/>
      <c r="FY2177" s="8"/>
      <c r="FZ2177" s="8"/>
      <c r="GA2177" s="8"/>
      <c r="GB2177" s="8"/>
      <c r="GC2177" s="8"/>
      <c r="GD2177" s="8"/>
      <c r="GE2177" s="8"/>
      <c r="GF2177" s="8"/>
      <c r="GG2177" s="8"/>
      <c r="GH2177" s="8"/>
      <c r="GI2177" s="8"/>
      <c r="GJ2177" s="8"/>
      <c r="GK2177" s="8"/>
      <c r="GL2177" s="8"/>
      <c r="GM2177" s="8"/>
      <c r="GN2177" s="8"/>
      <c r="GO2177" s="8"/>
      <c r="GP2177" s="8"/>
      <c r="GQ2177" s="8"/>
      <c r="GR2177" s="8"/>
      <c r="GS2177" s="8"/>
      <c r="GT2177" s="8"/>
      <c r="GU2177" s="8"/>
      <c r="GV2177" s="8"/>
      <c r="GW2177" s="8"/>
      <c r="GX2177" s="8"/>
    </row>
    <row r="2178">
      <c r="A2178" s="8" t="str">
        <f>IFERROR(__xludf.DUMMYFUNCTION("""COMPUTED_VALUE"""),"111320220130600750")</f>
        <v>111320220130600750</v>
      </c>
      <c r="B2178" s="9" t="str">
        <f>IFERROR(__xludf.DUMMYFUNCTION("""COMPUTED_VALUE"""),"France")</f>
        <v>France</v>
      </c>
      <c r="C2178" s="9" t="str">
        <f>IFERROR(__xludf.DUMMYFUNCTION("""COMPUTED_VALUE"""),"rhone")</f>
        <v>rhone</v>
      </c>
      <c r="D2178" s="9" t="str">
        <f>IFERROR(__xludf.DUMMYFUNCTION("""COMPUTED_VALUE"""),"E. Guigal, Cote Rotie, La Mouline")</f>
        <v>E. Guigal, Cote Rotie, La Mouline</v>
      </c>
      <c r="E2178" s="9">
        <f>IFERROR(__xludf.DUMMYFUNCTION("""COMPUTED_VALUE"""),2013.0)</f>
        <v>2013</v>
      </c>
      <c r="F2178" s="9">
        <f>IFERROR(__xludf.DUMMYFUNCTION("""COMPUTED_VALUE"""),750.0)</f>
        <v>750</v>
      </c>
      <c r="G2178" s="9">
        <f>IFERROR(__xludf.DUMMYFUNCTION("""COMPUTED_VALUE"""),6.0)</f>
        <v>6</v>
      </c>
      <c r="H2178" s="10">
        <f>IFERROR(__xludf.DUMMYFUNCTION("""COMPUTED_VALUE"""),2.0)</f>
        <v>2</v>
      </c>
      <c r="I2178" s="11">
        <f>IFERROR(__xludf.DUMMYFUNCTION("""COMPUTED_VALUE"""),1215.0)</f>
        <v>1215</v>
      </c>
      <c r="J2178" s="9" t="str">
        <f>IFERROR(__xludf.DUMMYFUNCTION("""COMPUTED_VALUE"""),"UK")</f>
        <v>UK</v>
      </c>
      <c r="K2178" s="8"/>
      <c r="L2178" s="12"/>
      <c r="M2178" s="13"/>
      <c r="N2178" s="13" t="str">
        <f>IFERROR(__xludf.DUMMYFUNCTION("IF(ISBLANK(M2178),"""",M2178*GOOGLEFINANCE(""USDGBP""))"),"")</f>
        <v/>
      </c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  <c r="FG2178" s="8"/>
      <c r="FH2178" s="8"/>
      <c r="FI2178" s="8"/>
      <c r="FJ2178" s="8"/>
      <c r="FK2178" s="8"/>
      <c r="FL2178" s="8"/>
      <c r="FM2178" s="8"/>
      <c r="FN2178" s="8"/>
      <c r="FO2178" s="8"/>
      <c r="FP2178" s="8"/>
      <c r="FQ2178" s="8"/>
      <c r="FR2178" s="8"/>
      <c r="FS2178" s="8"/>
      <c r="FT2178" s="8"/>
      <c r="FU2178" s="8"/>
      <c r="FV2178" s="8"/>
      <c r="FW2178" s="8"/>
      <c r="FX2178" s="8"/>
      <c r="FY2178" s="8"/>
      <c r="FZ2178" s="8"/>
      <c r="GA2178" s="8"/>
      <c r="GB2178" s="8"/>
      <c r="GC2178" s="8"/>
      <c r="GD2178" s="8"/>
      <c r="GE2178" s="8"/>
      <c r="GF2178" s="8"/>
      <c r="GG2178" s="8"/>
      <c r="GH2178" s="8"/>
      <c r="GI2178" s="8"/>
      <c r="GJ2178" s="8"/>
      <c r="GK2178" s="8"/>
      <c r="GL2178" s="8"/>
      <c r="GM2178" s="8"/>
      <c r="GN2178" s="8"/>
      <c r="GO2178" s="8"/>
      <c r="GP2178" s="8"/>
      <c r="GQ2178" s="8"/>
      <c r="GR2178" s="8"/>
      <c r="GS2178" s="8"/>
      <c r="GT2178" s="8"/>
      <c r="GU2178" s="8"/>
      <c r="GV2178" s="8"/>
      <c r="GW2178" s="8"/>
      <c r="GX2178" s="8"/>
    </row>
    <row r="2179">
      <c r="A2179" s="8" t="str">
        <f>IFERROR(__xludf.DUMMYFUNCTION("""COMPUTED_VALUE"""),"111320220150300750")</f>
        <v>111320220150300750</v>
      </c>
      <c r="B2179" s="9" t="str">
        <f>IFERROR(__xludf.DUMMYFUNCTION("""COMPUTED_VALUE"""),"France")</f>
        <v>France</v>
      </c>
      <c r="C2179" s="9" t="str">
        <f>IFERROR(__xludf.DUMMYFUNCTION("""COMPUTED_VALUE"""),"rhone")</f>
        <v>rhone</v>
      </c>
      <c r="D2179" s="9" t="str">
        <f>IFERROR(__xludf.DUMMYFUNCTION("""COMPUTED_VALUE"""),"E. Guigal, Cote Rotie, La Mouline")</f>
        <v>E. Guigal, Cote Rotie, La Mouline</v>
      </c>
      <c r="E2179" s="9">
        <f>IFERROR(__xludf.DUMMYFUNCTION("""COMPUTED_VALUE"""),2015.0)</f>
        <v>2015</v>
      </c>
      <c r="F2179" s="9">
        <f>IFERROR(__xludf.DUMMYFUNCTION("""COMPUTED_VALUE"""),750.0)</f>
        <v>750</v>
      </c>
      <c r="G2179" s="9">
        <f>IFERROR(__xludf.DUMMYFUNCTION("""COMPUTED_VALUE"""),3.0)</f>
        <v>3</v>
      </c>
      <c r="H2179" s="10">
        <f>IFERROR(__xludf.DUMMYFUNCTION("""COMPUTED_VALUE"""),1.0)</f>
        <v>1</v>
      </c>
      <c r="I2179" s="11">
        <f>IFERROR(__xludf.DUMMYFUNCTION("""COMPUTED_VALUE"""),862.0)</f>
        <v>862</v>
      </c>
      <c r="J2179" s="9" t="str">
        <f>IFERROR(__xludf.DUMMYFUNCTION("""COMPUTED_VALUE"""),"UK")</f>
        <v>UK</v>
      </c>
      <c r="K2179" s="8"/>
      <c r="L2179" s="12"/>
      <c r="M2179" s="13"/>
      <c r="N2179" s="13" t="str">
        <f>IFERROR(__xludf.DUMMYFUNCTION("IF(ISBLANK(M2179),"""",M2179*GOOGLEFINANCE(""USDGBP""))"),"")</f>
        <v/>
      </c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  <c r="FG2179" s="8"/>
      <c r="FH2179" s="8"/>
      <c r="FI2179" s="8"/>
      <c r="FJ2179" s="8"/>
      <c r="FK2179" s="8"/>
      <c r="FL2179" s="8"/>
      <c r="FM2179" s="8"/>
      <c r="FN2179" s="8"/>
      <c r="FO2179" s="8"/>
      <c r="FP2179" s="8"/>
      <c r="FQ2179" s="8"/>
      <c r="FR2179" s="8"/>
      <c r="FS2179" s="8"/>
      <c r="FT2179" s="8"/>
      <c r="FU2179" s="8"/>
      <c r="FV2179" s="8"/>
      <c r="FW2179" s="8"/>
      <c r="FX2179" s="8"/>
      <c r="FY2179" s="8"/>
      <c r="FZ2179" s="8"/>
      <c r="GA2179" s="8"/>
      <c r="GB2179" s="8"/>
      <c r="GC2179" s="8"/>
      <c r="GD2179" s="8"/>
      <c r="GE2179" s="8"/>
      <c r="GF2179" s="8"/>
      <c r="GG2179" s="8"/>
      <c r="GH2179" s="8"/>
      <c r="GI2179" s="8"/>
      <c r="GJ2179" s="8"/>
      <c r="GK2179" s="8"/>
      <c r="GL2179" s="8"/>
      <c r="GM2179" s="8"/>
      <c r="GN2179" s="8"/>
      <c r="GO2179" s="8"/>
      <c r="GP2179" s="8"/>
      <c r="GQ2179" s="8"/>
      <c r="GR2179" s="8"/>
      <c r="GS2179" s="8"/>
      <c r="GT2179" s="8"/>
      <c r="GU2179" s="8"/>
      <c r="GV2179" s="8"/>
      <c r="GW2179" s="8"/>
      <c r="GX2179" s="8"/>
    </row>
    <row r="2180">
      <c r="A2180" s="8" t="str">
        <f>IFERROR(__xludf.DUMMYFUNCTION("""COMPUTED_VALUE"""),"111320220170300750")</f>
        <v>111320220170300750</v>
      </c>
      <c r="B2180" s="9" t="str">
        <f>IFERROR(__xludf.DUMMYFUNCTION("""COMPUTED_VALUE"""),"France")</f>
        <v>France</v>
      </c>
      <c r="C2180" s="9" t="str">
        <f>IFERROR(__xludf.DUMMYFUNCTION("""COMPUTED_VALUE"""),"rhone")</f>
        <v>rhone</v>
      </c>
      <c r="D2180" s="9" t="str">
        <f>IFERROR(__xludf.DUMMYFUNCTION("""COMPUTED_VALUE"""),"E. Guigal, Cote Rotie, La Mouline")</f>
        <v>E. Guigal, Cote Rotie, La Mouline</v>
      </c>
      <c r="E2180" s="9">
        <f>IFERROR(__xludf.DUMMYFUNCTION("""COMPUTED_VALUE"""),2017.0)</f>
        <v>2017</v>
      </c>
      <c r="F2180" s="9">
        <f>IFERROR(__xludf.DUMMYFUNCTION("""COMPUTED_VALUE"""),750.0)</f>
        <v>750</v>
      </c>
      <c r="G2180" s="9">
        <f>IFERROR(__xludf.DUMMYFUNCTION("""COMPUTED_VALUE"""),3.0)</f>
        <v>3</v>
      </c>
      <c r="H2180" s="10">
        <f>IFERROR(__xludf.DUMMYFUNCTION("""COMPUTED_VALUE"""),2.0)</f>
        <v>2</v>
      </c>
      <c r="I2180" s="11">
        <f>IFERROR(__xludf.DUMMYFUNCTION("""COMPUTED_VALUE"""),698.0)</f>
        <v>698</v>
      </c>
      <c r="J2180" s="9" t="str">
        <f>IFERROR(__xludf.DUMMYFUNCTION("""COMPUTED_VALUE"""),"UK")</f>
        <v>UK</v>
      </c>
      <c r="K2180" s="8"/>
      <c r="L2180" s="12"/>
      <c r="M2180" s="13"/>
      <c r="N2180" s="13" t="str">
        <f>IFERROR(__xludf.DUMMYFUNCTION("IF(ISBLANK(M2180),"""",M2180*GOOGLEFINANCE(""USDGBP""))"),"")</f>
        <v/>
      </c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  <c r="FG2180" s="8"/>
      <c r="FH2180" s="8"/>
      <c r="FI2180" s="8"/>
      <c r="FJ2180" s="8"/>
      <c r="FK2180" s="8"/>
      <c r="FL2180" s="8"/>
      <c r="FM2180" s="8"/>
      <c r="FN2180" s="8"/>
      <c r="FO2180" s="8"/>
      <c r="FP2180" s="8"/>
      <c r="FQ2180" s="8"/>
      <c r="FR2180" s="8"/>
      <c r="FS2180" s="8"/>
      <c r="FT2180" s="8"/>
      <c r="FU2180" s="8"/>
      <c r="FV2180" s="8"/>
      <c r="FW2180" s="8"/>
      <c r="FX2180" s="8"/>
      <c r="FY2180" s="8"/>
      <c r="FZ2180" s="8"/>
      <c r="GA2180" s="8"/>
      <c r="GB2180" s="8"/>
      <c r="GC2180" s="8"/>
      <c r="GD2180" s="8"/>
      <c r="GE2180" s="8"/>
      <c r="GF2180" s="8"/>
      <c r="GG2180" s="8"/>
      <c r="GH2180" s="8"/>
      <c r="GI2180" s="8"/>
      <c r="GJ2180" s="8"/>
      <c r="GK2180" s="8"/>
      <c r="GL2180" s="8"/>
      <c r="GM2180" s="8"/>
      <c r="GN2180" s="8"/>
      <c r="GO2180" s="8"/>
      <c r="GP2180" s="8"/>
      <c r="GQ2180" s="8"/>
      <c r="GR2180" s="8"/>
      <c r="GS2180" s="8"/>
      <c r="GT2180" s="8"/>
      <c r="GU2180" s="8"/>
      <c r="GV2180" s="8"/>
      <c r="GW2180" s="8"/>
      <c r="GX2180" s="8"/>
    </row>
    <row r="2181">
      <c r="A2181" s="8" t="str">
        <f>IFERROR(__xludf.DUMMYFUNCTION("""COMPUTED_VALUE"""),"111320220181200750")</f>
        <v>111320220181200750</v>
      </c>
      <c r="B2181" s="9" t="str">
        <f>IFERROR(__xludf.DUMMYFUNCTION("""COMPUTED_VALUE"""),"France")</f>
        <v>France</v>
      </c>
      <c r="C2181" s="9" t="str">
        <f>IFERROR(__xludf.DUMMYFUNCTION("""COMPUTED_VALUE"""),"rhone")</f>
        <v>rhone</v>
      </c>
      <c r="D2181" s="9" t="str">
        <f>IFERROR(__xludf.DUMMYFUNCTION("""COMPUTED_VALUE"""),"E. Guigal, Cote Rotie, La Mouline")</f>
        <v>E. Guigal, Cote Rotie, La Mouline</v>
      </c>
      <c r="E2181" s="9">
        <f>IFERROR(__xludf.DUMMYFUNCTION("""COMPUTED_VALUE"""),2018.0)</f>
        <v>2018</v>
      </c>
      <c r="F2181" s="9">
        <f>IFERROR(__xludf.DUMMYFUNCTION("""COMPUTED_VALUE"""),750.0)</f>
        <v>750</v>
      </c>
      <c r="G2181" s="9">
        <f>IFERROR(__xludf.DUMMYFUNCTION("""COMPUTED_VALUE"""),12.0)</f>
        <v>12</v>
      </c>
      <c r="H2181" s="10">
        <f>IFERROR(__xludf.DUMMYFUNCTION("""COMPUTED_VALUE"""),1.0)</f>
        <v>1</v>
      </c>
      <c r="I2181" s="11">
        <f>IFERROR(__xludf.DUMMYFUNCTION("""COMPUTED_VALUE"""),3202.0)</f>
        <v>3202</v>
      </c>
      <c r="J2181" s="9" t="str">
        <f>IFERROR(__xludf.DUMMYFUNCTION("""COMPUTED_VALUE"""),"UK")</f>
        <v>UK</v>
      </c>
      <c r="K2181" s="8"/>
      <c r="L2181" s="12"/>
      <c r="M2181" s="13"/>
      <c r="N2181" s="13" t="str">
        <f>IFERROR(__xludf.DUMMYFUNCTION("IF(ISBLANK(M2181),"""",M2181*GOOGLEFINANCE(""USDGBP""))"),"")</f>
        <v/>
      </c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  <c r="FG2181" s="8"/>
      <c r="FH2181" s="8"/>
      <c r="FI2181" s="8"/>
      <c r="FJ2181" s="8"/>
      <c r="FK2181" s="8"/>
      <c r="FL2181" s="8"/>
      <c r="FM2181" s="8"/>
      <c r="FN2181" s="8"/>
      <c r="FO2181" s="8"/>
      <c r="FP2181" s="8"/>
      <c r="FQ2181" s="8"/>
      <c r="FR2181" s="8"/>
      <c r="FS2181" s="8"/>
      <c r="FT2181" s="8"/>
      <c r="FU2181" s="8"/>
      <c r="FV2181" s="8"/>
      <c r="FW2181" s="8"/>
      <c r="FX2181" s="8"/>
      <c r="FY2181" s="8"/>
      <c r="FZ2181" s="8"/>
      <c r="GA2181" s="8"/>
      <c r="GB2181" s="8"/>
      <c r="GC2181" s="8"/>
      <c r="GD2181" s="8"/>
      <c r="GE2181" s="8"/>
      <c r="GF2181" s="8"/>
      <c r="GG2181" s="8"/>
      <c r="GH2181" s="8"/>
      <c r="GI2181" s="8"/>
      <c r="GJ2181" s="8"/>
      <c r="GK2181" s="8"/>
      <c r="GL2181" s="8"/>
      <c r="GM2181" s="8"/>
      <c r="GN2181" s="8"/>
      <c r="GO2181" s="8"/>
      <c r="GP2181" s="8"/>
      <c r="GQ2181" s="8"/>
      <c r="GR2181" s="8"/>
      <c r="GS2181" s="8"/>
      <c r="GT2181" s="8"/>
      <c r="GU2181" s="8"/>
      <c r="GV2181" s="8"/>
      <c r="GW2181" s="8"/>
      <c r="GX2181" s="8"/>
    </row>
    <row r="2182">
      <c r="A2182" s="8" t="str">
        <f>IFERROR(__xludf.DUMMYFUNCTION("""COMPUTED_VALUE"""),"111321520150600750")</f>
        <v>111321520150600750</v>
      </c>
      <c r="B2182" s="9" t="str">
        <f>IFERROR(__xludf.DUMMYFUNCTION("""COMPUTED_VALUE"""),"France")</f>
        <v>France</v>
      </c>
      <c r="C2182" s="9" t="str">
        <f>IFERROR(__xludf.DUMMYFUNCTION("""COMPUTED_VALUE"""),"rhone")</f>
        <v>rhone</v>
      </c>
      <c r="D2182" s="9" t="str">
        <f>IFERROR(__xludf.DUMMYFUNCTION("""COMPUTED_VALUE"""),"E. Guigal, Cote Rotie, La Turque")</f>
        <v>E. Guigal, Cote Rotie, La Turque</v>
      </c>
      <c r="E2182" s="9">
        <f>IFERROR(__xludf.DUMMYFUNCTION("""COMPUTED_VALUE"""),2015.0)</f>
        <v>2015</v>
      </c>
      <c r="F2182" s="9">
        <f>IFERROR(__xludf.DUMMYFUNCTION("""COMPUTED_VALUE"""),750.0)</f>
        <v>750</v>
      </c>
      <c r="G2182" s="9">
        <f>IFERROR(__xludf.DUMMYFUNCTION("""COMPUTED_VALUE"""),6.0)</f>
        <v>6</v>
      </c>
      <c r="H2182" s="10">
        <f>IFERROR(__xludf.DUMMYFUNCTION("""COMPUTED_VALUE"""),1.0)</f>
        <v>1</v>
      </c>
      <c r="I2182" s="11">
        <f>IFERROR(__xludf.DUMMYFUNCTION("""COMPUTED_VALUE"""),1713.0)</f>
        <v>1713</v>
      </c>
      <c r="J2182" s="9" t="str">
        <f>IFERROR(__xludf.DUMMYFUNCTION("""COMPUTED_VALUE"""),"UK")</f>
        <v>UK</v>
      </c>
      <c r="K2182" s="8"/>
      <c r="L2182" s="12"/>
      <c r="M2182" s="13"/>
      <c r="N2182" s="13" t="str">
        <f>IFERROR(__xludf.DUMMYFUNCTION("IF(ISBLANK(M2182),"""",M2182*GOOGLEFINANCE(""USDGBP""))"),"")</f>
        <v/>
      </c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  <c r="FG2182" s="8"/>
      <c r="FH2182" s="8"/>
      <c r="FI2182" s="8"/>
      <c r="FJ2182" s="8"/>
      <c r="FK2182" s="8"/>
      <c r="FL2182" s="8"/>
      <c r="FM2182" s="8"/>
      <c r="FN2182" s="8"/>
      <c r="FO2182" s="8"/>
      <c r="FP2182" s="8"/>
      <c r="FQ2182" s="8"/>
      <c r="FR2182" s="8"/>
      <c r="FS2182" s="8"/>
      <c r="FT2182" s="8"/>
      <c r="FU2182" s="8"/>
      <c r="FV2182" s="8"/>
      <c r="FW2182" s="8"/>
      <c r="FX2182" s="8"/>
      <c r="FY2182" s="8"/>
      <c r="FZ2182" s="8"/>
      <c r="GA2182" s="8"/>
      <c r="GB2182" s="8"/>
      <c r="GC2182" s="8"/>
      <c r="GD2182" s="8"/>
      <c r="GE2182" s="8"/>
      <c r="GF2182" s="8"/>
      <c r="GG2182" s="8"/>
      <c r="GH2182" s="8"/>
      <c r="GI2182" s="8"/>
      <c r="GJ2182" s="8"/>
      <c r="GK2182" s="8"/>
      <c r="GL2182" s="8"/>
      <c r="GM2182" s="8"/>
      <c r="GN2182" s="8"/>
      <c r="GO2182" s="8"/>
      <c r="GP2182" s="8"/>
      <c r="GQ2182" s="8"/>
      <c r="GR2182" s="8"/>
      <c r="GS2182" s="8"/>
      <c r="GT2182" s="8"/>
      <c r="GU2182" s="8"/>
      <c r="GV2182" s="8"/>
      <c r="GW2182" s="8"/>
      <c r="GX2182" s="8"/>
    </row>
    <row r="2183">
      <c r="A2183" s="8" t="str">
        <f>IFERROR(__xludf.DUMMYFUNCTION("""COMPUTED_VALUE"""),"111321520160600750")</f>
        <v>111321520160600750</v>
      </c>
      <c r="B2183" s="9" t="str">
        <f>IFERROR(__xludf.DUMMYFUNCTION("""COMPUTED_VALUE"""),"France")</f>
        <v>France</v>
      </c>
      <c r="C2183" s="9" t="str">
        <f>IFERROR(__xludf.DUMMYFUNCTION("""COMPUTED_VALUE"""),"rhone")</f>
        <v>rhone</v>
      </c>
      <c r="D2183" s="9" t="str">
        <f>IFERROR(__xludf.DUMMYFUNCTION("""COMPUTED_VALUE"""),"E. Guigal, Cote Rotie, La Turque")</f>
        <v>E. Guigal, Cote Rotie, La Turque</v>
      </c>
      <c r="E2183" s="9">
        <f>IFERROR(__xludf.DUMMYFUNCTION("""COMPUTED_VALUE"""),2016.0)</f>
        <v>2016</v>
      </c>
      <c r="F2183" s="9">
        <f>IFERROR(__xludf.DUMMYFUNCTION("""COMPUTED_VALUE"""),750.0)</f>
        <v>750</v>
      </c>
      <c r="G2183" s="9">
        <f>IFERROR(__xludf.DUMMYFUNCTION("""COMPUTED_VALUE"""),6.0)</f>
        <v>6</v>
      </c>
      <c r="H2183" s="10">
        <f>IFERROR(__xludf.DUMMYFUNCTION("""COMPUTED_VALUE"""),3.0)</f>
        <v>3</v>
      </c>
      <c r="I2183" s="11">
        <f>IFERROR(__xludf.DUMMYFUNCTION("""COMPUTED_VALUE"""),1382.0)</f>
        <v>1382</v>
      </c>
      <c r="J2183" s="9" t="str">
        <f>IFERROR(__xludf.DUMMYFUNCTION("""COMPUTED_VALUE"""),"UK")</f>
        <v>UK</v>
      </c>
      <c r="K2183" s="8"/>
      <c r="L2183" s="12"/>
      <c r="M2183" s="13"/>
      <c r="N2183" s="13" t="str">
        <f>IFERROR(__xludf.DUMMYFUNCTION("IF(ISBLANK(M2183),"""",M2183*GOOGLEFINANCE(""USDGBP""))"),"")</f>
        <v/>
      </c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  <c r="FG2183" s="8"/>
      <c r="FH2183" s="8"/>
      <c r="FI2183" s="8"/>
      <c r="FJ2183" s="8"/>
      <c r="FK2183" s="8"/>
      <c r="FL2183" s="8"/>
      <c r="FM2183" s="8"/>
      <c r="FN2183" s="8"/>
      <c r="FO2183" s="8"/>
      <c r="FP2183" s="8"/>
      <c r="FQ2183" s="8"/>
      <c r="FR2183" s="8"/>
      <c r="FS2183" s="8"/>
      <c r="FT2183" s="8"/>
      <c r="FU2183" s="8"/>
      <c r="FV2183" s="8"/>
      <c r="FW2183" s="8"/>
      <c r="FX2183" s="8"/>
      <c r="FY2183" s="8"/>
      <c r="FZ2183" s="8"/>
      <c r="GA2183" s="8"/>
      <c r="GB2183" s="8"/>
      <c r="GC2183" s="8"/>
      <c r="GD2183" s="8"/>
      <c r="GE2183" s="8"/>
      <c r="GF2183" s="8"/>
      <c r="GG2183" s="8"/>
      <c r="GH2183" s="8"/>
      <c r="GI2183" s="8"/>
      <c r="GJ2183" s="8"/>
      <c r="GK2183" s="8"/>
      <c r="GL2183" s="8"/>
      <c r="GM2183" s="8"/>
      <c r="GN2183" s="8"/>
      <c r="GO2183" s="8"/>
      <c r="GP2183" s="8"/>
      <c r="GQ2183" s="8"/>
      <c r="GR2183" s="8"/>
      <c r="GS2183" s="8"/>
      <c r="GT2183" s="8"/>
      <c r="GU2183" s="8"/>
      <c r="GV2183" s="8"/>
      <c r="GW2183" s="8"/>
      <c r="GX2183" s="8"/>
    </row>
    <row r="2184">
      <c r="A2184" s="8" t="str">
        <f>IFERROR(__xludf.DUMMYFUNCTION("""COMPUTED_VALUE"""),"111321520170300750")</f>
        <v>111321520170300750</v>
      </c>
      <c r="B2184" s="9" t="str">
        <f>IFERROR(__xludf.DUMMYFUNCTION("""COMPUTED_VALUE"""),"France")</f>
        <v>France</v>
      </c>
      <c r="C2184" s="9" t="str">
        <f>IFERROR(__xludf.DUMMYFUNCTION("""COMPUTED_VALUE"""),"rhone")</f>
        <v>rhone</v>
      </c>
      <c r="D2184" s="9" t="str">
        <f>IFERROR(__xludf.DUMMYFUNCTION("""COMPUTED_VALUE"""),"E. Guigal, Cote Rotie, La Turque")</f>
        <v>E. Guigal, Cote Rotie, La Turque</v>
      </c>
      <c r="E2184" s="9">
        <f>IFERROR(__xludf.DUMMYFUNCTION("""COMPUTED_VALUE"""),2017.0)</f>
        <v>2017</v>
      </c>
      <c r="F2184" s="9">
        <f>IFERROR(__xludf.DUMMYFUNCTION("""COMPUTED_VALUE"""),750.0)</f>
        <v>750</v>
      </c>
      <c r="G2184" s="9">
        <f>IFERROR(__xludf.DUMMYFUNCTION("""COMPUTED_VALUE"""),3.0)</f>
        <v>3</v>
      </c>
      <c r="H2184" s="10">
        <f>IFERROR(__xludf.DUMMYFUNCTION("""COMPUTED_VALUE"""),1.0)</f>
        <v>1</v>
      </c>
      <c r="I2184" s="11">
        <f>IFERROR(__xludf.DUMMYFUNCTION("""COMPUTED_VALUE"""),702.0)</f>
        <v>702</v>
      </c>
      <c r="J2184" s="9" t="str">
        <f>IFERROR(__xludf.DUMMYFUNCTION("""COMPUTED_VALUE"""),"UK")</f>
        <v>UK</v>
      </c>
      <c r="K2184" s="8"/>
      <c r="L2184" s="12"/>
      <c r="M2184" s="13"/>
      <c r="N2184" s="13" t="str">
        <f>IFERROR(__xludf.DUMMYFUNCTION("IF(ISBLANK(M2184),"""",M2184*GOOGLEFINANCE(""USDGBP""))"),"")</f>
        <v/>
      </c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  <c r="FG2184" s="8"/>
      <c r="FH2184" s="8"/>
      <c r="FI2184" s="8"/>
      <c r="FJ2184" s="8"/>
      <c r="FK2184" s="8"/>
      <c r="FL2184" s="8"/>
      <c r="FM2184" s="8"/>
      <c r="FN2184" s="8"/>
      <c r="FO2184" s="8"/>
      <c r="FP2184" s="8"/>
      <c r="FQ2184" s="8"/>
      <c r="FR2184" s="8"/>
      <c r="FS2184" s="8"/>
      <c r="FT2184" s="8"/>
      <c r="FU2184" s="8"/>
      <c r="FV2184" s="8"/>
      <c r="FW2184" s="8"/>
      <c r="FX2184" s="8"/>
      <c r="FY2184" s="8"/>
      <c r="FZ2184" s="8"/>
      <c r="GA2184" s="8"/>
      <c r="GB2184" s="8"/>
      <c r="GC2184" s="8"/>
      <c r="GD2184" s="8"/>
      <c r="GE2184" s="8"/>
      <c r="GF2184" s="8"/>
      <c r="GG2184" s="8"/>
      <c r="GH2184" s="8"/>
      <c r="GI2184" s="8"/>
      <c r="GJ2184" s="8"/>
      <c r="GK2184" s="8"/>
      <c r="GL2184" s="8"/>
      <c r="GM2184" s="8"/>
      <c r="GN2184" s="8"/>
      <c r="GO2184" s="8"/>
      <c r="GP2184" s="8"/>
      <c r="GQ2184" s="8"/>
      <c r="GR2184" s="8"/>
      <c r="GS2184" s="8"/>
      <c r="GT2184" s="8"/>
      <c r="GU2184" s="8"/>
      <c r="GV2184" s="8"/>
      <c r="GW2184" s="8"/>
      <c r="GX2184" s="8"/>
    </row>
    <row r="2185">
      <c r="A2185" s="8" t="str">
        <f>IFERROR(__xludf.DUMMYFUNCTION("""COMPUTED_VALUE"""),"111321520170600750")</f>
        <v>111321520170600750</v>
      </c>
      <c r="B2185" s="9" t="str">
        <f>IFERROR(__xludf.DUMMYFUNCTION("""COMPUTED_VALUE"""),"France")</f>
        <v>France</v>
      </c>
      <c r="C2185" s="9" t="str">
        <f>IFERROR(__xludf.DUMMYFUNCTION("""COMPUTED_VALUE"""),"rhone")</f>
        <v>rhone</v>
      </c>
      <c r="D2185" s="9" t="str">
        <f>IFERROR(__xludf.DUMMYFUNCTION("""COMPUTED_VALUE"""),"E. Guigal, Cote Rotie, La Turque")</f>
        <v>E. Guigal, Cote Rotie, La Turque</v>
      </c>
      <c r="E2185" s="9">
        <f>IFERROR(__xludf.DUMMYFUNCTION("""COMPUTED_VALUE"""),2017.0)</f>
        <v>2017</v>
      </c>
      <c r="F2185" s="9">
        <f>IFERROR(__xludf.DUMMYFUNCTION("""COMPUTED_VALUE"""),750.0)</f>
        <v>750</v>
      </c>
      <c r="G2185" s="9">
        <f>IFERROR(__xludf.DUMMYFUNCTION("""COMPUTED_VALUE"""),6.0)</f>
        <v>6</v>
      </c>
      <c r="H2185" s="10">
        <f>IFERROR(__xludf.DUMMYFUNCTION("""COMPUTED_VALUE"""),1.0)</f>
        <v>1</v>
      </c>
      <c r="I2185" s="11">
        <f>IFERROR(__xludf.DUMMYFUNCTION("""COMPUTED_VALUE"""),1407.0)</f>
        <v>1407</v>
      </c>
      <c r="J2185" s="9" t="str">
        <f>IFERROR(__xludf.DUMMYFUNCTION("""COMPUTED_VALUE"""),"UK")</f>
        <v>UK</v>
      </c>
      <c r="K2185" s="8"/>
      <c r="L2185" s="12"/>
      <c r="M2185" s="13"/>
      <c r="N2185" s="13" t="str">
        <f>IFERROR(__xludf.DUMMYFUNCTION("IF(ISBLANK(M2185),"""",M2185*GOOGLEFINANCE(""USDGBP""))"),"")</f>
        <v/>
      </c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  <c r="FG2185" s="8"/>
      <c r="FH2185" s="8"/>
      <c r="FI2185" s="8"/>
      <c r="FJ2185" s="8"/>
      <c r="FK2185" s="8"/>
      <c r="FL2185" s="8"/>
      <c r="FM2185" s="8"/>
      <c r="FN2185" s="8"/>
      <c r="FO2185" s="8"/>
      <c r="FP2185" s="8"/>
      <c r="FQ2185" s="8"/>
      <c r="FR2185" s="8"/>
      <c r="FS2185" s="8"/>
      <c r="FT2185" s="8"/>
      <c r="FU2185" s="8"/>
      <c r="FV2185" s="8"/>
      <c r="FW2185" s="8"/>
      <c r="FX2185" s="8"/>
      <c r="FY2185" s="8"/>
      <c r="FZ2185" s="8"/>
      <c r="GA2185" s="8"/>
      <c r="GB2185" s="8"/>
      <c r="GC2185" s="8"/>
      <c r="GD2185" s="8"/>
      <c r="GE2185" s="8"/>
      <c r="GF2185" s="8"/>
      <c r="GG2185" s="8"/>
      <c r="GH2185" s="8"/>
      <c r="GI2185" s="8"/>
      <c r="GJ2185" s="8"/>
      <c r="GK2185" s="8"/>
      <c r="GL2185" s="8"/>
      <c r="GM2185" s="8"/>
      <c r="GN2185" s="8"/>
      <c r="GO2185" s="8"/>
      <c r="GP2185" s="8"/>
      <c r="GQ2185" s="8"/>
      <c r="GR2185" s="8"/>
      <c r="GS2185" s="8"/>
      <c r="GT2185" s="8"/>
      <c r="GU2185" s="8"/>
      <c r="GV2185" s="8"/>
      <c r="GW2185" s="8"/>
      <c r="GX2185" s="8"/>
    </row>
    <row r="2186">
      <c r="A2186" s="8" t="str">
        <f>IFERROR(__xludf.DUMMYFUNCTION("""COMPUTED_VALUE"""),"111321520181200750")</f>
        <v>111321520181200750</v>
      </c>
      <c r="B2186" s="9" t="str">
        <f>IFERROR(__xludf.DUMMYFUNCTION("""COMPUTED_VALUE"""),"France")</f>
        <v>France</v>
      </c>
      <c r="C2186" s="9" t="str">
        <f>IFERROR(__xludf.DUMMYFUNCTION("""COMPUTED_VALUE"""),"rhone")</f>
        <v>rhone</v>
      </c>
      <c r="D2186" s="9" t="str">
        <f>IFERROR(__xludf.DUMMYFUNCTION("""COMPUTED_VALUE"""),"E. Guigal, Cote Rotie, La Turque")</f>
        <v>E. Guigal, Cote Rotie, La Turque</v>
      </c>
      <c r="E2186" s="9">
        <f>IFERROR(__xludf.DUMMYFUNCTION("""COMPUTED_VALUE"""),2018.0)</f>
        <v>2018</v>
      </c>
      <c r="F2186" s="9">
        <f>IFERROR(__xludf.DUMMYFUNCTION("""COMPUTED_VALUE"""),750.0)</f>
        <v>750</v>
      </c>
      <c r="G2186" s="9">
        <f>IFERROR(__xludf.DUMMYFUNCTION("""COMPUTED_VALUE"""),12.0)</f>
        <v>12</v>
      </c>
      <c r="H2186" s="10">
        <f>IFERROR(__xludf.DUMMYFUNCTION("""COMPUTED_VALUE"""),1.0)</f>
        <v>1</v>
      </c>
      <c r="I2186" s="11">
        <f>IFERROR(__xludf.DUMMYFUNCTION("""COMPUTED_VALUE"""),3056.0)</f>
        <v>3056</v>
      </c>
      <c r="J2186" s="9" t="str">
        <f>IFERROR(__xludf.DUMMYFUNCTION("""COMPUTED_VALUE"""),"UK")</f>
        <v>UK</v>
      </c>
      <c r="K2186" s="8"/>
      <c r="L2186" s="12"/>
      <c r="M2186" s="13"/>
      <c r="N2186" s="13" t="str">
        <f>IFERROR(__xludf.DUMMYFUNCTION("IF(ISBLANK(M2186),"""",M2186*GOOGLEFINANCE(""USDGBP""))"),"")</f>
        <v/>
      </c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  <c r="FG2186" s="8"/>
      <c r="FH2186" s="8"/>
      <c r="FI2186" s="8"/>
      <c r="FJ2186" s="8"/>
      <c r="FK2186" s="8"/>
      <c r="FL2186" s="8"/>
      <c r="FM2186" s="8"/>
      <c r="FN2186" s="8"/>
      <c r="FO2186" s="8"/>
      <c r="FP2186" s="8"/>
      <c r="FQ2186" s="8"/>
      <c r="FR2186" s="8"/>
      <c r="FS2186" s="8"/>
      <c r="FT2186" s="8"/>
      <c r="FU2186" s="8"/>
      <c r="FV2186" s="8"/>
      <c r="FW2186" s="8"/>
      <c r="FX2186" s="8"/>
      <c r="FY2186" s="8"/>
      <c r="FZ2186" s="8"/>
      <c r="GA2186" s="8"/>
      <c r="GB2186" s="8"/>
      <c r="GC2186" s="8"/>
      <c r="GD2186" s="8"/>
      <c r="GE2186" s="8"/>
      <c r="GF2186" s="8"/>
      <c r="GG2186" s="8"/>
      <c r="GH2186" s="8"/>
      <c r="GI2186" s="8"/>
      <c r="GJ2186" s="8"/>
      <c r="GK2186" s="8"/>
      <c r="GL2186" s="8"/>
      <c r="GM2186" s="8"/>
      <c r="GN2186" s="8"/>
      <c r="GO2186" s="8"/>
      <c r="GP2186" s="8"/>
      <c r="GQ2186" s="8"/>
      <c r="GR2186" s="8"/>
      <c r="GS2186" s="8"/>
      <c r="GT2186" s="8"/>
      <c r="GU2186" s="8"/>
      <c r="GV2186" s="8"/>
      <c r="GW2186" s="8"/>
      <c r="GX2186" s="8"/>
    </row>
    <row r="2187">
      <c r="A2187" s="8" t="str">
        <f>IFERROR(__xludf.DUMMYFUNCTION("""COMPUTED_VALUE"""),"111325720070600750")</f>
        <v>111325720070600750</v>
      </c>
      <c r="B2187" s="9" t="str">
        <f>IFERROR(__xludf.DUMMYFUNCTION("""COMPUTED_VALUE"""),"France")</f>
        <v>France</v>
      </c>
      <c r="C2187" s="9" t="str">
        <f>IFERROR(__xludf.DUMMYFUNCTION("""COMPUTED_VALUE"""),"rhone")</f>
        <v>rhone</v>
      </c>
      <c r="D2187" s="9" t="str">
        <f>IFERROR(__xludf.DUMMYFUNCTION("""COMPUTED_VALUE"""),"E. Guigal, Hermitage, Ex Voto Rouge")</f>
        <v>E. Guigal, Hermitage, Ex Voto Rouge</v>
      </c>
      <c r="E2187" s="9">
        <f>IFERROR(__xludf.DUMMYFUNCTION("""COMPUTED_VALUE"""),2007.0)</f>
        <v>2007</v>
      </c>
      <c r="F2187" s="9">
        <f>IFERROR(__xludf.DUMMYFUNCTION("""COMPUTED_VALUE"""),750.0)</f>
        <v>750</v>
      </c>
      <c r="G2187" s="9">
        <f>IFERROR(__xludf.DUMMYFUNCTION("""COMPUTED_VALUE"""),6.0)</f>
        <v>6</v>
      </c>
      <c r="H2187" s="10">
        <f>IFERROR(__xludf.DUMMYFUNCTION("""COMPUTED_VALUE"""),1.0)</f>
        <v>1</v>
      </c>
      <c r="I2187" s="11">
        <f>IFERROR(__xludf.DUMMYFUNCTION("""COMPUTED_VALUE"""),1276.0)</f>
        <v>1276</v>
      </c>
      <c r="J2187" s="9" t="str">
        <f>IFERROR(__xludf.DUMMYFUNCTION("""COMPUTED_VALUE"""),"UK")</f>
        <v>UK</v>
      </c>
      <c r="K2187" s="8"/>
      <c r="L2187" s="12"/>
      <c r="M2187" s="13"/>
      <c r="N2187" s="13" t="str">
        <f>IFERROR(__xludf.DUMMYFUNCTION("IF(ISBLANK(M2187),"""",M2187*GOOGLEFINANCE(""USDGBP""))"),"")</f>
        <v/>
      </c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  <c r="FG2187" s="8"/>
      <c r="FH2187" s="8"/>
      <c r="FI2187" s="8"/>
      <c r="FJ2187" s="8"/>
      <c r="FK2187" s="8"/>
      <c r="FL2187" s="8"/>
      <c r="FM2187" s="8"/>
      <c r="FN2187" s="8"/>
      <c r="FO2187" s="8"/>
      <c r="FP2187" s="8"/>
      <c r="FQ2187" s="8"/>
      <c r="FR2187" s="8"/>
      <c r="FS2187" s="8"/>
      <c r="FT2187" s="8"/>
      <c r="FU2187" s="8"/>
      <c r="FV2187" s="8"/>
      <c r="FW2187" s="8"/>
      <c r="FX2187" s="8"/>
      <c r="FY2187" s="8"/>
      <c r="FZ2187" s="8"/>
      <c r="GA2187" s="8"/>
      <c r="GB2187" s="8"/>
      <c r="GC2187" s="8"/>
      <c r="GD2187" s="8"/>
      <c r="GE2187" s="8"/>
      <c r="GF2187" s="8"/>
      <c r="GG2187" s="8"/>
      <c r="GH2187" s="8"/>
      <c r="GI2187" s="8"/>
      <c r="GJ2187" s="8"/>
      <c r="GK2187" s="8"/>
      <c r="GL2187" s="8"/>
      <c r="GM2187" s="8"/>
      <c r="GN2187" s="8"/>
      <c r="GO2187" s="8"/>
      <c r="GP2187" s="8"/>
      <c r="GQ2187" s="8"/>
      <c r="GR2187" s="8"/>
      <c r="GS2187" s="8"/>
      <c r="GT2187" s="8"/>
      <c r="GU2187" s="8"/>
      <c r="GV2187" s="8"/>
      <c r="GW2187" s="8"/>
      <c r="GX2187" s="8"/>
    </row>
    <row r="2188">
      <c r="A2188" s="8" t="str">
        <f>IFERROR(__xludf.DUMMYFUNCTION("""COMPUTED_VALUE"""),"111325720121200750")</f>
        <v>111325720121200750</v>
      </c>
      <c r="B2188" s="9" t="str">
        <f>IFERROR(__xludf.DUMMYFUNCTION("""COMPUTED_VALUE"""),"France")</f>
        <v>France</v>
      </c>
      <c r="C2188" s="9" t="str">
        <f>IFERROR(__xludf.DUMMYFUNCTION("""COMPUTED_VALUE"""),"rhone")</f>
        <v>rhone</v>
      </c>
      <c r="D2188" s="9" t="str">
        <f>IFERROR(__xludf.DUMMYFUNCTION("""COMPUTED_VALUE"""),"E. Guigal, Hermitage, Ex Voto Rouge")</f>
        <v>E. Guigal, Hermitage, Ex Voto Rouge</v>
      </c>
      <c r="E2188" s="9">
        <f>IFERROR(__xludf.DUMMYFUNCTION("""COMPUTED_VALUE"""),2012.0)</f>
        <v>2012</v>
      </c>
      <c r="F2188" s="9">
        <f>IFERROR(__xludf.DUMMYFUNCTION("""COMPUTED_VALUE"""),750.0)</f>
        <v>750</v>
      </c>
      <c r="G2188" s="9">
        <f>IFERROR(__xludf.DUMMYFUNCTION("""COMPUTED_VALUE"""),12.0)</f>
        <v>12</v>
      </c>
      <c r="H2188" s="10">
        <f>IFERROR(__xludf.DUMMYFUNCTION("""COMPUTED_VALUE"""),2.0)</f>
        <v>2</v>
      </c>
      <c r="I2188" s="11">
        <f>IFERROR(__xludf.DUMMYFUNCTION("""COMPUTED_VALUE"""),2071.0)</f>
        <v>2071</v>
      </c>
      <c r="J2188" s="9" t="str">
        <f>IFERROR(__xludf.DUMMYFUNCTION("""COMPUTED_VALUE"""),"UK")</f>
        <v>UK</v>
      </c>
      <c r="K2188" s="8"/>
      <c r="L2188" s="12"/>
      <c r="M2188" s="13"/>
      <c r="N2188" s="13" t="str">
        <f>IFERROR(__xludf.DUMMYFUNCTION("IF(ISBLANK(M2188),"""",M2188*GOOGLEFINANCE(""USDGBP""))"),"")</f>
        <v/>
      </c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  <c r="FG2188" s="8"/>
      <c r="FH2188" s="8"/>
      <c r="FI2188" s="8"/>
      <c r="FJ2188" s="8"/>
      <c r="FK2188" s="8"/>
      <c r="FL2188" s="8"/>
      <c r="FM2188" s="8"/>
      <c r="FN2188" s="8"/>
      <c r="FO2188" s="8"/>
      <c r="FP2188" s="8"/>
      <c r="FQ2188" s="8"/>
      <c r="FR2188" s="8"/>
      <c r="FS2188" s="8"/>
      <c r="FT2188" s="8"/>
      <c r="FU2188" s="8"/>
      <c r="FV2188" s="8"/>
      <c r="FW2188" s="8"/>
      <c r="FX2188" s="8"/>
      <c r="FY2188" s="8"/>
      <c r="FZ2188" s="8"/>
      <c r="GA2188" s="8"/>
      <c r="GB2188" s="8"/>
      <c r="GC2188" s="8"/>
      <c r="GD2188" s="8"/>
      <c r="GE2188" s="8"/>
      <c r="GF2188" s="8"/>
      <c r="GG2188" s="8"/>
      <c r="GH2188" s="8"/>
      <c r="GI2188" s="8"/>
      <c r="GJ2188" s="8"/>
      <c r="GK2188" s="8"/>
      <c r="GL2188" s="8"/>
      <c r="GM2188" s="8"/>
      <c r="GN2188" s="8"/>
      <c r="GO2188" s="8"/>
      <c r="GP2188" s="8"/>
      <c r="GQ2188" s="8"/>
      <c r="GR2188" s="8"/>
      <c r="GS2188" s="8"/>
      <c r="GT2188" s="8"/>
      <c r="GU2188" s="8"/>
      <c r="GV2188" s="8"/>
      <c r="GW2188" s="8"/>
      <c r="GX2188" s="8"/>
    </row>
    <row r="2189">
      <c r="A2189" s="8" t="str">
        <f>IFERROR(__xludf.DUMMYFUNCTION("""COMPUTED_VALUE"""),"111325720120300750")</f>
        <v>111325720120300750</v>
      </c>
      <c r="B2189" s="9" t="str">
        <f>IFERROR(__xludf.DUMMYFUNCTION("""COMPUTED_VALUE"""),"France")</f>
        <v>France</v>
      </c>
      <c r="C2189" s="9" t="str">
        <f>IFERROR(__xludf.DUMMYFUNCTION("""COMPUTED_VALUE"""),"rhone")</f>
        <v>rhone</v>
      </c>
      <c r="D2189" s="9" t="str">
        <f>IFERROR(__xludf.DUMMYFUNCTION("""COMPUTED_VALUE"""),"E. Guigal, Hermitage, Ex Voto Rouge")</f>
        <v>E. Guigal, Hermitage, Ex Voto Rouge</v>
      </c>
      <c r="E2189" s="9">
        <f>IFERROR(__xludf.DUMMYFUNCTION("""COMPUTED_VALUE"""),2012.0)</f>
        <v>2012</v>
      </c>
      <c r="F2189" s="9">
        <f>IFERROR(__xludf.DUMMYFUNCTION("""COMPUTED_VALUE"""),750.0)</f>
        <v>750</v>
      </c>
      <c r="G2189" s="9">
        <f>IFERROR(__xludf.DUMMYFUNCTION("""COMPUTED_VALUE"""),3.0)</f>
        <v>3</v>
      </c>
      <c r="H2189" s="10">
        <f>IFERROR(__xludf.DUMMYFUNCTION("""COMPUTED_VALUE"""),2.0)</f>
        <v>2</v>
      </c>
      <c r="I2189" s="11">
        <f>IFERROR(__xludf.DUMMYFUNCTION("""COMPUTED_VALUE"""),518.0)</f>
        <v>518</v>
      </c>
      <c r="J2189" s="9" t="str">
        <f>IFERROR(__xludf.DUMMYFUNCTION("""COMPUTED_VALUE"""),"UK")</f>
        <v>UK</v>
      </c>
      <c r="K2189" s="8"/>
      <c r="L2189" s="12"/>
      <c r="M2189" s="13"/>
      <c r="N2189" s="13" t="str">
        <f>IFERROR(__xludf.DUMMYFUNCTION("IF(ISBLANK(M2189),"""",M2189*GOOGLEFINANCE(""USDGBP""))"),"")</f>
        <v/>
      </c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  <c r="FG2189" s="8"/>
      <c r="FH2189" s="8"/>
      <c r="FI2189" s="8"/>
      <c r="FJ2189" s="8"/>
      <c r="FK2189" s="8"/>
      <c r="FL2189" s="8"/>
      <c r="FM2189" s="8"/>
      <c r="FN2189" s="8"/>
      <c r="FO2189" s="8"/>
      <c r="FP2189" s="8"/>
      <c r="FQ2189" s="8"/>
      <c r="FR2189" s="8"/>
      <c r="FS2189" s="8"/>
      <c r="FT2189" s="8"/>
      <c r="FU2189" s="8"/>
      <c r="FV2189" s="8"/>
      <c r="FW2189" s="8"/>
      <c r="FX2189" s="8"/>
      <c r="FY2189" s="8"/>
      <c r="FZ2189" s="8"/>
      <c r="GA2189" s="8"/>
      <c r="GB2189" s="8"/>
      <c r="GC2189" s="8"/>
      <c r="GD2189" s="8"/>
      <c r="GE2189" s="8"/>
      <c r="GF2189" s="8"/>
      <c r="GG2189" s="8"/>
      <c r="GH2189" s="8"/>
      <c r="GI2189" s="8"/>
      <c r="GJ2189" s="8"/>
      <c r="GK2189" s="8"/>
      <c r="GL2189" s="8"/>
      <c r="GM2189" s="8"/>
      <c r="GN2189" s="8"/>
      <c r="GO2189" s="8"/>
      <c r="GP2189" s="8"/>
      <c r="GQ2189" s="8"/>
      <c r="GR2189" s="8"/>
      <c r="GS2189" s="8"/>
      <c r="GT2189" s="8"/>
      <c r="GU2189" s="8"/>
      <c r="GV2189" s="8"/>
      <c r="GW2189" s="8"/>
      <c r="GX2189" s="8"/>
    </row>
    <row r="2190">
      <c r="A2190" s="8" t="str">
        <f>IFERROR(__xludf.DUMMYFUNCTION("""COMPUTED_VALUE"""),"111325720130600750")</f>
        <v>111325720130600750</v>
      </c>
      <c r="B2190" s="9" t="str">
        <f>IFERROR(__xludf.DUMMYFUNCTION("""COMPUTED_VALUE"""),"France")</f>
        <v>France</v>
      </c>
      <c r="C2190" s="9" t="str">
        <f>IFERROR(__xludf.DUMMYFUNCTION("""COMPUTED_VALUE"""),"rhone")</f>
        <v>rhone</v>
      </c>
      <c r="D2190" s="9" t="str">
        <f>IFERROR(__xludf.DUMMYFUNCTION("""COMPUTED_VALUE"""),"E. Guigal, Hermitage, Ex Voto Rouge")</f>
        <v>E. Guigal, Hermitage, Ex Voto Rouge</v>
      </c>
      <c r="E2190" s="9">
        <f>IFERROR(__xludf.DUMMYFUNCTION("""COMPUTED_VALUE"""),2013.0)</f>
        <v>2013</v>
      </c>
      <c r="F2190" s="9">
        <f>IFERROR(__xludf.DUMMYFUNCTION("""COMPUTED_VALUE"""),750.0)</f>
        <v>750</v>
      </c>
      <c r="G2190" s="9">
        <f>IFERROR(__xludf.DUMMYFUNCTION("""COMPUTED_VALUE"""),6.0)</f>
        <v>6</v>
      </c>
      <c r="H2190" s="10">
        <f>IFERROR(__xludf.DUMMYFUNCTION("""COMPUTED_VALUE"""),1.0)</f>
        <v>1</v>
      </c>
      <c r="I2190" s="11">
        <f>IFERROR(__xludf.DUMMYFUNCTION("""COMPUTED_VALUE"""),1063.0)</f>
        <v>1063</v>
      </c>
      <c r="J2190" s="9" t="str">
        <f>IFERROR(__xludf.DUMMYFUNCTION("""COMPUTED_VALUE"""),"UK")</f>
        <v>UK</v>
      </c>
      <c r="K2190" s="8"/>
      <c r="L2190" s="12"/>
      <c r="M2190" s="13"/>
      <c r="N2190" s="13" t="str">
        <f>IFERROR(__xludf.DUMMYFUNCTION("IF(ISBLANK(M2190),"""",M2190*GOOGLEFINANCE(""USDGBP""))"),"")</f>
        <v/>
      </c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  <c r="FG2190" s="8"/>
      <c r="FH2190" s="8"/>
      <c r="FI2190" s="8"/>
      <c r="FJ2190" s="8"/>
      <c r="FK2190" s="8"/>
      <c r="FL2190" s="8"/>
      <c r="FM2190" s="8"/>
      <c r="FN2190" s="8"/>
      <c r="FO2190" s="8"/>
      <c r="FP2190" s="8"/>
      <c r="FQ2190" s="8"/>
      <c r="FR2190" s="8"/>
      <c r="FS2190" s="8"/>
      <c r="FT2190" s="8"/>
      <c r="FU2190" s="8"/>
      <c r="FV2190" s="8"/>
      <c r="FW2190" s="8"/>
      <c r="FX2190" s="8"/>
      <c r="FY2190" s="8"/>
      <c r="FZ2190" s="8"/>
      <c r="GA2190" s="8"/>
      <c r="GB2190" s="8"/>
      <c r="GC2190" s="8"/>
      <c r="GD2190" s="8"/>
      <c r="GE2190" s="8"/>
      <c r="GF2190" s="8"/>
      <c r="GG2190" s="8"/>
      <c r="GH2190" s="8"/>
      <c r="GI2190" s="8"/>
      <c r="GJ2190" s="8"/>
      <c r="GK2190" s="8"/>
      <c r="GL2190" s="8"/>
      <c r="GM2190" s="8"/>
      <c r="GN2190" s="8"/>
      <c r="GO2190" s="8"/>
      <c r="GP2190" s="8"/>
      <c r="GQ2190" s="8"/>
      <c r="GR2190" s="8"/>
      <c r="GS2190" s="8"/>
      <c r="GT2190" s="8"/>
      <c r="GU2190" s="8"/>
      <c r="GV2190" s="8"/>
      <c r="GW2190" s="8"/>
      <c r="GX2190" s="8"/>
    </row>
    <row r="2191">
      <c r="A2191" s="8" t="str">
        <f>IFERROR(__xludf.DUMMYFUNCTION("""COMPUTED_VALUE"""),"111325720150300750")</f>
        <v>111325720150300750</v>
      </c>
      <c r="B2191" s="9" t="str">
        <f>IFERROR(__xludf.DUMMYFUNCTION("""COMPUTED_VALUE"""),"France")</f>
        <v>France</v>
      </c>
      <c r="C2191" s="9" t="str">
        <f>IFERROR(__xludf.DUMMYFUNCTION("""COMPUTED_VALUE"""),"rhone")</f>
        <v>rhone</v>
      </c>
      <c r="D2191" s="9" t="str">
        <f>IFERROR(__xludf.DUMMYFUNCTION("""COMPUTED_VALUE"""),"E. Guigal, Hermitage, Ex Voto Rouge")</f>
        <v>E. Guigal, Hermitage, Ex Voto Rouge</v>
      </c>
      <c r="E2191" s="9">
        <f>IFERROR(__xludf.DUMMYFUNCTION("""COMPUTED_VALUE"""),2015.0)</f>
        <v>2015</v>
      </c>
      <c r="F2191" s="9">
        <f>IFERROR(__xludf.DUMMYFUNCTION("""COMPUTED_VALUE"""),750.0)</f>
        <v>750</v>
      </c>
      <c r="G2191" s="9">
        <f>IFERROR(__xludf.DUMMYFUNCTION("""COMPUTED_VALUE"""),3.0)</f>
        <v>3</v>
      </c>
      <c r="H2191" s="10">
        <f>IFERROR(__xludf.DUMMYFUNCTION("""COMPUTED_VALUE"""),2.0)</f>
        <v>2</v>
      </c>
      <c r="I2191" s="11">
        <f>IFERROR(__xludf.DUMMYFUNCTION("""COMPUTED_VALUE"""),560.0)</f>
        <v>560</v>
      </c>
      <c r="J2191" s="9" t="str">
        <f>IFERROR(__xludf.DUMMYFUNCTION("""COMPUTED_VALUE"""),"UK")</f>
        <v>UK</v>
      </c>
      <c r="K2191" s="8"/>
      <c r="L2191" s="12"/>
      <c r="M2191" s="13"/>
      <c r="N2191" s="13" t="str">
        <f>IFERROR(__xludf.DUMMYFUNCTION("IF(ISBLANK(M2191),"""",M2191*GOOGLEFINANCE(""USDGBP""))"),"")</f>
        <v/>
      </c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  <c r="FG2191" s="8"/>
      <c r="FH2191" s="8"/>
      <c r="FI2191" s="8"/>
      <c r="FJ2191" s="8"/>
      <c r="FK2191" s="8"/>
      <c r="FL2191" s="8"/>
      <c r="FM2191" s="8"/>
      <c r="FN2191" s="8"/>
      <c r="FO2191" s="8"/>
      <c r="FP2191" s="8"/>
      <c r="FQ2191" s="8"/>
      <c r="FR2191" s="8"/>
      <c r="FS2191" s="8"/>
      <c r="FT2191" s="8"/>
      <c r="FU2191" s="8"/>
      <c r="FV2191" s="8"/>
      <c r="FW2191" s="8"/>
      <c r="FX2191" s="8"/>
      <c r="FY2191" s="8"/>
      <c r="FZ2191" s="8"/>
      <c r="GA2191" s="8"/>
      <c r="GB2191" s="8"/>
      <c r="GC2191" s="8"/>
      <c r="GD2191" s="8"/>
      <c r="GE2191" s="8"/>
      <c r="GF2191" s="8"/>
      <c r="GG2191" s="8"/>
      <c r="GH2191" s="8"/>
      <c r="GI2191" s="8"/>
      <c r="GJ2191" s="8"/>
      <c r="GK2191" s="8"/>
      <c r="GL2191" s="8"/>
      <c r="GM2191" s="8"/>
      <c r="GN2191" s="8"/>
      <c r="GO2191" s="8"/>
      <c r="GP2191" s="8"/>
      <c r="GQ2191" s="8"/>
      <c r="GR2191" s="8"/>
      <c r="GS2191" s="8"/>
      <c r="GT2191" s="8"/>
      <c r="GU2191" s="8"/>
      <c r="GV2191" s="8"/>
      <c r="GW2191" s="8"/>
      <c r="GX2191" s="8"/>
    </row>
    <row r="2192">
      <c r="A2192" s="8" t="str">
        <f>IFERROR(__xludf.DUMMYFUNCTION("""COMPUTED_VALUE"""),"111325720150600750")</f>
        <v>111325720150600750</v>
      </c>
      <c r="B2192" s="9" t="str">
        <f>IFERROR(__xludf.DUMMYFUNCTION("""COMPUTED_VALUE"""),"France")</f>
        <v>France</v>
      </c>
      <c r="C2192" s="9" t="str">
        <f>IFERROR(__xludf.DUMMYFUNCTION("""COMPUTED_VALUE"""),"rhone")</f>
        <v>rhone</v>
      </c>
      <c r="D2192" s="9" t="str">
        <f>IFERROR(__xludf.DUMMYFUNCTION("""COMPUTED_VALUE"""),"E. Guigal, Hermitage, Ex Voto Rouge")</f>
        <v>E. Guigal, Hermitage, Ex Voto Rouge</v>
      </c>
      <c r="E2192" s="9">
        <f>IFERROR(__xludf.DUMMYFUNCTION("""COMPUTED_VALUE"""),2015.0)</f>
        <v>2015</v>
      </c>
      <c r="F2192" s="9">
        <f>IFERROR(__xludf.DUMMYFUNCTION("""COMPUTED_VALUE"""),750.0)</f>
        <v>750</v>
      </c>
      <c r="G2192" s="9">
        <f>IFERROR(__xludf.DUMMYFUNCTION("""COMPUTED_VALUE"""),6.0)</f>
        <v>6</v>
      </c>
      <c r="H2192" s="10">
        <f>IFERROR(__xludf.DUMMYFUNCTION("""COMPUTED_VALUE"""),1.0)</f>
        <v>1</v>
      </c>
      <c r="I2192" s="11">
        <f>IFERROR(__xludf.DUMMYFUNCTION("""COMPUTED_VALUE"""),1119.0)</f>
        <v>1119</v>
      </c>
      <c r="J2192" s="9" t="str">
        <f>IFERROR(__xludf.DUMMYFUNCTION("""COMPUTED_VALUE"""),"UK")</f>
        <v>UK</v>
      </c>
      <c r="K2192" s="8"/>
      <c r="L2192" s="12"/>
      <c r="M2192" s="13"/>
      <c r="N2192" s="13" t="str">
        <f>IFERROR(__xludf.DUMMYFUNCTION("IF(ISBLANK(M2192),"""",M2192*GOOGLEFINANCE(""USDGBP""))"),"")</f>
        <v/>
      </c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  <c r="FG2192" s="8"/>
      <c r="FH2192" s="8"/>
      <c r="FI2192" s="8"/>
      <c r="FJ2192" s="8"/>
      <c r="FK2192" s="8"/>
      <c r="FL2192" s="8"/>
      <c r="FM2192" s="8"/>
      <c r="FN2192" s="8"/>
      <c r="FO2192" s="8"/>
      <c r="FP2192" s="8"/>
      <c r="FQ2192" s="8"/>
      <c r="FR2192" s="8"/>
      <c r="FS2192" s="8"/>
      <c r="FT2192" s="8"/>
      <c r="FU2192" s="8"/>
      <c r="FV2192" s="8"/>
      <c r="FW2192" s="8"/>
      <c r="FX2192" s="8"/>
      <c r="FY2192" s="8"/>
      <c r="FZ2192" s="8"/>
      <c r="GA2192" s="8"/>
      <c r="GB2192" s="8"/>
      <c r="GC2192" s="8"/>
      <c r="GD2192" s="8"/>
      <c r="GE2192" s="8"/>
      <c r="GF2192" s="8"/>
      <c r="GG2192" s="8"/>
      <c r="GH2192" s="8"/>
      <c r="GI2192" s="8"/>
      <c r="GJ2192" s="8"/>
      <c r="GK2192" s="8"/>
      <c r="GL2192" s="8"/>
      <c r="GM2192" s="8"/>
      <c r="GN2192" s="8"/>
      <c r="GO2192" s="8"/>
      <c r="GP2192" s="8"/>
      <c r="GQ2192" s="8"/>
      <c r="GR2192" s="8"/>
      <c r="GS2192" s="8"/>
      <c r="GT2192" s="8"/>
      <c r="GU2192" s="8"/>
      <c r="GV2192" s="8"/>
      <c r="GW2192" s="8"/>
      <c r="GX2192" s="8"/>
    </row>
    <row r="2193">
      <c r="A2193" s="8" t="str">
        <f>IFERROR(__xludf.DUMMYFUNCTION("""COMPUTED_VALUE"""),"111325720151200750")</f>
        <v>111325720151200750</v>
      </c>
      <c r="B2193" s="9" t="str">
        <f>IFERROR(__xludf.DUMMYFUNCTION("""COMPUTED_VALUE"""),"France")</f>
        <v>France</v>
      </c>
      <c r="C2193" s="9" t="str">
        <f>IFERROR(__xludf.DUMMYFUNCTION("""COMPUTED_VALUE"""),"rhone")</f>
        <v>rhone</v>
      </c>
      <c r="D2193" s="9" t="str">
        <f>IFERROR(__xludf.DUMMYFUNCTION("""COMPUTED_VALUE"""),"E. Guigal, Hermitage, Ex Voto Rouge")</f>
        <v>E. Guigal, Hermitage, Ex Voto Rouge</v>
      </c>
      <c r="E2193" s="9">
        <f>IFERROR(__xludf.DUMMYFUNCTION("""COMPUTED_VALUE"""),2015.0)</f>
        <v>2015</v>
      </c>
      <c r="F2193" s="9">
        <f>IFERROR(__xludf.DUMMYFUNCTION("""COMPUTED_VALUE"""),750.0)</f>
        <v>750</v>
      </c>
      <c r="G2193" s="9">
        <f>IFERROR(__xludf.DUMMYFUNCTION("""COMPUTED_VALUE"""),12.0)</f>
        <v>12</v>
      </c>
      <c r="H2193" s="10">
        <f>IFERROR(__xludf.DUMMYFUNCTION("""COMPUTED_VALUE"""),3.0)</f>
        <v>3</v>
      </c>
      <c r="I2193" s="11">
        <f>IFERROR(__xludf.DUMMYFUNCTION("""COMPUTED_VALUE"""),2239.0)</f>
        <v>2239</v>
      </c>
      <c r="J2193" s="9" t="str">
        <f>IFERROR(__xludf.DUMMYFUNCTION("""COMPUTED_VALUE"""),"UK")</f>
        <v>UK</v>
      </c>
      <c r="K2193" s="8"/>
      <c r="L2193" s="12"/>
      <c r="M2193" s="13"/>
      <c r="N2193" s="13" t="str">
        <f>IFERROR(__xludf.DUMMYFUNCTION("IF(ISBLANK(M2193),"""",M2193*GOOGLEFINANCE(""USDGBP""))"),"")</f>
        <v/>
      </c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  <c r="FG2193" s="8"/>
      <c r="FH2193" s="8"/>
      <c r="FI2193" s="8"/>
      <c r="FJ2193" s="8"/>
      <c r="FK2193" s="8"/>
      <c r="FL2193" s="8"/>
      <c r="FM2193" s="8"/>
      <c r="FN2193" s="8"/>
      <c r="FO2193" s="8"/>
      <c r="FP2193" s="8"/>
      <c r="FQ2193" s="8"/>
      <c r="FR2193" s="8"/>
      <c r="FS2193" s="8"/>
      <c r="FT2193" s="8"/>
      <c r="FU2193" s="8"/>
      <c r="FV2193" s="8"/>
      <c r="FW2193" s="8"/>
      <c r="FX2193" s="8"/>
      <c r="FY2193" s="8"/>
      <c r="FZ2193" s="8"/>
      <c r="GA2193" s="8"/>
      <c r="GB2193" s="8"/>
      <c r="GC2193" s="8"/>
      <c r="GD2193" s="8"/>
      <c r="GE2193" s="8"/>
      <c r="GF2193" s="8"/>
      <c r="GG2193" s="8"/>
      <c r="GH2193" s="8"/>
      <c r="GI2193" s="8"/>
      <c r="GJ2193" s="8"/>
      <c r="GK2193" s="8"/>
      <c r="GL2193" s="8"/>
      <c r="GM2193" s="8"/>
      <c r="GN2193" s="8"/>
      <c r="GO2193" s="8"/>
      <c r="GP2193" s="8"/>
      <c r="GQ2193" s="8"/>
      <c r="GR2193" s="8"/>
      <c r="GS2193" s="8"/>
      <c r="GT2193" s="8"/>
      <c r="GU2193" s="8"/>
      <c r="GV2193" s="8"/>
      <c r="GW2193" s="8"/>
      <c r="GX2193" s="8"/>
    </row>
    <row r="2194">
      <c r="A2194" s="8" t="str">
        <f>IFERROR(__xludf.DUMMYFUNCTION("""COMPUTED_VALUE"""),"111325720170600750")</f>
        <v>111325720170600750</v>
      </c>
      <c r="B2194" s="9" t="str">
        <f>IFERROR(__xludf.DUMMYFUNCTION("""COMPUTED_VALUE"""),"France")</f>
        <v>France</v>
      </c>
      <c r="C2194" s="9" t="str">
        <f>IFERROR(__xludf.DUMMYFUNCTION("""COMPUTED_VALUE"""),"rhone")</f>
        <v>rhone</v>
      </c>
      <c r="D2194" s="9" t="str">
        <f>IFERROR(__xludf.DUMMYFUNCTION("""COMPUTED_VALUE"""),"E. Guigal, Hermitage, Ex Voto Rouge")</f>
        <v>E. Guigal, Hermitage, Ex Voto Rouge</v>
      </c>
      <c r="E2194" s="9">
        <f>IFERROR(__xludf.DUMMYFUNCTION("""COMPUTED_VALUE"""),2017.0)</f>
        <v>2017</v>
      </c>
      <c r="F2194" s="9">
        <f>IFERROR(__xludf.DUMMYFUNCTION("""COMPUTED_VALUE"""),750.0)</f>
        <v>750</v>
      </c>
      <c r="G2194" s="9">
        <f>IFERROR(__xludf.DUMMYFUNCTION("""COMPUTED_VALUE"""),6.0)</f>
        <v>6</v>
      </c>
      <c r="H2194" s="10">
        <f>IFERROR(__xludf.DUMMYFUNCTION("""COMPUTED_VALUE"""),9.0)</f>
        <v>9</v>
      </c>
      <c r="I2194" s="11">
        <f>IFERROR(__xludf.DUMMYFUNCTION("""COMPUTED_VALUE"""),1119.0)</f>
        <v>1119</v>
      </c>
      <c r="J2194" s="9" t="str">
        <f>IFERROR(__xludf.DUMMYFUNCTION("""COMPUTED_VALUE"""),"UK")</f>
        <v>UK</v>
      </c>
      <c r="K2194" s="8"/>
      <c r="L2194" s="12"/>
      <c r="M2194" s="13"/>
      <c r="N2194" s="13" t="str">
        <f>IFERROR(__xludf.DUMMYFUNCTION("IF(ISBLANK(M2194),"""",M2194*GOOGLEFINANCE(""USDGBP""))"),"")</f>
        <v/>
      </c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  <c r="FG2194" s="8"/>
      <c r="FH2194" s="8"/>
      <c r="FI2194" s="8"/>
      <c r="FJ2194" s="8"/>
      <c r="FK2194" s="8"/>
      <c r="FL2194" s="8"/>
      <c r="FM2194" s="8"/>
      <c r="FN2194" s="8"/>
      <c r="FO2194" s="8"/>
      <c r="FP2194" s="8"/>
      <c r="FQ2194" s="8"/>
      <c r="FR2194" s="8"/>
      <c r="FS2194" s="8"/>
      <c r="FT2194" s="8"/>
      <c r="FU2194" s="8"/>
      <c r="FV2194" s="8"/>
      <c r="FW2194" s="8"/>
      <c r="FX2194" s="8"/>
      <c r="FY2194" s="8"/>
      <c r="FZ2194" s="8"/>
      <c r="GA2194" s="8"/>
      <c r="GB2194" s="8"/>
      <c r="GC2194" s="8"/>
      <c r="GD2194" s="8"/>
      <c r="GE2194" s="8"/>
      <c r="GF2194" s="8"/>
      <c r="GG2194" s="8"/>
      <c r="GH2194" s="8"/>
      <c r="GI2194" s="8"/>
      <c r="GJ2194" s="8"/>
      <c r="GK2194" s="8"/>
      <c r="GL2194" s="8"/>
      <c r="GM2194" s="8"/>
      <c r="GN2194" s="8"/>
      <c r="GO2194" s="8"/>
      <c r="GP2194" s="8"/>
      <c r="GQ2194" s="8"/>
      <c r="GR2194" s="8"/>
      <c r="GS2194" s="8"/>
      <c r="GT2194" s="8"/>
      <c r="GU2194" s="8"/>
      <c r="GV2194" s="8"/>
      <c r="GW2194" s="8"/>
      <c r="GX2194" s="8"/>
    </row>
    <row r="2195">
      <c r="A2195" s="8" t="str">
        <f>IFERROR(__xludf.DUMMYFUNCTION("""COMPUTED_VALUE"""),"111333220161200750")</f>
        <v>111333220161200750</v>
      </c>
      <c r="B2195" s="9" t="str">
        <f>IFERROR(__xludf.DUMMYFUNCTION("""COMPUTED_VALUE"""),"France")</f>
        <v>France</v>
      </c>
      <c r="C2195" s="9" t="str">
        <f>IFERROR(__xludf.DUMMYFUNCTION("""COMPUTED_VALUE"""),"rhone")</f>
        <v>rhone</v>
      </c>
      <c r="D2195" s="9" t="str">
        <f>IFERROR(__xludf.DUMMYFUNCTION("""COMPUTED_VALUE"""),"E. Guigal, Saint-Joseph, Lieu-Dit Rouge")</f>
        <v>E. Guigal, Saint-Joseph, Lieu-Dit Rouge</v>
      </c>
      <c r="E2195" s="9">
        <f>IFERROR(__xludf.DUMMYFUNCTION("""COMPUTED_VALUE"""),2016.0)</f>
        <v>2016</v>
      </c>
      <c r="F2195" s="9">
        <f>IFERROR(__xludf.DUMMYFUNCTION("""COMPUTED_VALUE"""),750.0)</f>
        <v>750</v>
      </c>
      <c r="G2195" s="9">
        <f>IFERROR(__xludf.DUMMYFUNCTION("""COMPUTED_VALUE"""),12.0)</f>
        <v>12</v>
      </c>
      <c r="H2195" s="10">
        <f>IFERROR(__xludf.DUMMYFUNCTION("""COMPUTED_VALUE"""),1.0)</f>
        <v>1</v>
      </c>
      <c r="I2195" s="11">
        <f>IFERROR(__xludf.DUMMYFUNCTION("""COMPUTED_VALUE"""),578.0)</f>
        <v>578</v>
      </c>
      <c r="J2195" s="9" t="str">
        <f>IFERROR(__xludf.DUMMYFUNCTION("""COMPUTED_VALUE"""),"UK")</f>
        <v>UK</v>
      </c>
      <c r="K2195" s="8"/>
      <c r="L2195" s="12"/>
      <c r="M2195" s="13"/>
      <c r="N2195" s="13" t="str">
        <f>IFERROR(__xludf.DUMMYFUNCTION("IF(ISBLANK(M2195),"""",M2195*GOOGLEFINANCE(""USDGBP""))"),"")</f>
        <v/>
      </c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  <c r="FG2195" s="8"/>
      <c r="FH2195" s="8"/>
      <c r="FI2195" s="8"/>
      <c r="FJ2195" s="8"/>
      <c r="FK2195" s="8"/>
      <c r="FL2195" s="8"/>
      <c r="FM2195" s="8"/>
      <c r="FN2195" s="8"/>
      <c r="FO2195" s="8"/>
      <c r="FP2195" s="8"/>
      <c r="FQ2195" s="8"/>
      <c r="FR2195" s="8"/>
      <c r="FS2195" s="8"/>
      <c r="FT2195" s="8"/>
      <c r="FU2195" s="8"/>
      <c r="FV2195" s="8"/>
      <c r="FW2195" s="8"/>
      <c r="FX2195" s="8"/>
      <c r="FY2195" s="8"/>
      <c r="FZ2195" s="8"/>
      <c r="GA2195" s="8"/>
      <c r="GB2195" s="8"/>
      <c r="GC2195" s="8"/>
      <c r="GD2195" s="8"/>
      <c r="GE2195" s="8"/>
      <c r="GF2195" s="8"/>
      <c r="GG2195" s="8"/>
      <c r="GH2195" s="8"/>
      <c r="GI2195" s="8"/>
      <c r="GJ2195" s="8"/>
      <c r="GK2195" s="8"/>
      <c r="GL2195" s="8"/>
      <c r="GM2195" s="8"/>
      <c r="GN2195" s="8"/>
      <c r="GO2195" s="8"/>
      <c r="GP2195" s="8"/>
      <c r="GQ2195" s="8"/>
      <c r="GR2195" s="8"/>
      <c r="GS2195" s="8"/>
      <c r="GT2195" s="8"/>
      <c r="GU2195" s="8"/>
      <c r="GV2195" s="8"/>
      <c r="GW2195" s="8"/>
      <c r="GX2195" s="8"/>
    </row>
    <row r="2196">
      <c r="A2196" s="8" t="str">
        <f>IFERROR(__xludf.DUMMYFUNCTION("""COMPUTED_VALUE"""),"111329920150600750")</f>
        <v>111329920150600750</v>
      </c>
      <c r="B2196" s="9" t="str">
        <f>IFERROR(__xludf.DUMMYFUNCTION("""COMPUTED_VALUE"""),"France")</f>
        <v>France</v>
      </c>
      <c r="C2196" s="9" t="str">
        <f>IFERROR(__xludf.DUMMYFUNCTION("""COMPUTED_VALUE"""),"rhone")</f>
        <v>rhone</v>
      </c>
      <c r="D2196" s="9" t="str">
        <f>IFERROR(__xludf.DUMMYFUNCTION("""COMPUTED_VALUE"""),"E. Guigal, Saint-Joseph, Vignes de l'Hospice")</f>
        <v>E. Guigal, Saint-Joseph, Vignes de l'Hospice</v>
      </c>
      <c r="E2196" s="9">
        <f>IFERROR(__xludf.DUMMYFUNCTION("""COMPUTED_VALUE"""),2015.0)</f>
        <v>2015</v>
      </c>
      <c r="F2196" s="9">
        <f>IFERROR(__xludf.DUMMYFUNCTION("""COMPUTED_VALUE"""),750.0)</f>
        <v>750</v>
      </c>
      <c r="G2196" s="9">
        <f>IFERROR(__xludf.DUMMYFUNCTION("""COMPUTED_VALUE"""),6.0)</f>
        <v>6</v>
      </c>
      <c r="H2196" s="10">
        <f>IFERROR(__xludf.DUMMYFUNCTION("""COMPUTED_VALUE"""),2.0)</f>
        <v>2</v>
      </c>
      <c r="I2196" s="11">
        <f>IFERROR(__xludf.DUMMYFUNCTION("""COMPUTED_VALUE"""),1126.0)</f>
        <v>1126</v>
      </c>
      <c r="J2196" s="9" t="str">
        <f>IFERROR(__xludf.DUMMYFUNCTION("""COMPUTED_VALUE"""),"UK")</f>
        <v>UK</v>
      </c>
      <c r="K2196" s="8"/>
      <c r="L2196" s="12"/>
      <c r="M2196" s="13"/>
      <c r="N2196" s="13" t="str">
        <f>IFERROR(__xludf.DUMMYFUNCTION("IF(ISBLANK(M2196),"""",M2196*GOOGLEFINANCE(""USDGBP""))"),"")</f>
        <v/>
      </c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  <c r="FG2196" s="8"/>
      <c r="FH2196" s="8"/>
      <c r="FI2196" s="8"/>
      <c r="FJ2196" s="8"/>
      <c r="FK2196" s="8"/>
      <c r="FL2196" s="8"/>
      <c r="FM2196" s="8"/>
      <c r="FN2196" s="8"/>
      <c r="FO2196" s="8"/>
      <c r="FP2196" s="8"/>
      <c r="FQ2196" s="8"/>
      <c r="FR2196" s="8"/>
      <c r="FS2196" s="8"/>
      <c r="FT2196" s="8"/>
      <c r="FU2196" s="8"/>
      <c r="FV2196" s="8"/>
      <c r="FW2196" s="8"/>
      <c r="FX2196" s="8"/>
      <c r="FY2196" s="8"/>
      <c r="FZ2196" s="8"/>
      <c r="GA2196" s="8"/>
      <c r="GB2196" s="8"/>
      <c r="GC2196" s="8"/>
      <c r="GD2196" s="8"/>
      <c r="GE2196" s="8"/>
      <c r="GF2196" s="8"/>
      <c r="GG2196" s="8"/>
      <c r="GH2196" s="8"/>
      <c r="GI2196" s="8"/>
      <c r="GJ2196" s="8"/>
      <c r="GK2196" s="8"/>
      <c r="GL2196" s="8"/>
      <c r="GM2196" s="8"/>
      <c r="GN2196" s="8"/>
      <c r="GO2196" s="8"/>
      <c r="GP2196" s="8"/>
      <c r="GQ2196" s="8"/>
      <c r="GR2196" s="8"/>
      <c r="GS2196" s="8"/>
      <c r="GT2196" s="8"/>
      <c r="GU2196" s="8"/>
      <c r="GV2196" s="8"/>
      <c r="GW2196" s="8"/>
      <c r="GX2196" s="8"/>
    </row>
    <row r="2197">
      <c r="A2197" s="8" t="str">
        <f>IFERROR(__xludf.DUMMYFUNCTION("""COMPUTED_VALUE"""),"111329920151200750")</f>
        <v>111329920151200750</v>
      </c>
      <c r="B2197" s="9" t="str">
        <f>IFERROR(__xludf.DUMMYFUNCTION("""COMPUTED_VALUE"""),"France")</f>
        <v>France</v>
      </c>
      <c r="C2197" s="9" t="str">
        <f>IFERROR(__xludf.DUMMYFUNCTION("""COMPUTED_VALUE"""),"rhone")</f>
        <v>rhone</v>
      </c>
      <c r="D2197" s="9" t="str">
        <f>IFERROR(__xludf.DUMMYFUNCTION("""COMPUTED_VALUE"""),"E. Guigal, Saint-Joseph, Vignes de l'Hospice")</f>
        <v>E. Guigal, Saint-Joseph, Vignes de l'Hospice</v>
      </c>
      <c r="E2197" s="9">
        <f>IFERROR(__xludf.DUMMYFUNCTION("""COMPUTED_VALUE"""),2015.0)</f>
        <v>2015</v>
      </c>
      <c r="F2197" s="9">
        <f>IFERROR(__xludf.DUMMYFUNCTION("""COMPUTED_VALUE"""),750.0)</f>
        <v>750</v>
      </c>
      <c r="G2197" s="9">
        <f>IFERROR(__xludf.DUMMYFUNCTION("""COMPUTED_VALUE"""),12.0)</f>
        <v>12</v>
      </c>
      <c r="H2197" s="10">
        <f>IFERROR(__xludf.DUMMYFUNCTION("""COMPUTED_VALUE"""),1.0)</f>
        <v>1</v>
      </c>
      <c r="I2197" s="11">
        <f>IFERROR(__xludf.DUMMYFUNCTION("""COMPUTED_VALUE"""),2378.0)</f>
        <v>2378</v>
      </c>
      <c r="J2197" s="9" t="str">
        <f>IFERROR(__xludf.DUMMYFUNCTION("""COMPUTED_VALUE"""),"UK")</f>
        <v>UK</v>
      </c>
      <c r="K2197" s="8"/>
      <c r="L2197" s="12"/>
      <c r="M2197" s="13"/>
      <c r="N2197" s="13" t="str">
        <f>IFERROR(__xludf.DUMMYFUNCTION("IF(ISBLANK(M2197),"""",M2197*GOOGLEFINANCE(""USDGBP""))"),"")</f>
        <v/>
      </c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  <c r="FG2197" s="8"/>
      <c r="FH2197" s="8"/>
      <c r="FI2197" s="8"/>
      <c r="FJ2197" s="8"/>
      <c r="FK2197" s="8"/>
      <c r="FL2197" s="8"/>
      <c r="FM2197" s="8"/>
      <c r="FN2197" s="8"/>
      <c r="FO2197" s="8"/>
      <c r="FP2197" s="8"/>
      <c r="FQ2197" s="8"/>
      <c r="FR2197" s="8"/>
      <c r="FS2197" s="8"/>
      <c r="FT2197" s="8"/>
      <c r="FU2197" s="8"/>
      <c r="FV2197" s="8"/>
      <c r="FW2197" s="8"/>
      <c r="FX2197" s="8"/>
      <c r="FY2197" s="8"/>
      <c r="FZ2197" s="8"/>
      <c r="GA2197" s="8"/>
      <c r="GB2197" s="8"/>
      <c r="GC2197" s="8"/>
      <c r="GD2197" s="8"/>
      <c r="GE2197" s="8"/>
      <c r="GF2197" s="8"/>
      <c r="GG2197" s="8"/>
      <c r="GH2197" s="8"/>
      <c r="GI2197" s="8"/>
      <c r="GJ2197" s="8"/>
      <c r="GK2197" s="8"/>
      <c r="GL2197" s="8"/>
      <c r="GM2197" s="8"/>
      <c r="GN2197" s="8"/>
      <c r="GO2197" s="8"/>
      <c r="GP2197" s="8"/>
      <c r="GQ2197" s="8"/>
      <c r="GR2197" s="8"/>
      <c r="GS2197" s="8"/>
      <c r="GT2197" s="8"/>
      <c r="GU2197" s="8"/>
      <c r="GV2197" s="8"/>
      <c r="GW2197" s="8"/>
      <c r="GX2197" s="8"/>
    </row>
    <row r="2198">
      <c r="A2198" s="8" t="str">
        <f>IFERROR(__xludf.DUMMYFUNCTION("""COMPUTED_VALUE"""),"115129520181200750")</f>
        <v>115129520181200750</v>
      </c>
      <c r="B2198" s="9" t="str">
        <f>IFERROR(__xludf.DUMMYFUNCTION("""COMPUTED_VALUE"""),"France")</f>
        <v>France</v>
      </c>
      <c r="C2198" s="9" t="str">
        <f>IFERROR(__xludf.DUMMYFUNCTION("""COMPUTED_VALUE"""),"rhone")</f>
        <v>rhone</v>
      </c>
      <c r="D2198" s="9" t="str">
        <f>IFERROR(__xludf.DUMMYFUNCTION("""COMPUTED_VALUE"""),"Franck Balthazar, Cornas, Casimir")</f>
        <v>Franck Balthazar, Cornas, Casimir</v>
      </c>
      <c r="E2198" s="9">
        <f>IFERROR(__xludf.DUMMYFUNCTION("""COMPUTED_VALUE"""),2018.0)</f>
        <v>2018</v>
      </c>
      <c r="F2198" s="9">
        <f>IFERROR(__xludf.DUMMYFUNCTION("""COMPUTED_VALUE"""),750.0)</f>
        <v>750</v>
      </c>
      <c r="G2198" s="9">
        <f>IFERROR(__xludf.DUMMYFUNCTION("""COMPUTED_VALUE"""),12.0)</f>
        <v>12</v>
      </c>
      <c r="H2198" s="10">
        <f>IFERROR(__xludf.DUMMYFUNCTION("""COMPUTED_VALUE"""),1.0)</f>
        <v>1</v>
      </c>
      <c r="I2198" s="11">
        <f>IFERROR(__xludf.DUMMYFUNCTION("""COMPUTED_VALUE"""),526.0)</f>
        <v>526</v>
      </c>
      <c r="J2198" s="9" t="str">
        <f>IFERROR(__xludf.DUMMYFUNCTION("""COMPUTED_VALUE"""),"UK")</f>
        <v>UK</v>
      </c>
      <c r="K2198" s="8"/>
      <c r="L2198" s="12"/>
      <c r="M2198" s="13"/>
      <c r="N2198" s="13" t="str">
        <f>IFERROR(__xludf.DUMMYFUNCTION("IF(ISBLANK(M2198),"""",M2198*GOOGLEFINANCE(""USDGBP""))"),"")</f>
        <v/>
      </c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  <c r="FG2198" s="8"/>
      <c r="FH2198" s="8"/>
      <c r="FI2198" s="8"/>
      <c r="FJ2198" s="8"/>
      <c r="FK2198" s="8"/>
      <c r="FL2198" s="8"/>
      <c r="FM2198" s="8"/>
      <c r="FN2198" s="8"/>
      <c r="FO2198" s="8"/>
      <c r="FP2198" s="8"/>
      <c r="FQ2198" s="8"/>
      <c r="FR2198" s="8"/>
      <c r="FS2198" s="8"/>
      <c r="FT2198" s="8"/>
      <c r="FU2198" s="8"/>
      <c r="FV2198" s="8"/>
      <c r="FW2198" s="8"/>
      <c r="FX2198" s="8"/>
      <c r="FY2198" s="8"/>
      <c r="FZ2198" s="8"/>
      <c r="GA2198" s="8"/>
      <c r="GB2198" s="8"/>
      <c r="GC2198" s="8"/>
      <c r="GD2198" s="8"/>
      <c r="GE2198" s="8"/>
      <c r="GF2198" s="8"/>
      <c r="GG2198" s="8"/>
      <c r="GH2198" s="8"/>
      <c r="GI2198" s="8"/>
      <c r="GJ2198" s="8"/>
      <c r="GK2198" s="8"/>
      <c r="GL2198" s="8"/>
      <c r="GM2198" s="8"/>
      <c r="GN2198" s="8"/>
      <c r="GO2198" s="8"/>
      <c r="GP2198" s="8"/>
      <c r="GQ2198" s="8"/>
      <c r="GR2198" s="8"/>
      <c r="GS2198" s="8"/>
      <c r="GT2198" s="8"/>
      <c r="GU2198" s="8"/>
      <c r="GV2198" s="8"/>
      <c r="GW2198" s="8"/>
      <c r="GX2198" s="8"/>
    </row>
    <row r="2199">
      <c r="A2199" s="8" t="str">
        <f>IFERROR(__xludf.DUMMYFUNCTION("""COMPUTED_VALUE"""),"142625220081200750")</f>
        <v>142625220081200750</v>
      </c>
      <c r="B2199" s="9" t="str">
        <f>IFERROR(__xludf.DUMMYFUNCTION("""COMPUTED_VALUE"""),"France")</f>
        <v>France</v>
      </c>
      <c r="C2199" s="9" t="str">
        <f>IFERROR(__xludf.DUMMYFUNCTION("""COMPUTED_VALUE"""),"rhone")</f>
        <v>rhone</v>
      </c>
      <c r="D2199" s="9" t="str">
        <f>IFERROR(__xludf.DUMMYFUNCTION("""COMPUTED_VALUE"""),"Henri Bonneau, Chateauneuf-du-Pape, Reserve Celestins")</f>
        <v>Henri Bonneau, Chateauneuf-du-Pape, Reserve Celestins</v>
      </c>
      <c r="E2199" s="9">
        <f>IFERROR(__xludf.DUMMYFUNCTION("""COMPUTED_VALUE"""),2008.0)</f>
        <v>2008</v>
      </c>
      <c r="F2199" s="9">
        <f>IFERROR(__xludf.DUMMYFUNCTION("""COMPUTED_VALUE"""),750.0)</f>
        <v>750</v>
      </c>
      <c r="G2199" s="9">
        <f>IFERROR(__xludf.DUMMYFUNCTION("""COMPUTED_VALUE"""),12.0)</f>
        <v>12</v>
      </c>
      <c r="H2199" s="10">
        <f>IFERROR(__xludf.DUMMYFUNCTION("""COMPUTED_VALUE"""),1.0)</f>
        <v>1</v>
      </c>
      <c r="I2199" s="11">
        <f>IFERROR(__xludf.DUMMYFUNCTION("""COMPUTED_VALUE"""),4457.0)</f>
        <v>4457</v>
      </c>
      <c r="J2199" s="9" t="str">
        <f>IFERROR(__xludf.DUMMYFUNCTION("""COMPUTED_VALUE"""),"UK")</f>
        <v>UK</v>
      </c>
      <c r="K2199" s="8"/>
      <c r="L2199" s="12"/>
      <c r="M2199" s="13"/>
      <c r="N2199" s="13" t="str">
        <f>IFERROR(__xludf.DUMMYFUNCTION("IF(ISBLANK(M2199),"""",M2199*GOOGLEFINANCE(""USDGBP""))"),"")</f>
        <v/>
      </c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  <c r="FG2199" s="8"/>
      <c r="FH2199" s="8"/>
      <c r="FI2199" s="8"/>
      <c r="FJ2199" s="8"/>
      <c r="FK2199" s="8"/>
      <c r="FL2199" s="8"/>
      <c r="FM2199" s="8"/>
      <c r="FN2199" s="8"/>
      <c r="FO2199" s="8"/>
      <c r="FP2199" s="8"/>
      <c r="FQ2199" s="8"/>
      <c r="FR2199" s="8"/>
      <c r="FS2199" s="8"/>
      <c r="FT2199" s="8"/>
      <c r="FU2199" s="8"/>
      <c r="FV2199" s="8"/>
      <c r="FW2199" s="8"/>
      <c r="FX2199" s="8"/>
      <c r="FY2199" s="8"/>
      <c r="FZ2199" s="8"/>
      <c r="GA2199" s="8"/>
      <c r="GB2199" s="8"/>
      <c r="GC2199" s="8"/>
      <c r="GD2199" s="8"/>
      <c r="GE2199" s="8"/>
      <c r="GF2199" s="8"/>
      <c r="GG2199" s="8"/>
      <c r="GH2199" s="8"/>
      <c r="GI2199" s="8"/>
      <c r="GJ2199" s="8"/>
      <c r="GK2199" s="8"/>
      <c r="GL2199" s="8"/>
      <c r="GM2199" s="8"/>
      <c r="GN2199" s="8"/>
      <c r="GO2199" s="8"/>
      <c r="GP2199" s="8"/>
      <c r="GQ2199" s="8"/>
      <c r="GR2199" s="8"/>
      <c r="GS2199" s="8"/>
      <c r="GT2199" s="8"/>
      <c r="GU2199" s="8"/>
      <c r="GV2199" s="8"/>
      <c r="GW2199" s="8"/>
      <c r="GX2199" s="8"/>
    </row>
    <row r="2200">
      <c r="A2200" s="8" t="str">
        <f>IFERROR(__xludf.DUMMYFUNCTION("""COMPUTED_VALUE"""),"111399620151200750")</f>
        <v>111399620151200750</v>
      </c>
      <c r="B2200" s="9" t="str">
        <f>IFERROR(__xludf.DUMMYFUNCTION("""COMPUTED_VALUE"""),"France")</f>
        <v>France</v>
      </c>
      <c r="C2200" s="9" t="str">
        <f>IFERROR(__xludf.DUMMYFUNCTION("""COMPUTED_VALUE"""),"rhone")</f>
        <v>rhone</v>
      </c>
      <c r="D2200" s="9" t="str">
        <f>IFERROR(__xludf.DUMMYFUNCTION("""COMPUTED_VALUE"""),"Jasmin, Cote Rotie")</f>
        <v>Jasmin, Cote Rotie</v>
      </c>
      <c r="E2200" s="9">
        <f>IFERROR(__xludf.DUMMYFUNCTION("""COMPUTED_VALUE"""),2015.0)</f>
        <v>2015</v>
      </c>
      <c r="F2200" s="9">
        <f>IFERROR(__xludf.DUMMYFUNCTION("""COMPUTED_VALUE"""),750.0)</f>
        <v>750</v>
      </c>
      <c r="G2200" s="9">
        <f>IFERROR(__xludf.DUMMYFUNCTION("""COMPUTED_VALUE"""),12.0)</f>
        <v>12</v>
      </c>
      <c r="H2200" s="10">
        <f>IFERROR(__xludf.DUMMYFUNCTION("""COMPUTED_VALUE"""),5.0)</f>
        <v>5</v>
      </c>
      <c r="I2200" s="11">
        <f>IFERROR(__xludf.DUMMYFUNCTION("""COMPUTED_VALUE"""),672.0)</f>
        <v>672</v>
      </c>
      <c r="J2200" s="9" t="str">
        <f>IFERROR(__xludf.DUMMYFUNCTION("""COMPUTED_VALUE"""),"UK")</f>
        <v>UK</v>
      </c>
      <c r="K2200" s="8"/>
      <c r="L2200" s="12"/>
      <c r="M2200" s="13"/>
      <c r="N2200" s="13" t="str">
        <f>IFERROR(__xludf.DUMMYFUNCTION("IF(ISBLANK(M2200),"""",M2200*GOOGLEFINANCE(""USDGBP""))"),"")</f>
        <v/>
      </c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  <c r="FG2200" s="8"/>
      <c r="FH2200" s="8"/>
      <c r="FI2200" s="8"/>
      <c r="FJ2200" s="8"/>
      <c r="FK2200" s="8"/>
      <c r="FL2200" s="8"/>
      <c r="FM2200" s="8"/>
      <c r="FN2200" s="8"/>
      <c r="FO2200" s="8"/>
      <c r="FP2200" s="8"/>
      <c r="FQ2200" s="8"/>
      <c r="FR2200" s="8"/>
      <c r="FS2200" s="8"/>
      <c r="FT2200" s="8"/>
      <c r="FU2200" s="8"/>
      <c r="FV2200" s="8"/>
      <c r="FW2200" s="8"/>
      <c r="FX2200" s="8"/>
      <c r="FY2200" s="8"/>
      <c r="FZ2200" s="8"/>
      <c r="GA2200" s="8"/>
      <c r="GB2200" s="8"/>
      <c r="GC2200" s="8"/>
      <c r="GD2200" s="8"/>
      <c r="GE2200" s="8"/>
      <c r="GF2200" s="8"/>
      <c r="GG2200" s="8"/>
      <c r="GH2200" s="8"/>
      <c r="GI2200" s="8"/>
      <c r="GJ2200" s="8"/>
      <c r="GK2200" s="8"/>
      <c r="GL2200" s="8"/>
      <c r="GM2200" s="8"/>
      <c r="GN2200" s="8"/>
      <c r="GO2200" s="8"/>
      <c r="GP2200" s="8"/>
      <c r="GQ2200" s="8"/>
      <c r="GR2200" s="8"/>
      <c r="GS2200" s="8"/>
      <c r="GT2200" s="8"/>
      <c r="GU2200" s="8"/>
      <c r="GV2200" s="8"/>
      <c r="GW2200" s="8"/>
      <c r="GX2200" s="8"/>
    </row>
    <row r="2201">
      <c r="A2201" s="8" t="str">
        <f>IFERROR(__xludf.DUMMYFUNCTION("""COMPUTED_VALUE"""),"158120520141200750")</f>
        <v>158120520141200750</v>
      </c>
      <c r="B2201" s="9" t="str">
        <f>IFERROR(__xludf.DUMMYFUNCTION("""COMPUTED_VALUE"""),"France")</f>
        <v>France</v>
      </c>
      <c r="C2201" s="9" t="str">
        <f>IFERROR(__xludf.DUMMYFUNCTION("""COMPUTED_VALUE"""),"rhone")</f>
        <v>rhone</v>
      </c>
      <c r="D2201" s="9" t="str">
        <f>IFERROR(__xludf.DUMMYFUNCTION("""COMPUTED_VALUE"""),"Jasmin, Cote Rotie, Giroflarie")</f>
        <v>Jasmin, Cote Rotie, Giroflarie</v>
      </c>
      <c r="E2201" s="9">
        <f>IFERROR(__xludf.DUMMYFUNCTION("""COMPUTED_VALUE"""),2014.0)</f>
        <v>2014</v>
      </c>
      <c r="F2201" s="9">
        <f>IFERROR(__xludf.DUMMYFUNCTION("""COMPUTED_VALUE"""),750.0)</f>
        <v>750</v>
      </c>
      <c r="G2201" s="9">
        <f>IFERROR(__xludf.DUMMYFUNCTION("""COMPUTED_VALUE"""),12.0)</f>
        <v>12</v>
      </c>
      <c r="H2201" s="10">
        <f>IFERROR(__xludf.DUMMYFUNCTION("""COMPUTED_VALUE"""),2.0)</f>
        <v>2</v>
      </c>
      <c r="I2201" s="11">
        <f>IFERROR(__xludf.DUMMYFUNCTION("""COMPUTED_VALUE"""),918.0)</f>
        <v>918</v>
      </c>
      <c r="J2201" s="9" t="str">
        <f>IFERROR(__xludf.DUMMYFUNCTION("""COMPUTED_VALUE"""),"UK")</f>
        <v>UK</v>
      </c>
      <c r="K2201" s="8"/>
      <c r="L2201" s="12"/>
      <c r="M2201" s="13"/>
      <c r="N2201" s="13" t="str">
        <f>IFERROR(__xludf.DUMMYFUNCTION("IF(ISBLANK(M2201),"""",M2201*GOOGLEFINANCE(""USDGBP""))"),"")</f>
        <v/>
      </c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  <c r="FG2201" s="8"/>
      <c r="FH2201" s="8"/>
      <c r="FI2201" s="8"/>
      <c r="FJ2201" s="8"/>
      <c r="FK2201" s="8"/>
      <c r="FL2201" s="8"/>
      <c r="FM2201" s="8"/>
      <c r="FN2201" s="8"/>
      <c r="FO2201" s="8"/>
      <c r="FP2201" s="8"/>
      <c r="FQ2201" s="8"/>
      <c r="FR2201" s="8"/>
      <c r="FS2201" s="8"/>
      <c r="FT2201" s="8"/>
      <c r="FU2201" s="8"/>
      <c r="FV2201" s="8"/>
      <c r="FW2201" s="8"/>
      <c r="FX2201" s="8"/>
      <c r="FY2201" s="8"/>
      <c r="FZ2201" s="8"/>
      <c r="GA2201" s="8"/>
      <c r="GB2201" s="8"/>
      <c r="GC2201" s="8"/>
      <c r="GD2201" s="8"/>
      <c r="GE2201" s="8"/>
      <c r="GF2201" s="8"/>
      <c r="GG2201" s="8"/>
      <c r="GH2201" s="8"/>
      <c r="GI2201" s="8"/>
      <c r="GJ2201" s="8"/>
      <c r="GK2201" s="8"/>
      <c r="GL2201" s="8"/>
      <c r="GM2201" s="8"/>
      <c r="GN2201" s="8"/>
      <c r="GO2201" s="8"/>
      <c r="GP2201" s="8"/>
      <c r="GQ2201" s="8"/>
      <c r="GR2201" s="8"/>
      <c r="GS2201" s="8"/>
      <c r="GT2201" s="8"/>
      <c r="GU2201" s="8"/>
      <c r="GV2201" s="8"/>
      <c r="GW2201" s="8"/>
      <c r="GX2201" s="8"/>
    </row>
    <row r="2202">
      <c r="A2202" s="8" t="str">
        <f>IFERROR(__xludf.DUMMYFUNCTION("""COMPUTED_VALUE"""),"158120520140601500")</f>
        <v>158120520140601500</v>
      </c>
      <c r="B2202" s="9" t="str">
        <f>IFERROR(__xludf.DUMMYFUNCTION("""COMPUTED_VALUE"""),"France")</f>
        <v>France</v>
      </c>
      <c r="C2202" s="9" t="str">
        <f>IFERROR(__xludf.DUMMYFUNCTION("""COMPUTED_VALUE"""),"rhone")</f>
        <v>rhone</v>
      </c>
      <c r="D2202" s="9" t="str">
        <f>IFERROR(__xludf.DUMMYFUNCTION("""COMPUTED_VALUE"""),"Jasmin, Cote Rotie, Giroflarie")</f>
        <v>Jasmin, Cote Rotie, Giroflarie</v>
      </c>
      <c r="E2202" s="9">
        <f>IFERROR(__xludf.DUMMYFUNCTION("""COMPUTED_VALUE"""),2014.0)</f>
        <v>2014</v>
      </c>
      <c r="F2202" s="9">
        <f>IFERROR(__xludf.DUMMYFUNCTION("""COMPUTED_VALUE"""),1500.0)</f>
        <v>1500</v>
      </c>
      <c r="G2202" s="9">
        <f>IFERROR(__xludf.DUMMYFUNCTION("""COMPUTED_VALUE"""),6.0)</f>
        <v>6</v>
      </c>
      <c r="H2202" s="10">
        <f>IFERROR(__xludf.DUMMYFUNCTION("""COMPUTED_VALUE"""),2.0)</f>
        <v>2</v>
      </c>
      <c r="I2202" s="11">
        <f>IFERROR(__xludf.DUMMYFUNCTION("""COMPUTED_VALUE"""),918.0)</f>
        <v>918</v>
      </c>
      <c r="J2202" s="9" t="str">
        <f>IFERROR(__xludf.DUMMYFUNCTION("""COMPUTED_VALUE"""),"UK")</f>
        <v>UK</v>
      </c>
      <c r="K2202" s="8"/>
      <c r="L2202" s="12"/>
      <c r="M2202" s="13"/>
      <c r="N2202" s="13" t="str">
        <f>IFERROR(__xludf.DUMMYFUNCTION("IF(ISBLANK(M2202),"""",M2202*GOOGLEFINANCE(""USDGBP""))"),"")</f>
        <v/>
      </c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  <c r="FG2202" s="8"/>
      <c r="FH2202" s="8"/>
      <c r="FI2202" s="8"/>
      <c r="FJ2202" s="8"/>
      <c r="FK2202" s="8"/>
      <c r="FL2202" s="8"/>
      <c r="FM2202" s="8"/>
      <c r="FN2202" s="8"/>
      <c r="FO2202" s="8"/>
      <c r="FP2202" s="8"/>
      <c r="FQ2202" s="8"/>
      <c r="FR2202" s="8"/>
      <c r="FS2202" s="8"/>
      <c r="FT2202" s="8"/>
      <c r="FU2202" s="8"/>
      <c r="FV2202" s="8"/>
      <c r="FW2202" s="8"/>
      <c r="FX2202" s="8"/>
      <c r="FY2202" s="8"/>
      <c r="FZ2202" s="8"/>
      <c r="GA2202" s="8"/>
      <c r="GB2202" s="8"/>
      <c r="GC2202" s="8"/>
      <c r="GD2202" s="8"/>
      <c r="GE2202" s="8"/>
      <c r="GF2202" s="8"/>
      <c r="GG2202" s="8"/>
      <c r="GH2202" s="8"/>
      <c r="GI2202" s="8"/>
      <c r="GJ2202" s="8"/>
      <c r="GK2202" s="8"/>
      <c r="GL2202" s="8"/>
      <c r="GM2202" s="8"/>
      <c r="GN2202" s="8"/>
      <c r="GO2202" s="8"/>
      <c r="GP2202" s="8"/>
      <c r="GQ2202" s="8"/>
      <c r="GR2202" s="8"/>
      <c r="GS2202" s="8"/>
      <c r="GT2202" s="8"/>
      <c r="GU2202" s="8"/>
      <c r="GV2202" s="8"/>
      <c r="GW2202" s="8"/>
      <c r="GX2202" s="8"/>
    </row>
    <row r="2203">
      <c r="A2203" s="8" t="str">
        <f>IFERROR(__xludf.DUMMYFUNCTION("""COMPUTED_VALUE"""),"158120520171200750")</f>
        <v>158120520171200750</v>
      </c>
      <c r="B2203" s="9" t="str">
        <f>IFERROR(__xludf.DUMMYFUNCTION("""COMPUTED_VALUE"""),"France")</f>
        <v>France</v>
      </c>
      <c r="C2203" s="9" t="str">
        <f>IFERROR(__xludf.DUMMYFUNCTION("""COMPUTED_VALUE"""),"rhone")</f>
        <v>rhone</v>
      </c>
      <c r="D2203" s="9" t="str">
        <f>IFERROR(__xludf.DUMMYFUNCTION("""COMPUTED_VALUE"""),"Jasmin, Cote Rotie, Giroflarie")</f>
        <v>Jasmin, Cote Rotie, Giroflarie</v>
      </c>
      <c r="E2203" s="9">
        <f>IFERROR(__xludf.DUMMYFUNCTION("""COMPUTED_VALUE"""),2017.0)</f>
        <v>2017</v>
      </c>
      <c r="F2203" s="9">
        <f>IFERROR(__xludf.DUMMYFUNCTION("""COMPUTED_VALUE"""),750.0)</f>
        <v>750</v>
      </c>
      <c r="G2203" s="9">
        <f>IFERROR(__xludf.DUMMYFUNCTION("""COMPUTED_VALUE"""),12.0)</f>
        <v>12</v>
      </c>
      <c r="H2203" s="10">
        <f>IFERROR(__xludf.DUMMYFUNCTION("""COMPUTED_VALUE"""),3.0)</f>
        <v>3</v>
      </c>
      <c r="I2203" s="11">
        <f>IFERROR(__xludf.DUMMYFUNCTION("""COMPUTED_VALUE"""),355.0)</f>
        <v>355</v>
      </c>
      <c r="J2203" s="9" t="str">
        <f>IFERROR(__xludf.DUMMYFUNCTION("""COMPUTED_VALUE"""),"UK")</f>
        <v>UK</v>
      </c>
      <c r="K2203" s="8"/>
      <c r="L2203" s="12"/>
      <c r="M2203" s="13"/>
      <c r="N2203" s="13" t="str">
        <f>IFERROR(__xludf.DUMMYFUNCTION("IF(ISBLANK(M2203),"""",M2203*GOOGLEFINANCE(""USDGBP""))"),"")</f>
        <v/>
      </c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  <c r="FG2203" s="8"/>
      <c r="FH2203" s="8"/>
      <c r="FI2203" s="8"/>
      <c r="FJ2203" s="8"/>
      <c r="FK2203" s="8"/>
      <c r="FL2203" s="8"/>
      <c r="FM2203" s="8"/>
      <c r="FN2203" s="8"/>
      <c r="FO2203" s="8"/>
      <c r="FP2203" s="8"/>
      <c r="FQ2203" s="8"/>
      <c r="FR2203" s="8"/>
      <c r="FS2203" s="8"/>
      <c r="FT2203" s="8"/>
      <c r="FU2203" s="8"/>
      <c r="FV2203" s="8"/>
      <c r="FW2203" s="8"/>
      <c r="FX2203" s="8"/>
      <c r="FY2203" s="8"/>
      <c r="FZ2203" s="8"/>
      <c r="GA2203" s="8"/>
      <c r="GB2203" s="8"/>
      <c r="GC2203" s="8"/>
      <c r="GD2203" s="8"/>
      <c r="GE2203" s="8"/>
      <c r="GF2203" s="8"/>
      <c r="GG2203" s="8"/>
      <c r="GH2203" s="8"/>
      <c r="GI2203" s="8"/>
      <c r="GJ2203" s="8"/>
      <c r="GK2203" s="8"/>
      <c r="GL2203" s="8"/>
      <c r="GM2203" s="8"/>
      <c r="GN2203" s="8"/>
      <c r="GO2203" s="8"/>
      <c r="GP2203" s="8"/>
      <c r="GQ2203" s="8"/>
      <c r="GR2203" s="8"/>
      <c r="GS2203" s="8"/>
      <c r="GT2203" s="8"/>
      <c r="GU2203" s="8"/>
      <c r="GV2203" s="8"/>
      <c r="GW2203" s="8"/>
      <c r="GX2203" s="8"/>
    </row>
    <row r="2204">
      <c r="A2204" s="8" t="str">
        <f>IFERROR(__xludf.DUMMYFUNCTION("""COMPUTED_VALUE"""),"175207220161200750")</f>
        <v>175207220161200750</v>
      </c>
      <c r="B2204" s="9" t="str">
        <f>IFERROR(__xludf.DUMMYFUNCTION("""COMPUTED_VALUE"""),"France")</f>
        <v>France</v>
      </c>
      <c r="C2204" s="9" t="str">
        <f>IFERROR(__xludf.DUMMYFUNCTION("""COMPUTED_VALUE"""),"rhone")</f>
        <v>rhone</v>
      </c>
      <c r="D2204" s="9" t="str">
        <f>IFERROR(__xludf.DUMMYFUNCTION("""COMPUTED_VALUE"""),"Jean-Luc Jamet, Cote Rotie, Terrasses")</f>
        <v>Jean-Luc Jamet, Cote Rotie, Terrasses</v>
      </c>
      <c r="E2204" s="9">
        <f>IFERROR(__xludf.DUMMYFUNCTION("""COMPUTED_VALUE"""),2016.0)</f>
        <v>2016</v>
      </c>
      <c r="F2204" s="9">
        <f>IFERROR(__xludf.DUMMYFUNCTION("""COMPUTED_VALUE"""),750.0)</f>
        <v>750</v>
      </c>
      <c r="G2204" s="9">
        <f>IFERROR(__xludf.DUMMYFUNCTION("""COMPUTED_VALUE"""),12.0)</f>
        <v>12</v>
      </c>
      <c r="H2204" s="10">
        <f>IFERROR(__xludf.DUMMYFUNCTION("""COMPUTED_VALUE"""),1.0)</f>
        <v>1</v>
      </c>
      <c r="I2204" s="11">
        <f>IFERROR(__xludf.DUMMYFUNCTION("""COMPUTED_VALUE"""),683.0)</f>
        <v>683</v>
      </c>
      <c r="J2204" s="9" t="str">
        <f>IFERROR(__xludf.DUMMYFUNCTION("""COMPUTED_VALUE"""),"UK")</f>
        <v>UK</v>
      </c>
      <c r="K2204" s="8"/>
      <c r="L2204" s="12"/>
      <c r="M2204" s="13"/>
      <c r="N2204" s="13" t="str">
        <f>IFERROR(__xludf.DUMMYFUNCTION("IF(ISBLANK(M2204),"""",M2204*GOOGLEFINANCE(""USDGBP""))"),"")</f>
        <v/>
      </c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  <c r="FG2204" s="8"/>
      <c r="FH2204" s="8"/>
      <c r="FI2204" s="8"/>
      <c r="FJ2204" s="8"/>
      <c r="FK2204" s="8"/>
      <c r="FL2204" s="8"/>
      <c r="FM2204" s="8"/>
      <c r="FN2204" s="8"/>
      <c r="FO2204" s="8"/>
      <c r="FP2204" s="8"/>
      <c r="FQ2204" s="8"/>
      <c r="FR2204" s="8"/>
      <c r="FS2204" s="8"/>
      <c r="FT2204" s="8"/>
      <c r="FU2204" s="8"/>
      <c r="FV2204" s="8"/>
      <c r="FW2204" s="8"/>
      <c r="FX2204" s="8"/>
      <c r="FY2204" s="8"/>
      <c r="FZ2204" s="8"/>
      <c r="GA2204" s="8"/>
      <c r="GB2204" s="8"/>
      <c r="GC2204" s="8"/>
      <c r="GD2204" s="8"/>
      <c r="GE2204" s="8"/>
      <c r="GF2204" s="8"/>
      <c r="GG2204" s="8"/>
      <c r="GH2204" s="8"/>
      <c r="GI2204" s="8"/>
      <c r="GJ2204" s="8"/>
      <c r="GK2204" s="8"/>
      <c r="GL2204" s="8"/>
      <c r="GM2204" s="8"/>
      <c r="GN2204" s="8"/>
      <c r="GO2204" s="8"/>
      <c r="GP2204" s="8"/>
      <c r="GQ2204" s="8"/>
      <c r="GR2204" s="8"/>
      <c r="GS2204" s="8"/>
      <c r="GT2204" s="8"/>
      <c r="GU2204" s="8"/>
      <c r="GV2204" s="8"/>
      <c r="GW2204" s="8"/>
      <c r="GX2204" s="8"/>
    </row>
    <row r="2205">
      <c r="A2205" s="8" t="str">
        <f>IFERROR(__xludf.DUMMYFUNCTION("""COMPUTED_VALUE"""),"111265420151200750")</f>
        <v>111265420151200750</v>
      </c>
      <c r="B2205" s="9" t="str">
        <f>IFERROR(__xludf.DUMMYFUNCTION("""COMPUTED_VALUE"""),"France")</f>
        <v>France</v>
      </c>
      <c r="C2205" s="9" t="str">
        <f>IFERROR(__xludf.DUMMYFUNCTION("""COMPUTED_VALUE"""),"rhone")</f>
        <v>rhone</v>
      </c>
      <c r="D2205" s="9" t="str">
        <f>IFERROR(__xludf.DUMMYFUNCTION("""COMPUTED_VALUE"""),"Jean-Michel Gerin, Cote Rotie, Champin le Seigneur")</f>
        <v>Jean-Michel Gerin, Cote Rotie, Champin le Seigneur</v>
      </c>
      <c r="E2205" s="9">
        <f>IFERROR(__xludf.DUMMYFUNCTION("""COMPUTED_VALUE"""),2015.0)</f>
        <v>2015</v>
      </c>
      <c r="F2205" s="9">
        <f>IFERROR(__xludf.DUMMYFUNCTION("""COMPUTED_VALUE"""),750.0)</f>
        <v>750</v>
      </c>
      <c r="G2205" s="9">
        <f>IFERROR(__xludf.DUMMYFUNCTION("""COMPUTED_VALUE"""),12.0)</f>
        <v>12</v>
      </c>
      <c r="H2205" s="10">
        <f>IFERROR(__xludf.DUMMYFUNCTION("""COMPUTED_VALUE"""),1.0)</f>
        <v>1</v>
      </c>
      <c r="I2205" s="11">
        <f>IFERROR(__xludf.DUMMYFUNCTION("""COMPUTED_VALUE"""),439.0)</f>
        <v>439</v>
      </c>
      <c r="J2205" s="9" t="str">
        <f>IFERROR(__xludf.DUMMYFUNCTION("""COMPUTED_VALUE"""),"UK")</f>
        <v>UK</v>
      </c>
      <c r="K2205" s="8"/>
      <c r="L2205" s="12"/>
      <c r="M2205" s="13"/>
      <c r="N2205" s="13" t="str">
        <f>IFERROR(__xludf.DUMMYFUNCTION("IF(ISBLANK(M2205),"""",M2205*GOOGLEFINANCE(""USDGBP""))"),"")</f>
        <v/>
      </c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  <c r="FG2205" s="8"/>
      <c r="FH2205" s="8"/>
      <c r="FI2205" s="8"/>
      <c r="FJ2205" s="8"/>
      <c r="FK2205" s="8"/>
      <c r="FL2205" s="8"/>
      <c r="FM2205" s="8"/>
      <c r="FN2205" s="8"/>
      <c r="FO2205" s="8"/>
      <c r="FP2205" s="8"/>
      <c r="FQ2205" s="8"/>
      <c r="FR2205" s="8"/>
      <c r="FS2205" s="8"/>
      <c r="FT2205" s="8"/>
      <c r="FU2205" s="8"/>
      <c r="FV2205" s="8"/>
      <c r="FW2205" s="8"/>
      <c r="FX2205" s="8"/>
      <c r="FY2205" s="8"/>
      <c r="FZ2205" s="8"/>
      <c r="GA2205" s="8"/>
      <c r="GB2205" s="8"/>
      <c r="GC2205" s="8"/>
      <c r="GD2205" s="8"/>
      <c r="GE2205" s="8"/>
      <c r="GF2205" s="8"/>
      <c r="GG2205" s="8"/>
      <c r="GH2205" s="8"/>
      <c r="GI2205" s="8"/>
      <c r="GJ2205" s="8"/>
      <c r="GK2205" s="8"/>
      <c r="GL2205" s="8"/>
      <c r="GM2205" s="8"/>
      <c r="GN2205" s="8"/>
      <c r="GO2205" s="8"/>
      <c r="GP2205" s="8"/>
      <c r="GQ2205" s="8"/>
      <c r="GR2205" s="8"/>
      <c r="GS2205" s="8"/>
      <c r="GT2205" s="8"/>
      <c r="GU2205" s="8"/>
      <c r="GV2205" s="8"/>
      <c r="GW2205" s="8"/>
      <c r="GX2205" s="8"/>
    </row>
    <row r="2206">
      <c r="A2206" s="8" t="str">
        <f>IFERROR(__xludf.DUMMYFUNCTION("""COMPUTED_VALUE"""),"153576120170600750")</f>
        <v>153576120170600750</v>
      </c>
      <c r="B2206" s="9" t="str">
        <f>IFERROR(__xludf.DUMMYFUNCTION("""COMPUTED_VALUE"""),"France")</f>
        <v>France</v>
      </c>
      <c r="C2206" s="9" t="str">
        <f>IFERROR(__xludf.DUMMYFUNCTION("""COMPUTED_VALUE"""),"rhone")</f>
        <v>rhone</v>
      </c>
      <c r="D2206" s="9" t="str">
        <f>IFERROR(__xludf.DUMMYFUNCTION("""COMPUTED_VALUE"""),"M. Chapoutier, Cote Rotie, Neve")</f>
        <v>M. Chapoutier, Cote Rotie, Neve</v>
      </c>
      <c r="E2206" s="9">
        <f>IFERROR(__xludf.DUMMYFUNCTION("""COMPUTED_VALUE"""),2017.0)</f>
        <v>2017</v>
      </c>
      <c r="F2206" s="9">
        <f>IFERROR(__xludf.DUMMYFUNCTION("""COMPUTED_VALUE"""),750.0)</f>
        <v>750</v>
      </c>
      <c r="G2206" s="9">
        <f>IFERROR(__xludf.DUMMYFUNCTION("""COMPUTED_VALUE"""),6.0)</f>
        <v>6</v>
      </c>
      <c r="H2206" s="10">
        <f>IFERROR(__xludf.DUMMYFUNCTION("""COMPUTED_VALUE"""),21.0)</f>
        <v>21</v>
      </c>
      <c r="I2206" s="11">
        <f>IFERROR(__xludf.DUMMYFUNCTION("""COMPUTED_VALUE"""),937.0)</f>
        <v>937</v>
      </c>
      <c r="J2206" s="9" t="str">
        <f>IFERROR(__xludf.DUMMYFUNCTION("""COMPUTED_VALUE"""),"UK")</f>
        <v>UK</v>
      </c>
      <c r="K2206" s="8"/>
      <c r="L2206" s="12"/>
      <c r="M2206" s="13"/>
      <c r="N2206" s="13" t="str">
        <f>IFERROR(__xludf.DUMMYFUNCTION("IF(ISBLANK(M2206),"""",M2206*GOOGLEFINANCE(""USDGBP""))"),"")</f>
        <v/>
      </c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  <c r="FG2206" s="8"/>
      <c r="FH2206" s="8"/>
      <c r="FI2206" s="8"/>
      <c r="FJ2206" s="8"/>
      <c r="FK2206" s="8"/>
      <c r="FL2206" s="8"/>
      <c r="FM2206" s="8"/>
      <c r="FN2206" s="8"/>
      <c r="FO2206" s="8"/>
      <c r="FP2206" s="8"/>
      <c r="FQ2206" s="8"/>
      <c r="FR2206" s="8"/>
      <c r="FS2206" s="8"/>
      <c r="FT2206" s="8"/>
      <c r="FU2206" s="8"/>
      <c r="FV2206" s="8"/>
      <c r="FW2206" s="8"/>
      <c r="FX2206" s="8"/>
      <c r="FY2206" s="8"/>
      <c r="FZ2206" s="8"/>
      <c r="GA2206" s="8"/>
      <c r="GB2206" s="8"/>
      <c r="GC2206" s="8"/>
      <c r="GD2206" s="8"/>
      <c r="GE2206" s="8"/>
      <c r="GF2206" s="8"/>
      <c r="GG2206" s="8"/>
      <c r="GH2206" s="8"/>
      <c r="GI2206" s="8"/>
      <c r="GJ2206" s="8"/>
      <c r="GK2206" s="8"/>
      <c r="GL2206" s="8"/>
      <c r="GM2206" s="8"/>
      <c r="GN2206" s="8"/>
      <c r="GO2206" s="8"/>
      <c r="GP2206" s="8"/>
      <c r="GQ2206" s="8"/>
      <c r="GR2206" s="8"/>
      <c r="GS2206" s="8"/>
      <c r="GT2206" s="8"/>
      <c r="GU2206" s="8"/>
      <c r="GV2206" s="8"/>
      <c r="GW2206" s="8"/>
      <c r="GX2206" s="8"/>
    </row>
    <row r="2207">
      <c r="A2207" s="8" t="str">
        <f>IFERROR(__xludf.DUMMYFUNCTION("""COMPUTED_VALUE"""),"110970420110600750")</f>
        <v>110970420110600750</v>
      </c>
      <c r="B2207" s="9" t="str">
        <f>IFERROR(__xludf.DUMMYFUNCTION("""COMPUTED_VALUE"""),"France")</f>
        <v>France</v>
      </c>
      <c r="C2207" s="9" t="str">
        <f>IFERROR(__xludf.DUMMYFUNCTION("""COMPUTED_VALUE"""),"rhone")</f>
        <v>rhone</v>
      </c>
      <c r="D2207" s="9" t="str">
        <f>IFERROR(__xludf.DUMMYFUNCTION("""COMPUTED_VALUE"""),"M. Chapoutier, Ermitage, Le Pavillon")</f>
        <v>M. Chapoutier, Ermitage, Le Pavillon</v>
      </c>
      <c r="E2207" s="9">
        <f>IFERROR(__xludf.DUMMYFUNCTION("""COMPUTED_VALUE"""),2011.0)</f>
        <v>2011</v>
      </c>
      <c r="F2207" s="9">
        <f>IFERROR(__xludf.DUMMYFUNCTION("""COMPUTED_VALUE"""),750.0)</f>
        <v>750</v>
      </c>
      <c r="G2207" s="9">
        <f>IFERROR(__xludf.DUMMYFUNCTION("""COMPUTED_VALUE"""),6.0)</f>
        <v>6</v>
      </c>
      <c r="H2207" s="10">
        <f>IFERROR(__xludf.DUMMYFUNCTION("""COMPUTED_VALUE"""),1.0)</f>
        <v>1</v>
      </c>
      <c r="I2207" s="11">
        <f>IFERROR(__xludf.DUMMYFUNCTION("""COMPUTED_VALUE"""),1323.0)</f>
        <v>1323</v>
      </c>
      <c r="J2207" s="9" t="str">
        <f>IFERROR(__xludf.DUMMYFUNCTION("""COMPUTED_VALUE"""),"UK")</f>
        <v>UK</v>
      </c>
      <c r="K2207" s="8"/>
      <c r="L2207" s="12"/>
      <c r="M2207" s="13"/>
      <c r="N2207" s="13" t="str">
        <f>IFERROR(__xludf.DUMMYFUNCTION("IF(ISBLANK(M2207),"""",M2207*GOOGLEFINANCE(""USDGBP""))"),"")</f>
        <v/>
      </c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  <c r="FG2207" s="8"/>
      <c r="FH2207" s="8"/>
      <c r="FI2207" s="8"/>
      <c r="FJ2207" s="8"/>
      <c r="FK2207" s="8"/>
      <c r="FL2207" s="8"/>
      <c r="FM2207" s="8"/>
      <c r="FN2207" s="8"/>
      <c r="FO2207" s="8"/>
      <c r="FP2207" s="8"/>
      <c r="FQ2207" s="8"/>
      <c r="FR2207" s="8"/>
      <c r="FS2207" s="8"/>
      <c r="FT2207" s="8"/>
      <c r="FU2207" s="8"/>
      <c r="FV2207" s="8"/>
      <c r="FW2207" s="8"/>
      <c r="FX2207" s="8"/>
      <c r="FY2207" s="8"/>
      <c r="FZ2207" s="8"/>
      <c r="GA2207" s="8"/>
      <c r="GB2207" s="8"/>
      <c r="GC2207" s="8"/>
      <c r="GD2207" s="8"/>
      <c r="GE2207" s="8"/>
      <c r="GF2207" s="8"/>
      <c r="GG2207" s="8"/>
      <c r="GH2207" s="8"/>
      <c r="GI2207" s="8"/>
      <c r="GJ2207" s="8"/>
      <c r="GK2207" s="8"/>
      <c r="GL2207" s="8"/>
      <c r="GM2207" s="8"/>
      <c r="GN2207" s="8"/>
      <c r="GO2207" s="8"/>
      <c r="GP2207" s="8"/>
      <c r="GQ2207" s="8"/>
      <c r="GR2207" s="8"/>
      <c r="GS2207" s="8"/>
      <c r="GT2207" s="8"/>
      <c r="GU2207" s="8"/>
      <c r="GV2207" s="8"/>
      <c r="GW2207" s="8"/>
      <c r="GX2207" s="8"/>
    </row>
    <row r="2208">
      <c r="A2208" s="8" t="str">
        <f>IFERROR(__xludf.DUMMYFUNCTION("""COMPUTED_VALUE"""),"110970420130600750")</f>
        <v>110970420130600750</v>
      </c>
      <c r="B2208" s="9" t="str">
        <f>IFERROR(__xludf.DUMMYFUNCTION("""COMPUTED_VALUE"""),"France")</f>
        <v>France</v>
      </c>
      <c r="C2208" s="9" t="str">
        <f>IFERROR(__xludf.DUMMYFUNCTION("""COMPUTED_VALUE"""),"rhone")</f>
        <v>rhone</v>
      </c>
      <c r="D2208" s="9" t="str">
        <f>IFERROR(__xludf.DUMMYFUNCTION("""COMPUTED_VALUE"""),"M. Chapoutier, Ermitage, Le Pavillon")</f>
        <v>M. Chapoutier, Ermitage, Le Pavillon</v>
      </c>
      <c r="E2208" s="9">
        <f>IFERROR(__xludf.DUMMYFUNCTION("""COMPUTED_VALUE"""),2013.0)</f>
        <v>2013</v>
      </c>
      <c r="F2208" s="9">
        <f>IFERROR(__xludf.DUMMYFUNCTION("""COMPUTED_VALUE"""),750.0)</f>
        <v>750</v>
      </c>
      <c r="G2208" s="9">
        <f>IFERROR(__xludf.DUMMYFUNCTION("""COMPUTED_VALUE"""),6.0)</f>
        <v>6</v>
      </c>
      <c r="H2208" s="10">
        <f>IFERROR(__xludf.DUMMYFUNCTION("""COMPUTED_VALUE"""),3.0)</f>
        <v>3</v>
      </c>
      <c r="I2208" s="11">
        <f>IFERROR(__xludf.DUMMYFUNCTION("""COMPUTED_VALUE"""),912.0)</f>
        <v>912</v>
      </c>
      <c r="J2208" s="9" t="str">
        <f>IFERROR(__xludf.DUMMYFUNCTION("""COMPUTED_VALUE"""),"UK")</f>
        <v>UK</v>
      </c>
      <c r="K2208" s="8"/>
      <c r="L2208" s="12"/>
      <c r="M2208" s="13"/>
      <c r="N2208" s="13" t="str">
        <f>IFERROR(__xludf.DUMMYFUNCTION("IF(ISBLANK(M2208),"""",M2208*GOOGLEFINANCE(""USDGBP""))"),"")</f>
        <v/>
      </c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  <c r="FG2208" s="8"/>
      <c r="FH2208" s="8"/>
      <c r="FI2208" s="8"/>
      <c r="FJ2208" s="8"/>
      <c r="FK2208" s="8"/>
      <c r="FL2208" s="8"/>
      <c r="FM2208" s="8"/>
      <c r="FN2208" s="8"/>
      <c r="FO2208" s="8"/>
      <c r="FP2208" s="8"/>
      <c r="FQ2208" s="8"/>
      <c r="FR2208" s="8"/>
      <c r="FS2208" s="8"/>
      <c r="FT2208" s="8"/>
      <c r="FU2208" s="8"/>
      <c r="FV2208" s="8"/>
      <c r="FW2208" s="8"/>
      <c r="FX2208" s="8"/>
      <c r="FY2208" s="8"/>
      <c r="FZ2208" s="8"/>
      <c r="GA2208" s="8"/>
      <c r="GB2208" s="8"/>
      <c r="GC2208" s="8"/>
      <c r="GD2208" s="8"/>
      <c r="GE2208" s="8"/>
      <c r="GF2208" s="8"/>
      <c r="GG2208" s="8"/>
      <c r="GH2208" s="8"/>
      <c r="GI2208" s="8"/>
      <c r="GJ2208" s="8"/>
      <c r="GK2208" s="8"/>
      <c r="GL2208" s="8"/>
      <c r="GM2208" s="8"/>
      <c r="GN2208" s="8"/>
      <c r="GO2208" s="8"/>
      <c r="GP2208" s="8"/>
      <c r="GQ2208" s="8"/>
      <c r="GR2208" s="8"/>
      <c r="GS2208" s="8"/>
      <c r="GT2208" s="8"/>
      <c r="GU2208" s="8"/>
      <c r="GV2208" s="8"/>
      <c r="GW2208" s="8"/>
      <c r="GX2208" s="8"/>
    </row>
    <row r="2209">
      <c r="A2209" s="8" t="str">
        <f>IFERROR(__xludf.DUMMYFUNCTION("""COMPUTED_VALUE"""),"110970420180600750")</f>
        <v>110970420180600750</v>
      </c>
      <c r="B2209" s="9" t="str">
        <f>IFERROR(__xludf.DUMMYFUNCTION("""COMPUTED_VALUE"""),"France")</f>
        <v>France</v>
      </c>
      <c r="C2209" s="9" t="str">
        <f>IFERROR(__xludf.DUMMYFUNCTION("""COMPUTED_VALUE"""),"rhone")</f>
        <v>rhone</v>
      </c>
      <c r="D2209" s="9" t="str">
        <f>IFERROR(__xludf.DUMMYFUNCTION("""COMPUTED_VALUE"""),"M. Chapoutier, Ermitage, Le Pavillon")</f>
        <v>M. Chapoutier, Ermitage, Le Pavillon</v>
      </c>
      <c r="E2209" s="9">
        <f>IFERROR(__xludf.DUMMYFUNCTION("""COMPUTED_VALUE"""),2018.0)</f>
        <v>2018</v>
      </c>
      <c r="F2209" s="9">
        <f>IFERROR(__xludf.DUMMYFUNCTION("""COMPUTED_VALUE"""),750.0)</f>
        <v>750</v>
      </c>
      <c r="G2209" s="9">
        <f>IFERROR(__xludf.DUMMYFUNCTION("""COMPUTED_VALUE"""),6.0)</f>
        <v>6</v>
      </c>
      <c r="H2209" s="10">
        <f>IFERROR(__xludf.DUMMYFUNCTION("""COMPUTED_VALUE"""),2.0)</f>
        <v>2</v>
      </c>
      <c r="I2209" s="11">
        <f>IFERROR(__xludf.DUMMYFUNCTION("""COMPUTED_VALUE"""),1131.0)</f>
        <v>1131</v>
      </c>
      <c r="J2209" s="9" t="str">
        <f>IFERROR(__xludf.DUMMYFUNCTION("""COMPUTED_VALUE"""),"UK")</f>
        <v>UK</v>
      </c>
      <c r="K2209" s="8"/>
      <c r="L2209" s="12"/>
      <c r="M2209" s="13"/>
      <c r="N2209" s="13" t="str">
        <f>IFERROR(__xludf.DUMMYFUNCTION("IF(ISBLANK(M2209),"""",M2209*GOOGLEFINANCE(""USDGBP""))"),"")</f>
        <v/>
      </c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  <c r="FG2209" s="8"/>
      <c r="FH2209" s="8"/>
      <c r="FI2209" s="8"/>
      <c r="FJ2209" s="8"/>
      <c r="FK2209" s="8"/>
      <c r="FL2209" s="8"/>
      <c r="FM2209" s="8"/>
      <c r="FN2209" s="8"/>
      <c r="FO2209" s="8"/>
      <c r="FP2209" s="8"/>
      <c r="FQ2209" s="8"/>
      <c r="FR2209" s="8"/>
      <c r="FS2209" s="8"/>
      <c r="FT2209" s="8"/>
      <c r="FU2209" s="8"/>
      <c r="FV2209" s="8"/>
      <c r="FW2209" s="8"/>
      <c r="FX2209" s="8"/>
      <c r="FY2209" s="8"/>
      <c r="FZ2209" s="8"/>
      <c r="GA2209" s="8"/>
      <c r="GB2209" s="8"/>
      <c r="GC2209" s="8"/>
      <c r="GD2209" s="8"/>
      <c r="GE2209" s="8"/>
      <c r="GF2209" s="8"/>
      <c r="GG2209" s="8"/>
      <c r="GH2209" s="8"/>
      <c r="GI2209" s="8"/>
      <c r="GJ2209" s="8"/>
      <c r="GK2209" s="8"/>
      <c r="GL2209" s="8"/>
      <c r="GM2209" s="8"/>
      <c r="GN2209" s="8"/>
      <c r="GO2209" s="8"/>
      <c r="GP2209" s="8"/>
      <c r="GQ2209" s="8"/>
      <c r="GR2209" s="8"/>
      <c r="GS2209" s="8"/>
      <c r="GT2209" s="8"/>
      <c r="GU2209" s="8"/>
      <c r="GV2209" s="8"/>
      <c r="GW2209" s="8"/>
      <c r="GX2209" s="8"/>
    </row>
    <row r="2210">
      <c r="A2210" s="8" t="str">
        <f>IFERROR(__xludf.DUMMYFUNCTION("""COMPUTED_VALUE"""),"110970420190600750")</f>
        <v>110970420190600750</v>
      </c>
      <c r="B2210" s="9" t="str">
        <f>IFERROR(__xludf.DUMMYFUNCTION("""COMPUTED_VALUE"""),"France")</f>
        <v>France</v>
      </c>
      <c r="C2210" s="9" t="str">
        <f>IFERROR(__xludf.DUMMYFUNCTION("""COMPUTED_VALUE"""),"rhone")</f>
        <v>rhone</v>
      </c>
      <c r="D2210" s="9" t="str">
        <f>IFERROR(__xludf.DUMMYFUNCTION("""COMPUTED_VALUE"""),"M. Chapoutier, Ermitage, Le Pavillon")</f>
        <v>M. Chapoutier, Ermitage, Le Pavillon</v>
      </c>
      <c r="E2210" s="9">
        <f>IFERROR(__xludf.DUMMYFUNCTION("""COMPUTED_VALUE"""),2019.0)</f>
        <v>2019</v>
      </c>
      <c r="F2210" s="9">
        <f>IFERROR(__xludf.DUMMYFUNCTION("""COMPUTED_VALUE"""),750.0)</f>
        <v>750</v>
      </c>
      <c r="G2210" s="9">
        <f>IFERROR(__xludf.DUMMYFUNCTION("""COMPUTED_VALUE"""),6.0)</f>
        <v>6</v>
      </c>
      <c r="H2210" s="10">
        <f>IFERROR(__xludf.DUMMYFUNCTION("""COMPUTED_VALUE"""),1.0)</f>
        <v>1</v>
      </c>
      <c r="I2210" s="11">
        <f>IFERROR(__xludf.DUMMYFUNCTION("""COMPUTED_VALUE"""),1191.0)</f>
        <v>1191</v>
      </c>
      <c r="J2210" s="9" t="str">
        <f>IFERROR(__xludf.DUMMYFUNCTION("""COMPUTED_VALUE"""),"UK")</f>
        <v>UK</v>
      </c>
      <c r="K2210" s="8"/>
      <c r="L2210" s="12"/>
      <c r="M2210" s="13"/>
      <c r="N2210" s="13" t="str">
        <f>IFERROR(__xludf.DUMMYFUNCTION("IF(ISBLANK(M2210),"""",M2210*GOOGLEFINANCE(""USDGBP""))"),"")</f>
        <v/>
      </c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  <c r="FG2210" s="8"/>
      <c r="FH2210" s="8"/>
      <c r="FI2210" s="8"/>
      <c r="FJ2210" s="8"/>
      <c r="FK2210" s="8"/>
      <c r="FL2210" s="8"/>
      <c r="FM2210" s="8"/>
      <c r="FN2210" s="8"/>
      <c r="FO2210" s="8"/>
      <c r="FP2210" s="8"/>
      <c r="FQ2210" s="8"/>
      <c r="FR2210" s="8"/>
      <c r="FS2210" s="8"/>
      <c r="FT2210" s="8"/>
      <c r="FU2210" s="8"/>
      <c r="FV2210" s="8"/>
      <c r="FW2210" s="8"/>
      <c r="FX2210" s="8"/>
      <c r="FY2210" s="8"/>
      <c r="FZ2210" s="8"/>
      <c r="GA2210" s="8"/>
      <c r="GB2210" s="8"/>
      <c r="GC2210" s="8"/>
      <c r="GD2210" s="8"/>
      <c r="GE2210" s="8"/>
      <c r="GF2210" s="8"/>
      <c r="GG2210" s="8"/>
      <c r="GH2210" s="8"/>
      <c r="GI2210" s="8"/>
      <c r="GJ2210" s="8"/>
      <c r="GK2210" s="8"/>
      <c r="GL2210" s="8"/>
      <c r="GM2210" s="8"/>
      <c r="GN2210" s="8"/>
      <c r="GO2210" s="8"/>
      <c r="GP2210" s="8"/>
      <c r="GQ2210" s="8"/>
      <c r="GR2210" s="8"/>
      <c r="GS2210" s="8"/>
      <c r="GT2210" s="8"/>
      <c r="GU2210" s="8"/>
      <c r="GV2210" s="8"/>
      <c r="GW2210" s="8"/>
      <c r="GX2210" s="8"/>
    </row>
    <row r="2211">
      <c r="A2211" s="8" t="str">
        <f>IFERROR(__xludf.DUMMYFUNCTION("""COMPUTED_VALUE"""),"110968720140600750")</f>
        <v>110968720140600750</v>
      </c>
      <c r="B2211" s="9" t="str">
        <f>IFERROR(__xludf.DUMMYFUNCTION("""COMPUTED_VALUE"""),"France")</f>
        <v>France</v>
      </c>
      <c r="C2211" s="9" t="str">
        <f>IFERROR(__xludf.DUMMYFUNCTION("""COMPUTED_VALUE"""),"rhone")</f>
        <v>rhone</v>
      </c>
      <c r="D2211" s="9" t="str">
        <f>IFERROR(__xludf.DUMMYFUNCTION("""COMPUTED_VALUE"""),"M. Chapoutier, Hermitage, Le Meal Rouge")</f>
        <v>M. Chapoutier, Hermitage, Le Meal Rouge</v>
      </c>
      <c r="E2211" s="9">
        <f>IFERROR(__xludf.DUMMYFUNCTION("""COMPUTED_VALUE"""),2014.0)</f>
        <v>2014</v>
      </c>
      <c r="F2211" s="9">
        <f>IFERROR(__xludf.DUMMYFUNCTION("""COMPUTED_VALUE"""),750.0)</f>
        <v>750</v>
      </c>
      <c r="G2211" s="9">
        <f>IFERROR(__xludf.DUMMYFUNCTION("""COMPUTED_VALUE"""),6.0)</f>
        <v>6</v>
      </c>
      <c r="H2211" s="10">
        <f>IFERROR(__xludf.DUMMYFUNCTION("""COMPUTED_VALUE"""),2.0)</f>
        <v>2</v>
      </c>
      <c r="I2211" s="11">
        <f>IFERROR(__xludf.DUMMYFUNCTION("""COMPUTED_VALUE"""),897.0)</f>
        <v>897</v>
      </c>
      <c r="J2211" s="9" t="str">
        <f>IFERROR(__xludf.DUMMYFUNCTION("""COMPUTED_VALUE"""),"UK")</f>
        <v>UK</v>
      </c>
      <c r="K2211" s="8"/>
      <c r="L2211" s="12"/>
      <c r="M2211" s="13"/>
      <c r="N2211" s="13" t="str">
        <f>IFERROR(__xludf.DUMMYFUNCTION("IF(ISBLANK(M2211),"""",M2211*GOOGLEFINANCE(""USDGBP""))"),"")</f>
        <v/>
      </c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  <c r="FG2211" s="8"/>
      <c r="FH2211" s="8"/>
      <c r="FI2211" s="8"/>
      <c r="FJ2211" s="8"/>
      <c r="FK2211" s="8"/>
      <c r="FL2211" s="8"/>
      <c r="FM2211" s="8"/>
      <c r="FN2211" s="8"/>
      <c r="FO2211" s="8"/>
      <c r="FP2211" s="8"/>
      <c r="FQ2211" s="8"/>
      <c r="FR2211" s="8"/>
      <c r="FS2211" s="8"/>
      <c r="FT2211" s="8"/>
      <c r="FU2211" s="8"/>
      <c r="FV2211" s="8"/>
      <c r="FW2211" s="8"/>
      <c r="FX2211" s="8"/>
      <c r="FY2211" s="8"/>
      <c r="FZ2211" s="8"/>
      <c r="GA2211" s="8"/>
      <c r="GB2211" s="8"/>
      <c r="GC2211" s="8"/>
      <c r="GD2211" s="8"/>
      <c r="GE2211" s="8"/>
      <c r="GF2211" s="8"/>
      <c r="GG2211" s="8"/>
      <c r="GH2211" s="8"/>
      <c r="GI2211" s="8"/>
      <c r="GJ2211" s="8"/>
      <c r="GK2211" s="8"/>
      <c r="GL2211" s="8"/>
      <c r="GM2211" s="8"/>
      <c r="GN2211" s="8"/>
      <c r="GO2211" s="8"/>
      <c r="GP2211" s="8"/>
      <c r="GQ2211" s="8"/>
      <c r="GR2211" s="8"/>
      <c r="GS2211" s="8"/>
      <c r="GT2211" s="8"/>
      <c r="GU2211" s="8"/>
      <c r="GV2211" s="8"/>
      <c r="GW2211" s="8"/>
      <c r="GX2211" s="8"/>
    </row>
    <row r="2212">
      <c r="A2212" s="8" t="str">
        <f>IFERROR(__xludf.DUMMYFUNCTION("""COMPUTED_VALUE"""),"110968720150600750")</f>
        <v>110968720150600750</v>
      </c>
      <c r="B2212" s="9" t="str">
        <f>IFERROR(__xludf.DUMMYFUNCTION("""COMPUTED_VALUE"""),"France")</f>
        <v>France</v>
      </c>
      <c r="C2212" s="9" t="str">
        <f>IFERROR(__xludf.DUMMYFUNCTION("""COMPUTED_VALUE"""),"rhone")</f>
        <v>rhone</v>
      </c>
      <c r="D2212" s="9" t="str">
        <f>IFERROR(__xludf.DUMMYFUNCTION("""COMPUTED_VALUE"""),"M. Chapoutier, Hermitage, Le Meal Rouge")</f>
        <v>M. Chapoutier, Hermitage, Le Meal Rouge</v>
      </c>
      <c r="E2212" s="9">
        <f>IFERROR(__xludf.DUMMYFUNCTION("""COMPUTED_VALUE"""),2015.0)</f>
        <v>2015</v>
      </c>
      <c r="F2212" s="9">
        <f>IFERROR(__xludf.DUMMYFUNCTION("""COMPUTED_VALUE"""),750.0)</f>
        <v>750</v>
      </c>
      <c r="G2212" s="9">
        <f>IFERROR(__xludf.DUMMYFUNCTION("""COMPUTED_VALUE"""),6.0)</f>
        <v>6</v>
      </c>
      <c r="H2212" s="10">
        <f>IFERROR(__xludf.DUMMYFUNCTION("""COMPUTED_VALUE"""),1.0)</f>
        <v>1</v>
      </c>
      <c r="I2212" s="11">
        <f>IFERROR(__xludf.DUMMYFUNCTION("""COMPUTED_VALUE"""),1288.0)</f>
        <v>1288</v>
      </c>
      <c r="J2212" s="9" t="str">
        <f>IFERROR(__xludf.DUMMYFUNCTION("""COMPUTED_VALUE"""),"UK")</f>
        <v>UK</v>
      </c>
      <c r="K2212" s="8"/>
      <c r="L2212" s="12"/>
      <c r="M2212" s="13"/>
      <c r="N2212" s="13" t="str">
        <f>IFERROR(__xludf.DUMMYFUNCTION("IF(ISBLANK(M2212),"""",M2212*GOOGLEFINANCE(""USDGBP""))"),"")</f>
        <v/>
      </c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  <c r="FG2212" s="8"/>
      <c r="FH2212" s="8"/>
      <c r="FI2212" s="8"/>
      <c r="FJ2212" s="8"/>
      <c r="FK2212" s="8"/>
      <c r="FL2212" s="8"/>
      <c r="FM2212" s="8"/>
      <c r="FN2212" s="8"/>
      <c r="FO2212" s="8"/>
      <c r="FP2212" s="8"/>
      <c r="FQ2212" s="8"/>
      <c r="FR2212" s="8"/>
      <c r="FS2212" s="8"/>
      <c r="FT2212" s="8"/>
      <c r="FU2212" s="8"/>
      <c r="FV2212" s="8"/>
      <c r="FW2212" s="8"/>
      <c r="FX2212" s="8"/>
      <c r="FY2212" s="8"/>
      <c r="FZ2212" s="8"/>
      <c r="GA2212" s="8"/>
      <c r="GB2212" s="8"/>
      <c r="GC2212" s="8"/>
      <c r="GD2212" s="8"/>
      <c r="GE2212" s="8"/>
      <c r="GF2212" s="8"/>
      <c r="GG2212" s="8"/>
      <c r="GH2212" s="8"/>
      <c r="GI2212" s="8"/>
      <c r="GJ2212" s="8"/>
      <c r="GK2212" s="8"/>
      <c r="GL2212" s="8"/>
      <c r="GM2212" s="8"/>
      <c r="GN2212" s="8"/>
      <c r="GO2212" s="8"/>
      <c r="GP2212" s="8"/>
      <c r="GQ2212" s="8"/>
      <c r="GR2212" s="8"/>
      <c r="GS2212" s="8"/>
      <c r="GT2212" s="8"/>
      <c r="GU2212" s="8"/>
      <c r="GV2212" s="8"/>
      <c r="GW2212" s="8"/>
      <c r="GX2212" s="8"/>
    </row>
    <row r="2213">
      <c r="A2213" s="8" t="str">
        <f>IFERROR(__xludf.DUMMYFUNCTION("""COMPUTED_VALUE"""),"110968720180600750")</f>
        <v>110968720180600750</v>
      </c>
      <c r="B2213" s="9" t="str">
        <f>IFERROR(__xludf.DUMMYFUNCTION("""COMPUTED_VALUE"""),"France")</f>
        <v>France</v>
      </c>
      <c r="C2213" s="9" t="str">
        <f>IFERROR(__xludf.DUMMYFUNCTION("""COMPUTED_VALUE"""),"rhone")</f>
        <v>rhone</v>
      </c>
      <c r="D2213" s="9" t="str">
        <f>IFERROR(__xludf.DUMMYFUNCTION("""COMPUTED_VALUE"""),"M. Chapoutier, Hermitage, Le Meal Rouge")</f>
        <v>M. Chapoutier, Hermitage, Le Meal Rouge</v>
      </c>
      <c r="E2213" s="9">
        <f>IFERROR(__xludf.DUMMYFUNCTION("""COMPUTED_VALUE"""),2018.0)</f>
        <v>2018</v>
      </c>
      <c r="F2213" s="9">
        <f>IFERROR(__xludf.DUMMYFUNCTION("""COMPUTED_VALUE"""),750.0)</f>
        <v>750</v>
      </c>
      <c r="G2213" s="9">
        <f>IFERROR(__xludf.DUMMYFUNCTION("""COMPUTED_VALUE"""),6.0)</f>
        <v>6</v>
      </c>
      <c r="H2213" s="10">
        <f>IFERROR(__xludf.DUMMYFUNCTION("""COMPUTED_VALUE"""),1.0)</f>
        <v>1</v>
      </c>
      <c r="I2213" s="11">
        <f>IFERROR(__xludf.DUMMYFUNCTION("""COMPUTED_VALUE"""),1029.0)</f>
        <v>1029</v>
      </c>
      <c r="J2213" s="9" t="str">
        <f>IFERROR(__xludf.DUMMYFUNCTION("""COMPUTED_VALUE"""),"UK")</f>
        <v>UK</v>
      </c>
      <c r="K2213" s="8"/>
      <c r="L2213" s="12"/>
      <c r="M2213" s="13"/>
      <c r="N2213" s="13" t="str">
        <f>IFERROR(__xludf.DUMMYFUNCTION("IF(ISBLANK(M2213),"""",M2213*GOOGLEFINANCE(""USDGBP""))"),"")</f>
        <v/>
      </c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  <c r="FG2213" s="8"/>
      <c r="FH2213" s="8"/>
      <c r="FI2213" s="8"/>
      <c r="FJ2213" s="8"/>
      <c r="FK2213" s="8"/>
      <c r="FL2213" s="8"/>
      <c r="FM2213" s="8"/>
      <c r="FN2213" s="8"/>
      <c r="FO2213" s="8"/>
      <c r="FP2213" s="8"/>
      <c r="FQ2213" s="8"/>
      <c r="FR2213" s="8"/>
      <c r="FS2213" s="8"/>
      <c r="FT2213" s="8"/>
      <c r="FU2213" s="8"/>
      <c r="FV2213" s="8"/>
      <c r="FW2213" s="8"/>
      <c r="FX2213" s="8"/>
      <c r="FY2213" s="8"/>
      <c r="FZ2213" s="8"/>
      <c r="GA2213" s="8"/>
      <c r="GB2213" s="8"/>
      <c r="GC2213" s="8"/>
      <c r="GD2213" s="8"/>
      <c r="GE2213" s="8"/>
      <c r="GF2213" s="8"/>
      <c r="GG2213" s="8"/>
      <c r="GH2213" s="8"/>
      <c r="GI2213" s="8"/>
      <c r="GJ2213" s="8"/>
      <c r="GK2213" s="8"/>
      <c r="GL2213" s="8"/>
      <c r="GM2213" s="8"/>
      <c r="GN2213" s="8"/>
      <c r="GO2213" s="8"/>
      <c r="GP2213" s="8"/>
      <c r="GQ2213" s="8"/>
      <c r="GR2213" s="8"/>
      <c r="GS2213" s="8"/>
      <c r="GT2213" s="8"/>
      <c r="GU2213" s="8"/>
      <c r="GV2213" s="8"/>
      <c r="GW2213" s="8"/>
      <c r="GX2213" s="8"/>
    </row>
    <row r="2214">
      <c r="A2214" s="8" t="str">
        <f>IFERROR(__xludf.DUMMYFUNCTION("""COMPUTED_VALUE"""),"110967420110600750")</f>
        <v>110967420110600750</v>
      </c>
      <c r="B2214" s="9" t="str">
        <f>IFERROR(__xludf.DUMMYFUNCTION("""COMPUTED_VALUE"""),"France")</f>
        <v>France</v>
      </c>
      <c r="C2214" s="9" t="str">
        <f>IFERROR(__xludf.DUMMYFUNCTION("""COMPUTED_VALUE"""),"rhone")</f>
        <v>rhone</v>
      </c>
      <c r="D2214" s="9" t="str">
        <f>IFERROR(__xludf.DUMMYFUNCTION("""COMPUTED_VALUE"""),"M. Chapoutier, Hermitage, Les Greffieux")</f>
        <v>M. Chapoutier, Hermitage, Les Greffieux</v>
      </c>
      <c r="E2214" s="9">
        <f>IFERROR(__xludf.DUMMYFUNCTION("""COMPUTED_VALUE"""),2011.0)</f>
        <v>2011</v>
      </c>
      <c r="F2214" s="9">
        <f>IFERROR(__xludf.DUMMYFUNCTION("""COMPUTED_VALUE"""),750.0)</f>
        <v>750</v>
      </c>
      <c r="G2214" s="9">
        <f>IFERROR(__xludf.DUMMYFUNCTION("""COMPUTED_VALUE"""),6.0)</f>
        <v>6</v>
      </c>
      <c r="H2214" s="10">
        <f>IFERROR(__xludf.DUMMYFUNCTION("""COMPUTED_VALUE"""),1.0)</f>
        <v>1</v>
      </c>
      <c r="I2214" s="11">
        <f>IFERROR(__xludf.DUMMYFUNCTION("""COMPUTED_VALUE"""),599.0)</f>
        <v>599</v>
      </c>
      <c r="J2214" s="9" t="str">
        <f>IFERROR(__xludf.DUMMYFUNCTION("""COMPUTED_VALUE"""),"UK")</f>
        <v>UK</v>
      </c>
      <c r="K2214" s="8"/>
      <c r="L2214" s="12"/>
      <c r="M2214" s="13"/>
      <c r="N2214" s="13" t="str">
        <f>IFERROR(__xludf.DUMMYFUNCTION("IF(ISBLANK(M2214),"""",M2214*GOOGLEFINANCE(""USDGBP""))"),"")</f>
        <v/>
      </c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  <c r="FG2214" s="8"/>
      <c r="FH2214" s="8"/>
      <c r="FI2214" s="8"/>
      <c r="FJ2214" s="8"/>
      <c r="FK2214" s="8"/>
      <c r="FL2214" s="8"/>
      <c r="FM2214" s="8"/>
      <c r="FN2214" s="8"/>
      <c r="FO2214" s="8"/>
      <c r="FP2214" s="8"/>
      <c r="FQ2214" s="8"/>
      <c r="FR2214" s="8"/>
      <c r="FS2214" s="8"/>
      <c r="FT2214" s="8"/>
      <c r="FU2214" s="8"/>
      <c r="FV2214" s="8"/>
      <c r="FW2214" s="8"/>
      <c r="FX2214" s="8"/>
      <c r="FY2214" s="8"/>
      <c r="FZ2214" s="8"/>
      <c r="GA2214" s="8"/>
      <c r="GB2214" s="8"/>
      <c r="GC2214" s="8"/>
      <c r="GD2214" s="8"/>
      <c r="GE2214" s="8"/>
      <c r="GF2214" s="8"/>
      <c r="GG2214" s="8"/>
      <c r="GH2214" s="8"/>
      <c r="GI2214" s="8"/>
      <c r="GJ2214" s="8"/>
      <c r="GK2214" s="8"/>
      <c r="GL2214" s="8"/>
      <c r="GM2214" s="8"/>
      <c r="GN2214" s="8"/>
      <c r="GO2214" s="8"/>
      <c r="GP2214" s="8"/>
      <c r="GQ2214" s="8"/>
      <c r="GR2214" s="8"/>
      <c r="GS2214" s="8"/>
      <c r="GT2214" s="8"/>
      <c r="GU2214" s="8"/>
      <c r="GV2214" s="8"/>
      <c r="GW2214" s="8"/>
      <c r="GX2214" s="8"/>
    </row>
    <row r="2215">
      <c r="A2215" s="8" t="str">
        <f>IFERROR(__xludf.DUMMYFUNCTION("""COMPUTED_VALUE"""),"110967420120600750")</f>
        <v>110967420120600750</v>
      </c>
      <c r="B2215" s="9" t="str">
        <f>IFERROR(__xludf.DUMMYFUNCTION("""COMPUTED_VALUE"""),"France")</f>
        <v>France</v>
      </c>
      <c r="C2215" s="9" t="str">
        <f>IFERROR(__xludf.DUMMYFUNCTION("""COMPUTED_VALUE"""),"rhone")</f>
        <v>rhone</v>
      </c>
      <c r="D2215" s="9" t="str">
        <f>IFERROR(__xludf.DUMMYFUNCTION("""COMPUTED_VALUE"""),"M. Chapoutier, Hermitage, Les Greffieux")</f>
        <v>M. Chapoutier, Hermitage, Les Greffieux</v>
      </c>
      <c r="E2215" s="9">
        <f>IFERROR(__xludf.DUMMYFUNCTION("""COMPUTED_VALUE"""),2012.0)</f>
        <v>2012</v>
      </c>
      <c r="F2215" s="9">
        <f>IFERROR(__xludf.DUMMYFUNCTION("""COMPUTED_VALUE"""),750.0)</f>
        <v>750</v>
      </c>
      <c r="G2215" s="9">
        <f>IFERROR(__xludf.DUMMYFUNCTION("""COMPUTED_VALUE"""),6.0)</f>
        <v>6</v>
      </c>
      <c r="H2215" s="10">
        <f>IFERROR(__xludf.DUMMYFUNCTION("""COMPUTED_VALUE"""),2.0)</f>
        <v>2</v>
      </c>
      <c r="I2215" s="11">
        <f>IFERROR(__xludf.DUMMYFUNCTION("""COMPUTED_VALUE"""),675.0)</f>
        <v>675</v>
      </c>
      <c r="J2215" s="9" t="str">
        <f>IFERROR(__xludf.DUMMYFUNCTION("""COMPUTED_VALUE"""),"UK")</f>
        <v>UK</v>
      </c>
      <c r="K2215" s="8"/>
      <c r="L2215" s="12"/>
      <c r="M2215" s="13"/>
      <c r="N2215" s="13" t="str">
        <f>IFERROR(__xludf.DUMMYFUNCTION("IF(ISBLANK(M2215),"""",M2215*GOOGLEFINANCE(""USDGBP""))"),"")</f>
        <v/>
      </c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  <c r="FG2215" s="8"/>
      <c r="FH2215" s="8"/>
      <c r="FI2215" s="8"/>
      <c r="FJ2215" s="8"/>
      <c r="FK2215" s="8"/>
      <c r="FL2215" s="8"/>
      <c r="FM2215" s="8"/>
      <c r="FN2215" s="8"/>
      <c r="FO2215" s="8"/>
      <c r="FP2215" s="8"/>
      <c r="FQ2215" s="8"/>
      <c r="FR2215" s="8"/>
      <c r="FS2215" s="8"/>
      <c r="FT2215" s="8"/>
      <c r="FU2215" s="8"/>
      <c r="FV2215" s="8"/>
      <c r="FW2215" s="8"/>
      <c r="FX2215" s="8"/>
      <c r="FY2215" s="8"/>
      <c r="FZ2215" s="8"/>
      <c r="GA2215" s="8"/>
      <c r="GB2215" s="8"/>
      <c r="GC2215" s="8"/>
      <c r="GD2215" s="8"/>
      <c r="GE2215" s="8"/>
      <c r="GF2215" s="8"/>
      <c r="GG2215" s="8"/>
      <c r="GH2215" s="8"/>
      <c r="GI2215" s="8"/>
      <c r="GJ2215" s="8"/>
      <c r="GK2215" s="8"/>
      <c r="GL2215" s="8"/>
      <c r="GM2215" s="8"/>
      <c r="GN2215" s="8"/>
      <c r="GO2215" s="8"/>
      <c r="GP2215" s="8"/>
      <c r="GQ2215" s="8"/>
      <c r="GR2215" s="8"/>
      <c r="GS2215" s="8"/>
      <c r="GT2215" s="8"/>
      <c r="GU2215" s="8"/>
      <c r="GV2215" s="8"/>
      <c r="GW2215" s="8"/>
      <c r="GX2215" s="8"/>
    </row>
    <row r="2216">
      <c r="A2216" s="8" t="str">
        <f>IFERROR(__xludf.DUMMYFUNCTION("""COMPUTED_VALUE"""),"110967420180600750")</f>
        <v>110967420180600750</v>
      </c>
      <c r="B2216" s="9" t="str">
        <f>IFERROR(__xludf.DUMMYFUNCTION("""COMPUTED_VALUE"""),"France")</f>
        <v>France</v>
      </c>
      <c r="C2216" s="9" t="str">
        <f>IFERROR(__xludf.DUMMYFUNCTION("""COMPUTED_VALUE"""),"rhone")</f>
        <v>rhone</v>
      </c>
      <c r="D2216" s="9" t="str">
        <f>IFERROR(__xludf.DUMMYFUNCTION("""COMPUTED_VALUE"""),"M. Chapoutier, Hermitage, Les Greffieux")</f>
        <v>M. Chapoutier, Hermitage, Les Greffieux</v>
      </c>
      <c r="E2216" s="9">
        <f>IFERROR(__xludf.DUMMYFUNCTION("""COMPUTED_VALUE"""),2018.0)</f>
        <v>2018</v>
      </c>
      <c r="F2216" s="9">
        <f>IFERROR(__xludf.DUMMYFUNCTION("""COMPUTED_VALUE"""),750.0)</f>
        <v>750</v>
      </c>
      <c r="G2216" s="9">
        <f>IFERROR(__xludf.DUMMYFUNCTION("""COMPUTED_VALUE"""),6.0)</f>
        <v>6</v>
      </c>
      <c r="H2216" s="10">
        <f>IFERROR(__xludf.DUMMYFUNCTION("""COMPUTED_VALUE"""),1.0)</f>
        <v>1</v>
      </c>
      <c r="I2216" s="11">
        <f>IFERROR(__xludf.DUMMYFUNCTION("""COMPUTED_VALUE"""),779.0)</f>
        <v>779</v>
      </c>
      <c r="J2216" s="9" t="str">
        <f>IFERROR(__xludf.DUMMYFUNCTION("""COMPUTED_VALUE"""),"UK")</f>
        <v>UK</v>
      </c>
      <c r="K2216" s="8"/>
      <c r="L2216" s="12"/>
      <c r="M2216" s="13"/>
      <c r="N2216" s="13" t="str">
        <f>IFERROR(__xludf.DUMMYFUNCTION("IF(ISBLANK(M2216),"""",M2216*GOOGLEFINANCE(""USDGBP""))"),"")</f>
        <v/>
      </c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  <c r="FG2216" s="8"/>
      <c r="FH2216" s="8"/>
      <c r="FI2216" s="8"/>
      <c r="FJ2216" s="8"/>
      <c r="FK2216" s="8"/>
      <c r="FL2216" s="8"/>
      <c r="FM2216" s="8"/>
      <c r="FN2216" s="8"/>
      <c r="FO2216" s="8"/>
      <c r="FP2216" s="8"/>
      <c r="FQ2216" s="8"/>
      <c r="FR2216" s="8"/>
      <c r="FS2216" s="8"/>
      <c r="FT2216" s="8"/>
      <c r="FU2216" s="8"/>
      <c r="FV2216" s="8"/>
      <c r="FW2216" s="8"/>
      <c r="FX2216" s="8"/>
      <c r="FY2216" s="8"/>
      <c r="FZ2216" s="8"/>
      <c r="GA2216" s="8"/>
      <c r="GB2216" s="8"/>
      <c r="GC2216" s="8"/>
      <c r="GD2216" s="8"/>
      <c r="GE2216" s="8"/>
      <c r="GF2216" s="8"/>
      <c r="GG2216" s="8"/>
      <c r="GH2216" s="8"/>
      <c r="GI2216" s="8"/>
      <c r="GJ2216" s="8"/>
      <c r="GK2216" s="8"/>
      <c r="GL2216" s="8"/>
      <c r="GM2216" s="8"/>
      <c r="GN2216" s="8"/>
      <c r="GO2216" s="8"/>
      <c r="GP2216" s="8"/>
      <c r="GQ2216" s="8"/>
      <c r="GR2216" s="8"/>
      <c r="GS2216" s="8"/>
      <c r="GT2216" s="8"/>
      <c r="GU2216" s="8"/>
      <c r="GV2216" s="8"/>
      <c r="GW2216" s="8"/>
      <c r="GX2216" s="8"/>
    </row>
    <row r="2217">
      <c r="A2217" s="8" t="str">
        <f>IFERROR(__xludf.DUMMYFUNCTION("""COMPUTED_VALUE"""),"110966120080600750")</f>
        <v>110966120080600750</v>
      </c>
      <c r="B2217" s="9" t="str">
        <f>IFERROR(__xludf.DUMMYFUNCTION("""COMPUTED_VALUE"""),"France")</f>
        <v>France</v>
      </c>
      <c r="C2217" s="9" t="str">
        <f>IFERROR(__xludf.DUMMYFUNCTION("""COMPUTED_VALUE"""),"rhone")</f>
        <v>rhone</v>
      </c>
      <c r="D2217" s="9" t="str">
        <f>IFERROR(__xludf.DUMMYFUNCTION("""COMPUTED_VALUE"""),"M. Chapoutier, Hermitage, l'Ermite Rouge")</f>
        <v>M. Chapoutier, Hermitage, l'Ermite Rouge</v>
      </c>
      <c r="E2217" s="9">
        <f>IFERROR(__xludf.DUMMYFUNCTION("""COMPUTED_VALUE"""),2008.0)</f>
        <v>2008</v>
      </c>
      <c r="F2217" s="9">
        <f>IFERROR(__xludf.DUMMYFUNCTION("""COMPUTED_VALUE"""),750.0)</f>
        <v>750</v>
      </c>
      <c r="G2217" s="9">
        <f>IFERROR(__xludf.DUMMYFUNCTION("""COMPUTED_VALUE"""),6.0)</f>
        <v>6</v>
      </c>
      <c r="H2217" s="10">
        <f>IFERROR(__xludf.DUMMYFUNCTION("""COMPUTED_VALUE"""),4.0)</f>
        <v>4</v>
      </c>
      <c r="I2217" s="11">
        <f>IFERROR(__xludf.DUMMYFUNCTION("""COMPUTED_VALUE"""),1047.0)</f>
        <v>1047</v>
      </c>
      <c r="J2217" s="9" t="str">
        <f>IFERROR(__xludf.DUMMYFUNCTION("""COMPUTED_VALUE"""),"UK")</f>
        <v>UK</v>
      </c>
      <c r="K2217" s="8"/>
      <c r="L2217" s="12"/>
      <c r="M2217" s="13"/>
      <c r="N2217" s="13" t="str">
        <f>IFERROR(__xludf.DUMMYFUNCTION("IF(ISBLANK(M2217),"""",M2217*GOOGLEFINANCE(""USDGBP""))"),"")</f>
        <v/>
      </c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  <c r="FG2217" s="8"/>
      <c r="FH2217" s="8"/>
      <c r="FI2217" s="8"/>
      <c r="FJ2217" s="8"/>
      <c r="FK2217" s="8"/>
      <c r="FL2217" s="8"/>
      <c r="FM2217" s="8"/>
      <c r="FN2217" s="8"/>
      <c r="FO2217" s="8"/>
      <c r="FP2217" s="8"/>
      <c r="FQ2217" s="8"/>
      <c r="FR2217" s="8"/>
      <c r="FS2217" s="8"/>
      <c r="FT2217" s="8"/>
      <c r="FU2217" s="8"/>
      <c r="FV2217" s="8"/>
      <c r="FW2217" s="8"/>
      <c r="FX2217" s="8"/>
      <c r="FY2217" s="8"/>
      <c r="FZ2217" s="8"/>
      <c r="GA2217" s="8"/>
      <c r="GB2217" s="8"/>
      <c r="GC2217" s="8"/>
      <c r="GD2217" s="8"/>
      <c r="GE2217" s="8"/>
      <c r="GF2217" s="8"/>
      <c r="GG2217" s="8"/>
      <c r="GH2217" s="8"/>
      <c r="GI2217" s="8"/>
      <c r="GJ2217" s="8"/>
      <c r="GK2217" s="8"/>
      <c r="GL2217" s="8"/>
      <c r="GM2217" s="8"/>
      <c r="GN2217" s="8"/>
      <c r="GO2217" s="8"/>
      <c r="GP2217" s="8"/>
      <c r="GQ2217" s="8"/>
      <c r="GR2217" s="8"/>
      <c r="GS2217" s="8"/>
      <c r="GT2217" s="8"/>
      <c r="GU2217" s="8"/>
      <c r="GV2217" s="8"/>
      <c r="GW2217" s="8"/>
      <c r="GX2217" s="8"/>
    </row>
    <row r="2218">
      <c r="A2218" s="8" t="str">
        <f>IFERROR(__xludf.DUMMYFUNCTION("""COMPUTED_VALUE"""),"110966120140600750")</f>
        <v>110966120140600750</v>
      </c>
      <c r="B2218" s="9" t="str">
        <f>IFERROR(__xludf.DUMMYFUNCTION("""COMPUTED_VALUE"""),"France")</f>
        <v>France</v>
      </c>
      <c r="C2218" s="9" t="str">
        <f>IFERROR(__xludf.DUMMYFUNCTION("""COMPUTED_VALUE"""),"rhone")</f>
        <v>rhone</v>
      </c>
      <c r="D2218" s="9" t="str">
        <f>IFERROR(__xludf.DUMMYFUNCTION("""COMPUTED_VALUE"""),"M. Chapoutier, Hermitage, l'Ermite Rouge")</f>
        <v>M. Chapoutier, Hermitage, l'Ermite Rouge</v>
      </c>
      <c r="E2218" s="9">
        <f>IFERROR(__xludf.DUMMYFUNCTION("""COMPUTED_VALUE"""),2014.0)</f>
        <v>2014</v>
      </c>
      <c r="F2218" s="9">
        <f>IFERROR(__xludf.DUMMYFUNCTION("""COMPUTED_VALUE"""),750.0)</f>
        <v>750</v>
      </c>
      <c r="G2218" s="9">
        <f>IFERROR(__xludf.DUMMYFUNCTION("""COMPUTED_VALUE"""),6.0)</f>
        <v>6</v>
      </c>
      <c r="H2218" s="10">
        <f>IFERROR(__xludf.DUMMYFUNCTION("""COMPUTED_VALUE"""),1.0)</f>
        <v>1</v>
      </c>
      <c r="I2218" s="11">
        <f>IFERROR(__xludf.DUMMYFUNCTION("""COMPUTED_VALUE"""),1038.0)</f>
        <v>1038</v>
      </c>
      <c r="J2218" s="9" t="str">
        <f>IFERROR(__xludf.DUMMYFUNCTION("""COMPUTED_VALUE"""),"UK")</f>
        <v>UK</v>
      </c>
      <c r="K2218" s="8"/>
      <c r="L2218" s="12"/>
      <c r="M2218" s="13"/>
      <c r="N2218" s="13" t="str">
        <f>IFERROR(__xludf.DUMMYFUNCTION("IF(ISBLANK(M2218),"""",M2218*GOOGLEFINANCE(""USDGBP""))"),"")</f>
        <v/>
      </c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  <c r="FG2218" s="8"/>
      <c r="FH2218" s="8"/>
      <c r="FI2218" s="8"/>
      <c r="FJ2218" s="8"/>
      <c r="FK2218" s="8"/>
      <c r="FL2218" s="8"/>
      <c r="FM2218" s="8"/>
      <c r="FN2218" s="8"/>
      <c r="FO2218" s="8"/>
      <c r="FP2218" s="8"/>
      <c r="FQ2218" s="8"/>
      <c r="FR2218" s="8"/>
      <c r="FS2218" s="8"/>
      <c r="FT2218" s="8"/>
      <c r="FU2218" s="8"/>
      <c r="FV2218" s="8"/>
      <c r="FW2218" s="8"/>
      <c r="FX2218" s="8"/>
      <c r="FY2218" s="8"/>
      <c r="FZ2218" s="8"/>
      <c r="GA2218" s="8"/>
      <c r="GB2218" s="8"/>
      <c r="GC2218" s="8"/>
      <c r="GD2218" s="8"/>
      <c r="GE2218" s="8"/>
      <c r="GF2218" s="8"/>
      <c r="GG2218" s="8"/>
      <c r="GH2218" s="8"/>
      <c r="GI2218" s="8"/>
      <c r="GJ2218" s="8"/>
      <c r="GK2218" s="8"/>
      <c r="GL2218" s="8"/>
      <c r="GM2218" s="8"/>
      <c r="GN2218" s="8"/>
      <c r="GO2218" s="8"/>
      <c r="GP2218" s="8"/>
      <c r="GQ2218" s="8"/>
      <c r="GR2218" s="8"/>
      <c r="GS2218" s="8"/>
      <c r="GT2218" s="8"/>
      <c r="GU2218" s="8"/>
      <c r="GV2218" s="8"/>
      <c r="GW2218" s="8"/>
      <c r="GX2218" s="8"/>
    </row>
    <row r="2219">
      <c r="A2219" s="8" t="str">
        <f>IFERROR(__xludf.DUMMYFUNCTION("""COMPUTED_VALUE"""),"110966120170600750")</f>
        <v>110966120170600750</v>
      </c>
      <c r="B2219" s="9" t="str">
        <f>IFERROR(__xludf.DUMMYFUNCTION("""COMPUTED_VALUE"""),"France")</f>
        <v>France</v>
      </c>
      <c r="C2219" s="9" t="str">
        <f>IFERROR(__xludf.DUMMYFUNCTION("""COMPUTED_VALUE"""),"rhone")</f>
        <v>rhone</v>
      </c>
      <c r="D2219" s="9" t="str">
        <f>IFERROR(__xludf.DUMMYFUNCTION("""COMPUTED_VALUE"""),"M. Chapoutier, Hermitage, l'Ermite Rouge")</f>
        <v>M. Chapoutier, Hermitage, l'Ermite Rouge</v>
      </c>
      <c r="E2219" s="9">
        <f>IFERROR(__xludf.DUMMYFUNCTION("""COMPUTED_VALUE"""),2017.0)</f>
        <v>2017</v>
      </c>
      <c r="F2219" s="9">
        <f>IFERROR(__xludf.DUMMYFUNCTION("""COMPUTED_VALUE"""),750.0)</f>
        <v>750</v>
      </c>
      <c r="G2219" s="9">
        <f>IFERROR(__xludf.DUMMYFUNCTION("""COMPUTED_VALUE"""),6.0)</f>
        <v>6</v>
      </c>
      <c r="H2219" s="10">
        <f>IFERROR(__xludf.DUMMYFUNCTION("""COMPUTED_VALUE"""),3.0)</f>
        <v>3</v>
      </c>
      <c r="I2219" s="11">
        <f>IFERROR(__xludf.DUMMYFUNCTION("""COMPUTED_VALUE"""),1487.0)</f>
        <v>1487</v>
      </c>
      <c r="J2219" s="9" t="str">
        <f>IFERROR(__xludf.DUMMYFUNCTION("""COMPUTED_VALUE"""),"UK")</f>
        <v>UK</v>
      </c>
      <c r="K2219" s="8"/>
      <c r="L2219" s="12"/>
      <c r="M2219" s="13"/>
      <c r="N2219" s="13" t="str">
        <f>IFERROR(__xludf.DUMMYFUNCTION("IF(ISBLANK(M2219),"""",M2219*GOOGLEFINANCE(""USDGBP""))"),"")</f>
        <v/>
      </c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  <c r="FG2219" s="8"/>
      <c r="FH2219" s="8"/>
      <c r="FI2219" s="8"/>
      <c r="FJ2219" s="8"/>
      <c r="FK2219" s="8"/>
      <c r="FL2219" s="8"/>
      <c r="FM2219" s="8"/>
      <c r="FN2219" s="8"/>
      <c r="FO2219" s="8"/>
      <c r="FP2219" s="8"/>
      <c r="FQ2219" s="8"/>
      <c r="FR2219" s="8"/>
      <c r="FS2219" s="8"/>
      <c r="FT2219" s="8"/>
      <c r="FU2219" s="8"/>
      <c r="FV2219" s="8"/>
      <c r="FW2219" s="8"/>
      <c r="FX2219" s="8"/>
      <c r="FY2219" s="8"/>
      <c r="FZ2219" s="8"/>
      <c r="GA2219" s="8"/>
      <c r="GB2219" s="8"/>
      <c r="GC2219" s="8"/>
      <c r="GD2219" s="8"/>
      <c r="GE2219" s="8"/>
      <c r="GF2219" s="8"/>
      <c r="GG2219" s="8"/>
      <c r="GH2219" s="8"/>
      <c r="GI2219" s="8"/>
      <c r="GJ2219" s="8"/>
      <c r="GK2219" s="8"/>
      <c r="GL2219" s="8"/>
      <c r="GM2219" s="8"/>
      <c r="GN2219" s="8"/>
      <c r="GO2219" s="8"/>
      <c r="GP2219" s="8"/>
      <c r="GQ2219" s="8"/>
      <c r="GR2219" s="8"/>
      <c r="GS2219" s="8"/>
      <c r="GT2219" s="8"/>
      <c r="GU2219" s="8"/>
      <c r="GV2219" s="8"/>
      <c r="GW2219" s="8"/>
      <c r="GX2219" s="8"/>
    </row>
    <row r="2220">
      <c r="A2220" s="8" t="str">
        <f>IFERROR(__xludf.DUMMYFUNCTION("""COMPUTED_VALUE"""),"122128020190600750")</f>
        <v>122128020190600750</v>
      </c>
      <c r="B2220" s="9" t="str">
        <f>IFERROR(__xludf.DUMMYFUNCTION("""COMPUTED_VALUE"""),"France")</f>
        <v>France</v>
      </c>
      <c r="C2220" s="9" t="str">
        <f>IFERROR(__xludf.DUMMYFUNCTION("""COMPUTED_VALUE"""),"rhone")</f>
        <v>rhone</v>
      </c>
      <c r="D2220" s="9" t="str">
        <f>IFERROR(__xludf.DUMMYFUNCTION("""COMPUTED_VALUE"""),"M. Chapoutier, Saint-Joseph, Le Clos")</f>
        <v>M. Chapoutier, Saint-Joseph, Le Clos</v>
      </c>
      <c r="E2220" s="9">
        <f>IFERROR(__xludf.DUMMYFUNCTION("""COMPUTED_VALUE"""),2019.0)</f>
        <v>2019</v>
      </c>
      <c r="F2220" s="9">
        <f>IFERROR(__xludf.DUMMYFUNCTION("""COMPUTED_VALUE"""),750.0)</f>
        <v>750</v>
      </c>
      <c r="G2220" s="9">
        <f>IFERROR(__xludf.DUMMYFUNCTION("""COMPUTED_VALUE"""),6.0)</f>
        <v>6</v>
      </c>
      <c r="H2220" s="10">
        <f>IFERROR(__xludf.DUMMYFUNCTION("""COMPUTED_VALUE"""),1.0)</f>
        <v>1</v>
      </c>
      <c r="I2220" s="11">
        <f>IFERROR(__xludf.DUMMYFUNCTION("""COMPUTED_VALUE"""),462.0)</f>
        <v>462</v>
      </c>
      <c r="J2220" s="9" t="str">
        <f>IFERROR(__xludf.DUMMYFUNCTION("""COMPUTED_VALUE"""),"UK")</f>
        <v>UK</v>
      </c>
      <c r="K2220" s="8"/>
      <c r="L2220" s="12"/>
      <c r="M2220" s="13"/>
      <c r="N2220" s="13" t="str">
        <f>IFERROR(__xludf.DUMMYFUNCTION("IF(ISBLANK(M2220),"""",M2220*GOOGLEFINANCE(""USDGBP""))"),"")</f>
        <v/>
      </c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  <c r="FG2220" s="8"/>
      <c r="FH2220" s="8"/>
      <c r="FI2220" s="8"/>
      <c r="FJ2220" s="8"/>
      <c r="FK2220" s="8"/>
      <c r="FL2220" s="8"/>
      <c r="FM2220" s="8"/>
      <c r="FN2220" s="8"/>
      <c r="FO2220" s="8"/>
      <c r="FP2220" s="8"/>
      <c r="FQ2220" s="8"/>
      <c r="FR2220" s="8"/>
      <c r="FS2220" s="8"/>
      <c r="FT2220" s="8"/>
      <c r="FU2220" s="8"/>
      <c r="FV2220" s="8"/>
      <c r="FW2220" s="8"/>
      <c r="FX2220" s="8"/>
      <c r="FY2220" s="8"/>
      <c r="FZ2220" s="8"/>
      <c r="GA2220" s="8"/>
      <c r="GB2220" s="8"/>
      <c r="GC2220" s="8"/>
      <c r="GD2220" s="8"/>
      <c r="GE2220" s="8"/>
      <c r="GF2220" s="8"/>
      <c r="GG2220" s="8"/>
      <c r="GH2220" s="8"/>
      <c r="GI2220" s="8"/>
      <c r="GJ2220" s="8"/>
      <c r="GK2220" s="8"/>
      <c r="GL2220" s="8"/>
      <c r="GM2220" s="8"/>
      <c r="GN2220" s="8"/>
      <c r="GO2220" s="8"/>
      <c r="GP2220" s="8"/>
      <c r="GQ2220" s="8"/>
      <c r="GR2220" s="8"/>
      <c r="GS2220" s="8"/>
      <c r="GT2220" s="8"/>
      <c r="GU2220" s="8"/>
      <c r="GV2220" s="8"/>
      <c r="GW2220" s="8"/>
      <c r="GX2220" s="8"/>
    </row>
    <row r="2221">
      <c r="A2221" s="8" t="str">
        <f>IFERROR(__xludf.DUMMYFUNCTION("""COMPUTED_VALUE"""),"110890920160601500")</f>
        <v>110890920160601500</v>
      </c>
      <c r="B2221" s="9" t="str">
        <f>IFERROR(__xludf.DUMMYFUNCTION("""COMPUTED_VALUE"""),"France")</f>
        <v>France</v>
      </c>
      <c r="C2221" s="9" t="str">
        <f>IFERROR(__xludf.DUMMYFUNCTION("""COMPUTED_VALUE"""),"rhone")</f>
        <v>rhone</v>
      </c>
      <c r="D2221" s="9" t="str">
        <f>IFERROR(__xludf.DUMMYFUNCTION("""COMPUTED_VALUE"""),"Patrick &amp; Christophe Bonnefond, Cote Rotie, Rochains")</f>
        <v>Patrick &amp; Christophe Bonnefond, Cote Rotie, Rochains</v>
      </c>
      <c r="E2221" s="9">
        <f>IFERROR(__xludf.DUMMYFUNCTION("""COMPUTED_VALUE"""),2016.0)</f>
        <v>2016</v>
      </c>
      <c r="F2221" s="9">
        <f>IFERROR(__xludf.DUMMYFUNCTION("""COMPUTED_VALUE"""),1500.0)</f>
        <v>1500</v>
      </c>
      <c r="G2221" s="9">
        <f>IFERROR(__xludf.DUMMYFUNCTION("""COMPUTED_VALUE"""),6.0)</f>
        <v>6</v>
      </c>
      <c r="H2221" s="10">
        <f>IFERROR(__xludf.DUMMYFUNCTION("""COMPUTED_VALUE"""),1.0)</f>
        <v>1</v>
      </c>
      <c r="I2221" s="11">
        <f>IFERROR(__xludf.DUMMYFUNCTION("""COMPUTED_VALUE"""),654.0)</f>
        <v>654</v>
      </c>
      <c r="J2221" s="9" t="str">
        <f>IFERROR(__xludf.DUMMYFUNCTION("""COMPUTED_VALUE"""),"UK")</f>
        <v>UK</v>
      </c>
      <c r="K2221" s="8"/>
      <c r="L2221" s="12"/>
      <c r="M2221" s="13"/>
      <c r="N2221" s="13" t="str">
        <f>IFERROR(__xludf.DUMMYFUNCTION("IF(ISBLANK(M2221),"""",M2221*GOOGLEFINANCE(""USDGBP""))"),"")</f>
        <v/>
      </c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  <c r="FG2221" s="8"/>
      <c r="FH2221" s="8"/>
      <c r="FI2221" s="8"/>
      <c r="FJ2221" s="8"/>
      <c r="FK2221" s="8"/>
      <c r="FL2221" s="8"/>
      <c r="FM2221" s="8"/>
      <c r="FN2221" s="8"/>
      <c r="FO2221" s="8"/>
      <c r="FP2221" s="8"/>
      <c r="FQ2221" s="8"/>
      <c r="FR2221" s="8"/>
      <c r="FS2221" s="8"/>
      <c r="FT2221" s="8"/>
      <c r="FU2221" s="8"/>
      <c r="FV2221" s="8"/>
      <c r="FW2221" s="8"/>
      <c r="FX2221" s="8"/>
      <c r="FY2221" s="8"/>
      <c r="FZ2221" s="8"/>
      <c r="GA2221" s="8"/>
      <c r="GB2221" s="8"/>
      <c r="GC2221" s="8"/>
      <c r="GD2221" s="8"/>
      <c r="GE2221" s="8"/>
      <c r="GF2221" s="8"/>
      <c r="GG2221" s="8"/>
      <c r="GH2221" s="8"/>
      <c r="GI2221" s="8"/>
      <c r="GJ2221" s="8"/>
      <c r="GK2221" s="8"/>
      <c r="GL2221" s="8"/>
      <c r="GM2221" s="8"/>
      <c r="GN2221" s="8"/>
      <c r="GO2221" s="8"/>
      <c r="GP2221" s="8"/>
      <c r="GQ2221" s="8"/>
      <c r="GR2221" s="8"/>
      <c r="GS2221" s="8"/>
      <c r="GT2221" s="8"/>
      <c r="GU2221" s="8"/>
      <c r="GV2221" s="8"/>
      <c r="GW2221" s="8"/>
      <c r="GX2221" s="8"/>
    </row>
    <row r="2222">
      <c r="A2222" s="8" t="str">
        <f>IFERROR(__xludf.DUMMYFUNCTION("""COMPUTED_VALUE"""),"111227620160600750")</f>
        <v>111227620160600750</v>
      </c>
      <c r="B2222" s="9" t="str">
        <f>IFERROR(__xludf.DUMMYFUNCTION("""COMPUTED_VALUE"""),"France")</f>
        <v>France</v>
      </c>
      <c r="C2222" s="9" t="str">
        <f>IFERROR(__xludf.DUMMYFUNCTION("""COMPUTED_VALUE"""),"rhone")</f>
        <v>rhone</v>
      </c>
      <c r="D2222" s="9" t="str">
        <f>IFERROR(__xludf.DUMMYFUNCTION("""COMPUTED_VALUE"""),"Pierre Gaillard, Cote Rotie, Poupre Rose")</f>
        <v>Pierre Gaillard, Cote Rotie, Poupre Rose</v>
      </c>
      <c r="E2222" s="9">
        <f>IFERROR(__xludf.DUMMYFUNCTION("""COMPUTED_VALUE"""),2016.0)</f>
        <v>2016</v>
      </c>
      <c r="F2222" s="9">
        <f>IFERROR(__xludf.DUMMYFUNCTION("""COMPUTED_VALUE"""),750.0)</f>
        <v>750</v>
      </c>
      <c r="G2222" s="9">
        <f>IFERROR(__xludf.DUMMYFUNCTION("""COMPUTED_VALUE"""),6.0)</f>
        <v>6</v>
      </c>
      <c r="H2222" s="10">
        <f>IFERROR(__xludf.DUMMYFUNCTION("""COMPUTED_VALUE"""),2.0)</f>
        <v>2</v>
      </c>
      <c r="I2222" s="11">
        <f>IFERROR(__xludf.DUMMYFUNCTION("""COMPUTED_VALUE"""),565.0)</f>
        <v>565</v>
      </c>
      <c r="J2222" s="9" t="str">
        <f>IFERROR(__xludf.DUMMYFUNCTION("""COMPUTED_VALUE"""),"UK")</f>
        <v>UK</v>
      </c>
      <c r="K2222" s="8"/>
      <c r="L2222" s="12"/>
      <c r="M2222" s="13"/>
      <c r="N2222" s="13" t="str">
        <f>IFERROR(__xludf.DUMMYFUNCTION("IF(ISBLANK(M2222),"""",M2222*GOOGLEFINANCE(""USDGBP""))"),"")</f>
        <v/>
      </c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  <c r="FG2222" s="8"/>
      <c r="FH2222" s="8"/>
      <c r="FI2222" s="8"/>
      <c r="FJ2222" s="8"/>
      <c r="FK2222" s="8"/>
      <c r="FL2222" s="8"/>
      <c r="FM2222" s="8"/>
      <c r="FN2222" s="8"/>
      <c r="FO2222" s="8"/>
      <c r="FP2222" s="8"/>
      <c r="FQ2222" s="8"/>
      <c r="FR2222" s="8"/>
      <c r="FS2222" s="8"/>
      <c r="FT2222" s="8"/>
      <c r="FU2222" s="8"/>
      <c r="FV2222" s="8"/>
      <c r="FW2222" s="8"/>
      <c r="FX2222" s="8"/>
      <c r="FY2222" s="8"/>
      <c r="FZ2222" s="8"/>
      <c r="GA2222" s="8"/>
      <c r="GB2222" s="8"/>
      <c r="GC2222" s="8"/>
      <c r="GD2222" s="8"/>
      <c r="GE2222" s="8"/>
      <c r="GF2222" s="8"/>
      <c r="GG2222" s="8"/>
      <c r="GH2222" s="8"/>
      <c r="GI2222" s="8"/>
      <c r="GJ2222" s="8"/>
      <c r="GK2222" s="8"/>
      <c r="GL2222" s="8"/>
      <c r="GM2222" s="8"/>
      <c r="GN2222" s="8"/>
      <c r="GO2222" s="8"/>
      <c r="GP2222" s="8"/>
      <c r="GQ2222" s="8"/>
      <c r="GR2222" s="8"/>
      <c r="GS2222" s="8"/>
      <c r="GT2222" s="8"/>
      <c r="GU2222" s="8"/>
      <c r="GV2222" s="8"/>
      <c r="GW2222" s="8"/>
      <c r="GX2222" s="8"/>
    </row>
    <row r="2223">
      <c r="A2223" s="8" t="str">
        <f>IFERROR(__xludf.DUMMYFUNCTION("""COMPUTED_VALUE"""),"121386920110600750")</f>
        <v>121386920110600750</v>
      </c>
      <c r="B2223" s="9" t="str">
        <f>IFERROR(__xludf.DUMMYFUNCTION("""COMPUTED_VALUE"""),"France")</f>
        <v>France</v>
      </c>
      <c r="C2223" s="9" t="str">
        <f>IFERROR(__xludf.DUMMYFUNCTION("""COMPUTED_VALUE"""),"rhone")</f>
        <v>rhone</v>
      </c>
      <c r="D2223" s="9" t="str">
        <f>IFERROR(__xludf.DUMMYFUNCTION("""COMPUTED_VALUE"""),"Rotem &amp; Mounir Saouma, Chateauneuf-du-Pape, Omnia")</f>
        <v>Rotem &amp; Mounir Saouma, Chateauneuf-du-Pape, Omnia</v>
      </c>
      <c r="E2223" s="9">
        <f>IFERROR(__xludf.DUMMYFUNCTION("""COMPUTED_VALUE"""),2011.0)</f>
        <v>2011</v>
      </c>
      <c r="F2223" s="9">
        <f>IFERROR(__xludf.DUMMYFUNCTION("""COMPUTED_VALUE"""),750.0)</f>
        <v>750</v>
      </c>
      <c r="G2223" s="9">
        <f>IFERROR(__xludf.DUMMYFUNCTION("""COMPUTED_VALUE"""),6.0)</f>
        <v>6</v>
      </c>
      <c r="H2223" s="10">
        <f>IFERROR(__xludf.DUMMYFUNCTION("""COMPUTED_VALUE"""),1.0)</f>
        <v>1</v>
      </c>
      <c r="I2223" s="11">
        <f>IFERROR(__xludf.DUMMYFUNCTION("""COMPUTED_VALUE"""),369.0)</f>
        <v>369</v>
      </c>
      <c r="J2223" s="9" t="str">
        <f>IFERROR(__xludf.DUMMYFUNCTION("""COMPUTED_VALUE"""),"UK")</f>
        <v>UK</v>
      </c>
      <c r="K2223" s="8"/>
      <c r="L2223" s="12"/>
      <c r="M2223" s="13"/>
      <c r="N2223" s="13" t="str">
        <f>IFERROR(__xludf.DUMMYFUNCTION("IF(ISBLANK(M2223),"""",M2223*GOOGLEFINANCE(""USDGBP""))"),"")</f>
        <v/>
      </c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  <c r="FG2223" s="8"/>
      <c r="FH2223" s="8"/>
      <c r="FI2223" s="8"/>
      <c r="FJ2223" s="8"/>
      <c r="FK2223" s="8"/>
      <c r="FL2223" s="8"/>
      <c r="FM2223" s="8"/>
      <c r="FN2223" s="8"/>
      <c r="FO2223" s="8"/>
      <c r="FP2223" s="8"/>
      <c r="FQ2223" s="8"/>
      <c r="FR2223" s="8"/>
      <c r="FS2223" s="8"/>
      <c r="FT2223" s="8"/>
      <c r="FU2223" s="8"/>
      <c r="FV2223" s="8"/>
      <c r="FW2223" s="8"/>
      <c r="FX2223" s="8"/>
      <c r="FY2223" s="8"/>
      <c r="FZ2223" s="8"/>
      <c r="GA2223" s="8"/>
      <c r="GB2223" s="8"/>
      <c r="GC2223" s="8"/>
      <c r="GD2223" s="8"/>
      <c r="GE2223" s="8"/>
      <c r="GF2223" s="8"/>
      <c r="GG2223" s="8"/>
      <c r="GH2223" s="8"/>
      <c r="GI2223" s="8"/>
      <c r="GJ2223" s="8"/>
      <c r="GK2223" s="8"/>
      <c r="GL2223" s="8"/>
      <c r="GM2223" s="8"/>
      <c r="GN2223" s="8"/>
      <c r="GO2223" s="8"/>
      <c r="GP2223" s="8"/>
      <c r="GQ2223" s="8"/>
      <c r="GR2223" s="8"/>
      <c r="GS2223" s="8"/>
      <c r="GT2223" s="8"/>
      <c r="GU2223" s="8"/>
      <c r="GV2223" s="8"/>
      <c r="GW2223" s="8"/>
      <c r="GX2223" s="8"/>
    </row>
    <row r="2224">
      <c r="A2224" s="8" t="str">
        <f>IFERROR(__xludf.DUMMYFUNCTION("""COMPUTED_VALUE"""),"111491920130600750")</f>
        <v>111491920130600750</v>
      </c>
      <c r="B2224" s="9" t="str">
        <f>IFERROR(__xludf.DUMMYFUNCTION("""COMPUTED_VALUE"""),"France")</f>
        <v>France</v>
      </c>
      <c r="C2224" s="9" t="str">
        <f>IFERROR(__xludf.DUMMYFUNCTION("""COMPUTED_VALUE"""),"rhone")</f>
        <v>rhone</v>
      </c>
      <c r="D2224" s="9" t="str">
        <f>IFERROR(__xludf.DUMMYFUNCTION("""COMPUTED_VALUE"""),"Stephane Ogier, Cote Rotie, La Belle Helene")</f>
        <v>Stephane Ogier, Cote Rotie, La Belle Helene</v>
      </c>
      <c r="E2224" s="9">
        <f>IFERROR(__xludf.DUMMYFUNCTION("""COMPUTED_VALUE"""),2013.0)</f>
        <v>2013</v>
      </c>
      <c r="F2224" s="9">
        <f>IFERROR(__xludf.DUMMYFUNCTION("""COMPUTED_VALUE"""),750.0)</f>
        <v>750</v>
      </c>
      <c r="G2224" s="9">
        <f>IFERROR(__xludf.DUMMYFUNCTION("""COMPUTED_VALUE"""),6.0)</f>
        <v>6</v>
      </c>
      <c r="H2224" s="10">
        <f>IFERROR(__xludf.DUMMYFUNCTION("""COMPUTED_VALUE"""),1.0)</f>
        <v>1</v>
      </c>
      <c r="I2224" s="11">
        <f>IFERROR(__xludf.DUMMYFUNCTION("""COMPUTED_VALUE"""),968.0)</f>
        <v>968</v>
      </c>
      <c r="J2224" s="9" t="str">
        <f>IFERROR(__xludf.DUMMYFUNCTION("""COMPUTED_VALUE"""),"UK")</f>
        <v>UK</v>
      </c>
      <c r="K2224" s="8"/>
      <c r="L2224" s="12"/>
      <c r="M2224" s="13"/>
      <c r="N2224" s="13" t="str">
        <f>IFERROR(__xludf.DUMMYFUNCTION("IF(ISBLANK(M2224),"""",M2224*GOOGLEFINANCE(""USDGBP""))"),"")</f>
        <v/>
      </c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  <c r="FG2224" s="8"/>
      <c r="FH2224" s="8"/>
      <c r="FI2224" s="8"/>
      <c r="FJ2224" s="8"/>
      <c r="FK2224" s="8"/>
      <c r="FL2224" s="8"/>
      <c r="FM2224" s="8"/>
      <c r="FN2224" s="8"/>
      <c r="FO2224" s="8"/>
      <c r="FP2224" s="8"/>
      <c r="FQ2224" s="8"/>
      <c r="FR2224" s="8"/>
      <c r="FS2224" s="8"/>
      <c r="FT2224" s="8"/>
      <c r="FU2224" s="8"/>
      <c r="FV2224" s="8"/>
      <c r="FW2224" s="8"/>
      <c r="FX2224" s="8"/>
      <c r="FY2224" s="8"/>
      <c r="FZ2224" s="8"/>
      <c r="GA2224" s="8"/>
      <c r="GB2224" s="8"/>
      <c r="GC2224" s="8"/>
      <c r="GD2224" s="8"/>
      <c r="GE2224" s="8"/>
      <c r="GF2224" s="8"/>
      <c r="GG2224" s="8"/>
      <c r="GH2224" s="8"/>
      <c r="GI2224" s="8"/>
      <c r="GJ2224" s="8"/>
      <c r="GK2224" s="8"/>
      <c r="GL2224" s="8"/>
      <c r="GM2224" s="8"/>
      <c r="GN2224" s="8"/>
      <c r="GO2224" s="8"/>
      <c r="GP2224" s="8"/>
      <c r="GQ2224" s="8"/>
      <c r="GR2224" s="8"/>
      <c r="GS2224" s="8"/>
      <c r="GT2224" s="8"/>
      <c r="GU2224" s="8"/>
      <c r="GV2224" s="8"/>
      <c r="GW2224" s="8"/>
      <c r="GX2224" s="8"/>
    </row>
    <row r="2225">
      <c r="A2225" s="8" t="str">
        <f>IFERROR(__xludf.DUMMYFUNCTION("""COMPUTED_VALUE"""),"110809720150600750")</f>
        <v>110809720150600750</v>
      </c>
      <c r="B2225" s="9" t="str">
        <f>IFERROR(__xludf.DUMMYFUNCTION("""COMPUTED_VALUE"""),"France")</f>
        <v>France</v>
      </c>
      <c r="C2225" s="9" t="str">
        <f>IFERROR(__xludf.DUMMYFUNCTION("""COMPUTED_VALUE"""),"rhone")</f>
        <v>rhone</v>
      </c>
      <c r="D2225" s="9" t="str">
        <f>IFERROR(__xludf.DUMMYFUNCTION("""COMPUTED_VALUE"""),"Thierry Allemand, Cornas, Reynard")</f>
        <v>Thierry Allemand, Cornas, Reynard</v>
      </c>
      <c r="E2225" s="9">
        <f>IFERROR(__xludf.DUMMYFUNCTION("""COMPUTED_VALUE"""),2015.0)</f>
        <v>2015</v>
      </c>
      <c r="F2225" s="9">
        <f>IFERROR(__xludf.DUMMYFUNCTION("""COMPUTED_VALUE"""),750.0)</f>
        <v>750</v>
      </c>
      <c r="G2225" s="9">
        <f>IFERROR(__xludf.DUMMYFUNCTION("""COMPUTED_VALUE"""),6.0)</f>
        <v>6</v>
      </c>
      <c r="H2225" s="10">
        <f>IFERROR(__xludf.DUMMYFUNCTION("""COMPUTED_VALUE"""),2.0)</f>
        <v>2</v>
      </c>
      <c r="I2225" s="11">
        <f>IFERROR(__xludf.DUMMYFUNCTION("""COMPUTED_VALUE"""),1848.0)</f>
        <v>1848</v>
      </c>
      <c r="J2225" s="9" t="str">
        <f>IFERROR(__xludf.DUMMYFUNCTION("""COMPUTED_VALUE"""),"UK")</f>
        <v>UK</v>
      </c>
      <c r="K2225" s="8"/>
      <c r="L2225" s="12"/>
      <c r="M2225" s="13"/>
      <c r="N2225" s="13" t="str">
        <f>IFERROR(__xludf.DUMMYFUNCTION("IF(ISBLANK(M2225),"""",M2225*GOOGLEFINANCE(""USDGBP""))"),"")</f>
        <v/>
      </c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  <c r="FG2225" s="8"/>
      <c r="FH2225" s="8"/>
      <c r="FI2225" s="8"/>
      <c r="FJ2225" s="8"/>
      <c r="FK2225" s="8"/>
      <c r="FL2225" s="8"/>
      <c r="FM2225" s="8"/>
      <c r="FN2225" s="8"/>
      <c r="FO2225" s="8"/>
      <c r="FP2225" s="8"/>
      <c r="FQ2225" s="8"/>
      <c r="FR2225" s="8"/>
      <c r="FS2225" s="8"/>
      <c r="FT2225" s="8"/>
      <c r="FU2225" s="8"/>
      <c r="FV2225" s="8"/>
      <c r="FW2225" s="8"/>
      <c r="FX2225" s="8"/>
      <c r="FY2225" s="8"/>
      <c r="FZ2225" s="8"/>
      <c r="GA2225" s="8"/>
      <c r="GB2225" s="8"/>
      <c r="GC2225" s="8"/>
      <c r="GD2225" s="8"/>
      <c r="GE2225" s="8"/>
      <c r="GF2225" s="8"/>
      <c r="GG2225" s="8"/>
      <c r="GH2225" s="8"/>
      <c r="GI2225" s="8"/>
      <c r="GJ2225" s="8"/>
      <c r="GK2225" s="8"/>
      <c r="GL2225" s="8"/>
      <c r="GM2225" s="8"/>
      <c r="GN2225" s="8"/>
      <c r="GO2225" s="8"/>
      <c r="GP2225" s="8"/>
      <c r="GQ2225" s="8"/>
      <c r="GR2225" s="8"/>
      <c r="GS2225" s="8"/>
      <c r="GT2225" s="8"/>
      <c r="GU2225" s="8"/>
      <c r="GV2225" s="8"/>
      <c r="GW2225" s="8"/>
      <c r="GX2225" s="8"/>
    </row>
    <row r="2226">
      <c r="A2226" s="8" t="str">
        <f>IFERROR(__xludf.DUMMYFUNCTION("""COMPUTED_VALUE"""),"110809720181200750")</f>
        <v>110809720181200750</v>
      </c>
      <c r="B2226" s="9" t="str">
        <f>IFERROR(__xludf.DUMMYFUNCTION("""COMPUTED_VALUE"""),"France")</f>
        <v>France</v>
      </c>
      <c r="C2226" s="9" t="str">
        <f>IFERROR(__xludf.DUMMYFUNCTION("""COMPUTED_VALUE"""),"rhone")</f>
        <v>rhone</v>
      </c>
      <c r="D2226" s="9" t="str">
        <f>IFERROR(__xludf.DUMMYFUNCTION("""COMPUTED_VALUE"""),"Thierry Allemand, Cornas, Reynard")</f>
        <v>Thierry Allemand, Cornas, Reynard</v>
      </c>
      <c r="E2226" s="9">
        <f>IFERROR(__xludf.DUMMYFUNCTION("""COMPUTED_VALUE"""),2018.0)</f>
        <v>2018</v>
      </c>
      <c r="F2226" s="9">
        <f>IFERROR(__xludf.DUMMYFUNCTION("""COMPUTED_VALUE"""),750.0)</f>
        <v>750</v>
      </c>
      <c r="G2226" s="9">
        <f>IFERROR(__xludf.DUMMYFUNCTION("""COMPUTED_VALUE"""),12.0)</f>
        <v>12</v>
      </c>
      <c r="H2226" s="10">
        <f>IFERROR(__xludf.DUMMYFUNCTION("""COMPUTED_VALUE"""),1.0)</f>
        <v>1</v>
      </c>
      <c r="I2226" s="11">
        <f>IFERROR(__xludf.DUMMYFUNCTION("""COMPUTED_VALUE"""),3236.0)</f>
        <v>3236</v>
      </c>
      <c r="J2226" s="9" t="str">
        <f>IFERROR(__xludf.DUMMYFUNCTION("""COMPUTED_VALUE"""),"UK")</f>
        <v>UK</v>
      </c>
      <c r="K2226" s="8"/>
      <c r="L2226" s="12"/>
      <c r="M2226" s="13"/>
      <c r="N2226" s="13" t="str">
        <f>IFERROR(__xludf.DUMMYFUNCTION("IF(ISBLANK(M2226),"""",M2226*GOOGLEFINANCE(""USDGBP""))"),"")</f>
        <v/>
      </c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  <c r="FG2226" s="8"/>
      <c r="FH2226" s="8"/>
      <c r="FI2226" s="8"/>
      <c r="FJ2226" s="8"/>
      <c r="FK2226" s="8"/>
      <c r="FL2226" s="8"/>
      <c r="FM2226" s="8"/>
      <c r="FN2226" s="8"/>
      <c r="FO2226" s="8"/>
      <c r="FP2226" s="8"/>
      <c r="FQ2226" s="8"/>
      <c r="FR2226" s="8"/>
      <c r="FS2226" s="8"/>
      <c r="FT2226" s="8"/>
      <c r="FU2226" s="8"/>
      <c r="FV2226" s="8"/>
      <c r="FW2226" s="8"/>
      <c r="FX2226" s="8"/>
      <c r="FY2226" s="8"/>
      <c r="FZ2226" s="8"/>
      <c r="GA2226" s="8"/>
      <c r="GB2226" s="8"/>
      <c r="GC2226" s="8"/>
      <c r="GD2226" s="8"/>
      <c r="GE2226" s="8"/>
      <c r="GF2226" s="8"/>
      <c r="GG2226" s="8"/>
      <c r="GH2226" s="8"/>
      <c r="GI2226" s="8"/>
      <c r="GJ2226" s="8"/>
      <c r="GK2226" s="8"/>
      <c r="GL2226" s="8"/>
      <c r="GM2226" s="8"/>
      <c r="GN2226" s="8"/>
      <c r="GO2226" s="8"/>
      <c r="GP2226" s="8"/>
      <c r="GQ2226" s="8"/>
      <c r="GR2226" s="8"/>
      <c r="GS2226" s="8"/>
      <c r="GT2226" s="8"/>
      <c r="GU2226" s="8"/>
      <c r="GV2226" s="8"/>
      <c r="GW2226" s="8"/>
      <c r="GX2226" s="8"/>
    </row>
    <row r="2227">
      <c r="A2227" s="8" t="str">
        <f>IFERROR(__xludf.DUMMYFUNCTION("""COMPUTED_VALUE"""),"133060120061200750")</f>
        <v>133060120061200750</v>
      </c>
      <c r="B2227" s="9" t="str">
        <f>IFERROR(__xludf.DUMMYFUNCTION("""COMPUTED_VALUE"""),"France")</f>
        <v>France</v>
      </c>
      <c r="C2227" s="9" t="str">
        <f>IFERROR(__xludf.DUMMYFUNCTION("""COMPUTED_VALUE"""),"rhone")</f>
        <v>rhone</v>
      </c>
      <c r="D2227" s="9" t="str">
        <f>IFERROR(__xludf.DUMMYFUNCTION("""COMPUTED_VALUE"""),"Vieux Donjon (Michel Lucien), Chateauneuf-du-Pape, Rouge")</f>
        <v>Vieux Donjon (Michel Lucien), Chateauneuf-du-Pape, Rouge</v>
      </c>
      <c r="E2227" s="9">
        <f>IFERROR(__xludf.DUMMYFUNCTION("""COMPUTED_VALUE"""),2006.0)</f>
        <v>2006</v>
      </c>
      <c r="F2227" s="9">
        <f>IFERROR(__xludf.DUMMYFUNCTION("""COMPUTED_VALUE"""),750.0)</f>
        <v>750</v>
      </c>
      <c r="G2227" s="9">
        <f>IFERROR(__xludf.DUMMYFUNCTION("""COMPUTED_VALUE"""),12.0)</f>
        <v>12</v>
      </c>
      <c r="H2227" s="10">
        <f>IFERROR(__xludf.DUMMYFUNCTION("""COMPUTED_VALUE"""),1.0)</f>
        <v>1</v>
      </c>
      <c r="I2227" s="11">
        <f>IFERROR(__xludf.DUMMYFUNCTION("""COMPUTED_VALUE"""),608.0)</f>
        <v>608</v>
      </c>
      <c r="J2227" s="9" t="str">
        <f>IFERROR(__xludf.DUMMYFUNCTION("""COMPUTED_VALUE"""),"UK")</f>
        <v>UK</v>
      </c>
      <c r="K2227" s="8"/>
      <c r="L2227" s="12"/>
      <c r="M2227" s="13"/>
      <c r="N2227" s="13" t="str">
        <f>IFERROR(__xludf.DUMMYFUNCTION("IF(ISBLANK(M2227),"""",M2227*GOOGLEFINANCE(""USDGBP""))"),"")</f>
        <v/>
      </c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  <c r="FG2227" s="8"/>
      <c r="FH2227" s="8"/>
      <c r="FI2227" s="8"/>
      <c r="FJ2227" s="8"/>
      <c r="FK2227" s="8"/>
      <c r="FL2227" s="8"/>
      <c r="FM2227" s="8"/>
      <c r="FN2227" s="8"/>
      <c r="FO2227" s="8"/>
      <c r="FP2227" s="8"/>
      <c r="FQ2227" s="8"/>
      <c r="FR2227" s="8"/>
      <c r="FS2227" s="8"/>
      <c r="FT2227" s="8"/>
      <c r="FU2227" s="8"/>
      <c r="FV2227" s="8"/>
      <c r="FW2227" s="8"/>
      <c r="FX2227" s="8"/>
      <c r="FY2227" s="8"/>
      <c r="FZ2227" s="8"/>
      <c r="GA2227" s="8"/>
      <c r="GB2227" s="8"/>
      <c r="GC2227" s="8"/>
      <c r="GD2227" s="8"/>
      <c r="GE2227" s="8"/>
      <c r="GF2227" s="8"/>
      <c r="GG2227" s="8"/>
      <c r="GH2227" s="8"/>
      <c r="GI2227" s="8"/>
      <c r="GJ2227" s="8"/>
      <c r="GK2227" s="8"/>
      <c r="GL2227" s="8"/>
      <c r="GM2227" s="8"/>
      <c r="GN2227" s="8"/>
      <c r="GO2227" s="8"/>
      <c r="GP2227" s="8"/>
      <c r="GQ2227" s="8"/>
      <c r="GR2227" s="8"/>
      <c r="GS2227" s="8"/>
      <c r="GT2227" s="8"/>
      <c r="GU2227" s="8"/>
      <c r="GV2227" s="8"/>
      <c r="GW2227" s="8"/>
      <c r="GX2227" s="8"/>
    </row>
    <row r="2228">
      <c r="A2228" s="8" t="str">
        <f>IFERROR(__xludf.DUMMYFUNCTION("""COMPUTED_VALUE"""),"133060120181200750")</f>
        <v>133060120181200750</v>
      </c>
      <c r="B2228" s="9" t="str">
        <f>IFERROR(__xludf.DUMMYFUNCTION("""COMPUTED_VALUE"""),"France")</f>
        <v>France</v>
      </c>
      <c r="C2228" s="9" t="str">
        <f>IFERROR(__xludf.DUMMYFUNCTION("""COMPUTED_VALUE"""),"rhone")</f>
        <v>rhone</v>
      </c>
      <c r="D2228" s="9" t="str">
        <f>IFERROR(__xludf.DUMMYFUNCTION("""COMPUTED_VALUE"""),"Vieux Donjon (Michel Lucien), Chateauneuf-du-Pape, Rouge")</f>
        <v>Vieux Donjon (Michel Lucien), Chateauneuf-du-Pape, Rouge</v>
      </c>
      <c r="E2228" s="9">
        <f>IFERROR(__xludf.DUMMYFUNCTION("""COMPUTED_VALUE"""),2018.0)</f>
        <v>2018</v>
      </c>
      <c r="F2228" s="9">
        <f>IFERROR(__xludf.DUMMYFUNCTION("""COMPUTED_VALUE"""),750.0)</f>
        <v>750</v>
      </c>
      <c r="G2228" s="9">
        <f>IFERROR(__xludf.DUMMYFUNCTION("""COMPUTED_VALUE"""),12.0)</f>
        <v>12</v>
      </c>
      <c r="H2228" s="10">
        <f>IFERROR(__xludf.DUMMYFUNCTION("""COMPUTED_VALUE"""),3.0)</f>
        <v>3</v>
      </c>
      <c r="I2228" s="11">
        <f>IFERROR(__xludf.DUMMYFUNCTION("""COMPUTED_VALUE"""),391.0)</f>
        <v>391</v>
      </c>
      <c r="J2228" s="9" t="str">
        <f>IFERROR(__xludf.DUMMYFUNCTION("""COMPUTED_VALUE"""),"UK")</f>
        <v>UK</v>
      </c>
      <c r="K2228" s="8"/>
      <c r="L2228" s="12"/>
      <c r="M2228" s="13"/>
      <c r="N2228" s="13" t="str">
        <f>IFERROR(__xludf.DUMMYFUNCTION("IF(ISBLANK(M2228),"""",M2228*GOOGLEFINANCE(""USDGBP""))"),"")</f>
        <v/>
      </c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  <c r="FG2228" s="8"/>
      <c r="FH2228" s="8"/>
      <c r="FI2228" s="8"/>
      <c r="FJ2228" s="8"/>
      <c r="FK2228" s="8"/>
      <c r="FL2228" s="8"/>
      <c r="FM2228" s="8"/>
      <c r="FN2228" s="8"/>
      <c r="FO2228" s="8"/>
      <c r="FP2228" s="8"/>
      <c r="FQ2228" s="8"/>
      <c r="FR2228" s="8"/>
      <c r="FS2228" s="8"/>
      <c r="FT2228" s="8"/>
      <c r="FU2228" s="8"/>
      <c r="FV2228" s="8"/>
      <c r="FW2228" s="8"/>
      <c r="FX2228" s="8"/>
      <c r="FY2228" s="8"/>
      <c r="FZ2228" s="8"/>
      <c r="GA2228" s="8"/>
      <c r="GB2228" s="8"/>
      <c r="GC2228" s="8"/>
      <c r="GD2228" s="8"/>
      <c r="GE2228" s="8"/>
      <c r="GF2228" s="8"/>
      <c r="GG2228" s="8"/>
      <c r="GH2228" s="8"/>
      <c r="GI2228" s="8"/>
      <c r="GJ2228" s="8"/>
      <c r="GK2228" s="8"/>
      <c r="GL2228" s="8"/>
      <c r="GM2228" s="8"/>
      <c r="GN2228" s="8"/>
      <c r="GO2228" s="8"/>
      <c r="GP2228" s="8"/>
      <c r="GQ2228" s="8"/>
      <c r="GR2228" s="8"/>
      <c r="GS2228" s="8"/>
      <c r="GT2228" s="8"/>
      <c r="GU2228" s="8"/>
      <c r="GV2228" s="8"/>
      <c r="GW2228" s="8"/>
      <c r="GX2228" s="8"/>
    </row>
    <row r="2229">
      <c r="A2229" s="8" t="str">
        <f>IFERROR(__xludf.DUMMYFUNCTION("""COMPUTED_VALUE"""),"111028520041200750")</f>
        <v>111028520041200750</v>
      </c>
      <c r="B2229" s="9" t="str">
        <f>IFERROR(__xludf.DUMMYFUNCTION("""COMPUTED_VALUE"""),"France")</f>
        <v>France</v>
      </c>
      <c r="C2229" s="9" t="str">
        <f>IFERROR(__xludf.DUMMYFUNCTION("""COMPUTED_VALUE"""),"rhone")</f>
        <v>rhone</v>
      </c>
      <c r="D2229" s="9" t="str">
        <f>IFERROR(__xludf.DUMMYFUNCTION("""COMPUTED_VALUE"""),"le Clos du Caillou, Chateauneuf-du-Pape, La Reserve")</f>
        <v>le Clos du Caillou, Chateauneuf-du-Pape, La Reserve</v>
      </c>
      <c r="E2229" s="9">
        <f>IFERROR(__xludf.DUMMYFUNCTION("""COMPUTED_VALUE"""),2004.0)</f>
        <v>2004</v>
      </c>
      <c r="F2229" s="9">
        <f>IFERROR(__xludf.DUMMYFUNCTION("""COMPUTED_VALUE"""),750.0)</f>
        <v>750</v>
      </c>
      <c r="G2229" s="9">
        <f>IFERROR(__xludf.DUMMYFUNCTION("""COMPUTED_VALUE"""),12.0)</f>
        <v>12</v>
      </c>
      <c r="H2229" s="10">
        <f>IFERROR(__xludf.DUMMYFUNCTION("""COMPUTED_VALUE"""),1.0)</f>
        <v>1</v>
      </c>
      <c r="I2229" s="11">
        <f>IFERROR(__xludf.DUMMYFUNCTION("""COMPUTED_VALUE"""),793.0)</f>
        <v>793</v>
      </c>
      <c r="J2229" s="9" t="str">
        <f>IFERROR(__xludf.DUMMYFUNCTION("""COMPUTED_VALUE"""),"UK")</f>
        <v>UK</v>
      </c>
      <c r="K2229" s="8"/>
      <c r="L2229" s="12"/>
      <c r="M2229" s="13"/>
      <c r="N2229" s="13" t="str">
        <f>IFERROR(__xludf.DUMMYFUNCTION("IF(ISBLANK(M2229),"""",M2229*GOOGLEFINANCE(""USDGBP""))"),"")</f>
        <v/>
      </c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  <c r="FG2229" s="8"/>
      <c r="FH2229" s="8"/>
      <c r="FI2229" s="8"/>
      <c r="FJ2229" s="8"/>
      <c r="FK2229" s="8"/>
      <c r="FL2229" s="8"/>
      <c r="FM2229" s="8"/>
      <c r="FN2229" s="8"/>
      <c r="FO2229" s="8"/>
      <c r="FP2229" s="8"/>
      <c r="FQ2229" s="8"/>
      <c r="FR2229" s="8"/>
      <c r="FS2229" s="8"/>
      <c r="FT2229" s="8"/>
      <c r="FU2229" s="8"/>
      <c r="FV2229" s="8"/>
      <c r="FW2229" s="8"/>
      <c r="FX2229" s="8"/>
      <c r="FY2229" s="8"/>
      <c r="FZ2229" s="8"/>
      <c r="GA2229" s="8"/>
      <c r="GB2229" s="8"/>
      <c r="GC2229" s="8"/>
      <c r="GD2229" s="8"/>
      <c r="GE2229" s="8"/>
      <c r="GF2229" s="8"/>
      <c r="GG2229" s="8"/>
      <c r="GH2229" s="8"/>
      <c r="GI2229" s="8"/>
      <c r="GJ2229" s="8"/>
      <c r="GK2229" s="8"/>
      <c r="GL2229" s="8"/>
      <c r="GM2229" s="8"/>
      <c r="GN2229" s="8"/>
      <c r="GO2229" s="8"/>
      <c r="GP2229" s="8"/>
      <c r="GQ2229" s="8"/>
      <c r="GR2229" s="8"/>
      <c r="GS2229" s="8"/>
      <c r="GT2229" s="8"/>
      <c r="GU2229" s="8"/>
      <c r="GV2229" s="8"/>
      <c r="GW2229" s="8"/>
      <c r="GX2229" s="8"/>
    </row>
    <row r="2230">
      <c r="A2230" s="8" t="str">
        <f>IFERROR(__xludf.DUMMYFUNCTION("""COMPUTED_VALUE"""),"111519220131200750")</f>
        <v>111519220131200750</v>
      </c>
      <c r="B2230" s="9" t="str">
        <f>IFERROR(__xludf.DUMMYFUNCTION("""COMPUTED_VALUE"""),"France")</f>
        <v>France</v>
      </c>
      <c r="C2230" s="9" t="str">
        <f>IFERROR(__xludf.DUMMYFUNCTION("""COMPUTED_VALUE"""),"rhone")</f>
        <v>rhone</v>
      </c>
      <c r="D2230" s="9" t="str">
        <f>IFERROR(__xludf.DUMMYFUNCTION("""COMPUTED_VALUE"""),"Andre Perret, Condrieu, Coteaux Chery")</f>
        <v>Andre Perret, Condrieu, Coteaux Chery</v>
      </c>
      <c r="E2230" s="9">
        <f>IFERROR(__xludf.DUMMYFUNCTION("""COMPUTED_VALUE"""),2013.0)</f>
        <v>2013</v>
      </c>
      <c r="F2230" s="9">
        <f>IFERROR(__xludf.DUMMYFUNCTION("""COMPUTED_VALUE"""),750.0)</f>
        <v>750</v>
      </c>
      <c r="G2230" s="9">
        <f>IFERROR(__xludf.DUMMYFUNCTION("""COMPUTED_VALUE"""),12.0)</f>
        <v>12</v>
      </c>
      <c r="H2230" s="10">
        <f>IFERROR(__xludf.DUMMYFUNCTION("""COMPUTED_VALUE"""),1.0)</f>
        <v>1</v>
      </c>
      <c r="I2230" s="11">
        <f>IFERROR(__xludf.DUMMYFUNCTION("""COMPUTED_VALUE"""),459.0)</f>
        <v>459</v>
      </c>
      <c r="J2230" s="9" t="str">
        <f>IFERROR(__xludf.DUMMYFUNCTION("""COMPUTED_VALUE"""),"UK")</f>
        <v>UK</v>
      </c>
      <c r="K2230" s="8"/>
      <c r="L2230" s="12"/>
      <c r="M2230" s="13"/>
      <c r="N2230" s="13" t="str">
        <f>IFERROR(__xludf.DUMMYFUNCTION("IF(ISBLANK(M2230),"""",M2230*GOOGLEFINANCE(""USDGBP""))"),"")</f>
        <v/>
      </c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  <c r="FG2230" s="8"/>
      <c r="FH2230" s="8"/>
      <c r="FI2230" s="8"/>
      <c r="FJ2230" s="8"/>
      <c r="FK2230" s="8"/>
      <c r="FL2230" s="8"/>
      <c r="FM2230" s="8"/>
      <c r="FN2230" s="8"/>
      <c r="FO2230" s="8"/>
      <c r="FP2230" s="8"/>
      <c r="FQ2230" s="8"/>
      <c r="FR2230" s="8"/>
      <c r="FS2230" s="8"/>
      <c r="FT2230" s="8"/>
      <c r="FU2230" s="8"/>
      <c r="FV2230" s="8"/>
      <c r="FW2230" s="8"/>
      <c r="FX2230" s="8"/>
      <c r="FY2230" s="8"/>
      <c r="FZ2230" s="8"/>
      <c r="GA2230" s="8"/>
      <c r="GB2230" s="8"/>
      <c r="GC2230" s="8"/>
      <c r="GD2230" s="8"/>
      <c r="GE2230" s="8"/>
      <c r="GF2230" s="8"/>
      <c r="GG2230" s="8"/>
      <c r="GH2230" s="8"/>
      <c r="GI2230" s="8"/>
      <c r="GJ2230" s="8"/>
      <c r="GK2230" s="8"/>
      <c r="GL2230" s="8"/>
      <c r="GM2230" s="8"/>
      <c r="GN2230" s="8"/>
      <c r="GO2230" s="8"/>
      <c r="GP2230" s="8"/>
      <c r="GQ2230" s="8"/>
      <c r="GR2230" s="8"/>
      <c r="GS2230" s="8"/>
      <c r="GT2230" s="8"/>
      <c r="GU2230" s="8"/>
      <c r="GV2230" s="8"/>
      <c r="GW2230" s="8"/>
      <c r="GX2230" s="8"/>
    </row>
    <row r="2231">
      <c r="A2231" s="8" t="str">
        <f>IFERROR(__xludf.DUMMYFUNCTION("""COMPUTED_VALUE"""),"111519220181200750")</f>
        <v>111519220181200750</v>
      </c>
      <c r="B2231" s="9" t="str">
        <f>IFERROR(__xludf.DUMMYFUNCTION("""COMPUTED_VALUE"""),"France")</f>
        <v>France</v>
      </c>
      <c r="C2231" s="9" t="str">
        <f>IFERROR(__xludf.DUMMYFUNCTION("""COMPUTED_VALUE"""),"rhone")</f>
        <v>rhone</v>
      </c>
      <c r="D2231" s="9" t="str">
        <f>IFERROR(__xludf.DUMMYFUNCTION("""COMPUTED_VALUE"""),"Andre Perret, Condrieu, Coteaux Chery")</f>
        <v>Andre Perret, Condrieu, Coteaux Chery</v>
      </c>
      <c r="E2231" s="9">
        <f>IFERROR(__xludf.DUMMYFUNCTION("""COMPUTED_VALUE"""),2018.0)</f>
        <v>2018</v>
      </c>
      <c r="F2231" s="9">
        <f>IFERROR(__xludf.DUMMYFUNCTION("""COMPUTED_VALUE"""),750.0)</f>
        <v>750</v>
      </c>
      <c r="G2231" s="9">
        <f>IFERROR(__xludf.DUMMYFUNCTION("""COMPUTED_VALUE"""),12.0)</f>
        <v>12</v>
      </c>
      <c r="H2231" s="10">
        <f>IFERROR(__xludf.DUMMYFUNCTION("""COMPUTED_VALUE"""),1.0)</f>
        <v>1</v>
      </c>
      <c r="I2231" s="11">
        <f>IFERROR(__xludf.DUMMYFUNCTION("""COMPUTED_VALUE"""),448.0)</f>
        <v>448</v>
      </c>
      <c r="J2231" s="9" t="str">
        <f>IFERROR(__xludf.DUMMYFUNCTION("""COMPUTED_VALUE"""),"UK")</f>
        <v>UK</v>
      </c>
      <c r="K2231" s="8"/>
      <c r="L2231" s="12"/>
      <c r="M2231" s="13"/>
      <c r="N2231" s="13" t="str">
        <f>IFERROR(__xludf.DUMMYFUNCTION("IF(ISBLANK(M2231),"""",M2231*GOOGLEFINANCE(""USDGBP""))"),"")</f>
        <v/>
      </c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  <c r="FG2231" s="8"/>
      <c r="FH2231" s="8"/>
      <c r="FI2231" s="8"/>
      <c r="FJ2231" s="8"/>
      <c r="FK2231" s="8"/>
      <c r="FL2231" s="8"/>
      <c r="FM2231" s="8"/>
      <c r="FN2231" s="8"/>
      <c r="FO2231" s="8"/>
      <c r="FP2231" s="8"/>
      <c r="FQ2231" s="8"/>
      <c r="FR2231" s="8"/>
      <c r="FS2231" s="8"/>
      <c r="FT2231" s="8"/>
      <c r="FU2231" s="8"/>
      <c r="FV2231" s="8"/>
      <c r="FW2231" s="8"/>
      <c r="FX2231" s="8"/>
      <c r="FY2231" s="8"/>
      <c r="FZ2231" s="8"/>
      <c r="GA2231" s="8"/>
      <c r="GB2231" s="8"/>
      <c r="GC2231" s="8"/>
      <c r="GD2231" s="8"/>
      <c r="GE2231" s="8"/>
      <c r="GF2231" s="8"/>
      <c r="GG2231" s="8"/>
      <c r="GH2231" s="8"/>
      <c r="GI2231" s="8"/>
      <c r="GJ2231" s="8"/>
      <c r="GK2231" s="8"/>
      <c r="GL2231" s="8"/>
      <c r="GM2231" s="8"/>
      <c r="GN2231" s="8"/>
      <c r="GO2231" s="8"/>
      <c r="GP2231" s="8"/>
      <c r="GQ2231" s="8"/>
      <c r="GR2231" s="8"/>
      <c r="GS2231" s="8"/>
      <c r="GT2231" s="8"/>
      <c r="GU2231" s="8"/>
      <c r="GV2231" s="8"/>
      <c r="GW2231" s="8"/>
      <c r="GX2231" s="8"/>
    </row>
    <row r="2232">
      <c r="A2232" s="8" t="str">
        <f>IFERROR(__xludf.DUMMYFUNCTION("""COMPUTED_VALUE"""),"111049020171200750")</f>
        <v>111049020171200750</v>
      </c>
      <c r="B2232" s="9" t="str">
        <f>IFERROR(__xludf.DUMMYFUNCTION("""COMPUTED_VALUE"""),"France")</f>
        <v>France</v>
      </c>
      <c r="C2232" s="9" t="str">
        <f>IFERROR(__xludf.DUMMYFUNCTION("""COMPUTED_VALUE"""),"rhone")</f>
        <v>rhone</v>
      </c>
      <c r="D2232" s="9" t="str">
        <f>IFERROR(__xludf.DUMMYFUNCTION("""COMPUTED_VALUE"""),"Clos des Papes, Chateauneuf-du-Pape, Blanc")</f>
        <v>Clos des Papes, Chateauneuf-du-Pape, Blanc</v>
      </c>
      <c r="E2232" s="9">
        <f>IFERROR(__xludf.DUMMYFUNCTION("""COMPUTED_VALUE"""),2017.0)</f>
        <v>2017</v>
      </c>
      <c r="F2232" s="9">
        <f>IFERROR(__xludf.DUMMYFUNCTION("""COMPUTED_VALUE"""),750.0)</f>
        <v>750</v>
      </c>
      <c r="G2232" s="9">
        <f>IFERROR(__xludf.DUMMYFUNCTION("""COMPUTED_VALUE"""),12.0)</f>
        <v>12</v>
      </c>
      <c r="H2232" s="10">
        <f>IFERROR(__xludf.DUMMYFUNCTION("""COMPUTED_VALUE"""),1.0)</f>
        <v>1</v>
      </c>
      <c r="I2232" s="11">
        <f>IFERROR(__xludf.DUMMYFUNCTION("""COMPUTED_VALUE"""),795.0)</f>
        <v>795</v>
      </c>
      <c r="J2232" s="9" t="str">
        <f>IFERROR(__xludf.DUMMYFUNCTION("""COMPUTED_VALUE"""),"UK")</f>
        <v>UK</v>
      </c>
      <c r="K2232" s="8"/>
      <c r="L2232" s="12"/>
      <c r="M2232" s="13"/>
      <c r="N2232" s="13" t="str">
        <f>IFERROR(__xludf.DUMMYFUNCTION("IF(ISBLANK(M2232),"""",M2232*GOOGLEFINANCE(""USDGBP""))"),"")</f>
        <v/>
      </c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  <c r="FG2232" s="8"/>
      <c r="FH2232" s="8"/>
      <c r="FI2232" s="8"/>
      <c r="FJ2232" s="8"/>
      <c r="FK2232" s="8"/>
      <c r="FL2232" s="8"/>
      <c r="FM2232" s="8"/>
      <c r="FN2232" s="8"/>
      <c r="FO2232" s="8"/>
      <c r="FP2232" s="8"/>
      <c r="FQ2232" s="8"/>
      <c r="FR2232" s="8"/>
      <c r="FS2232" s="8"/>
      <c r="FT2232" s="8"/>
      <c r="FU2232" s="8"/>
      <c r="FV2232" s="8"/>
      <c r="FW2232" s="8"/>
      <c r="FX2232" s="8"/>
      <c r="FY2232" s="8"/>
      <c r="FZ2232" s="8"/>
      <c r="GA2232" s="8"/>
      <c r="GB2232" s="8"/>
      <c r="GC2232" s="8"/>
      <c r="GD2232" s="8"/>
      <c r="GE2232" s="8"/>
      <c r="GF2232" s="8"/>
      <c r="GG2232" s="8"/>
      <c r="GH2232" s="8"/>
      <c r="GI2232" s="8"/>
      <c r="GJ2232" s="8"/>
      <c r="GK2232" s="8"/>
      <c r="GL2232" s="8"/>
      <c r="GM2232" s="8"/>
      <c r="GN2232" s="8"/>
      <c r="GO2232" s="8"/>
      <c r="GP2232" s="8"/>
      <c r="GQ2232" s="8"/>
      <c r="GR2232" s="8"/>
      <c r="GS2232" s="8"/>
      <c r="GT2232" s="8"/>
      <c r="GU2232" s="8"/>
      <c r="GV2232" s="8"/>
      <c r="GW2232" s="8"/>
      <c r="GX2232" s="8"/>
    </row>
    <row r="2233">
      <c r="A2233" s="8" t="str">
        <f>IFERROR(__xludf.DUMMYFUNCTION("""COMPUTED_VALUE"""),"111256620170600750")</f>
        <v>111256620170600750</v>
      </c>
      <c r="B2233" s="9" t="str">
        <f>IFERROR(__xludf.DUMMYFUNCTION("""COMPUTED_VALUE"""),"France")</f>
        <v>France</v>
      </c>
      <c r="C2233" s="9" t="str">
        <f>IFERROR(__xludf.DUMMYFUNCTION("""COMPUTED_VALUE"""),"rhone")</f>
        <v>rhone</v>
      </c>
      <c r="D2233" s="9" t="str">
        <f>IFERROR(__xludf.DUMMYFUNCTION("""COMPUTED_VALUE"""),"Domaine Georges Vernay, Condrieu, Coteau de Vernon")</f>
        <v>Domaine Georges Vernay, Condrieu, Coteau de Vernon</v>
      </c>
      <c r="E2233" s="9">
        <f>IFERROR(__xludf.DUMMYFUNCTION("""COMPUTED_VALUE"""),2017.0)</f>
        <v>2017</v>
      </c>
      <c r="F2233" s="9">
        <f>IFERROR(__xludf.DUMMYFUNCTION("""COMPUTED_VALUE"""),750.0)</f>
        <v>750</v>
      </c>
      <c r="G2233" s="9">
        <f>IFERROR(__xludf.DUMMYFUNCTION("""COMPUTED_VALUE"""),6.0)</f>
        <v>6</v>
      </c>
      <c r="H2233" s="10">
        <f>IFERROR(__xludf.DUMMYFUNCTION("""COMPUTED_VALUE"""),1.0)</f>
        <v>1</v>
      </c>
      <c r="I2233" s="11">
        <f>IFERROR(__xludf.DUMMYFUNCTION("""COMPUTED_VALUE"""),793.0)</f>
        <v>793</v>
      </c>
      <c r="J2233" s="9" t="str">
        <f>IFERROR(__xludf.DUMMYFUNCTION("""COMPUTED_VALUE"""),"UK")</f>
        <v>UK</v>
      </c>
      <c r="K2233" s="8"/>
      <c r="L2233" s="12"/>
      <c r="M2233" s="13"/>
      <c r="N2233" s="13" t="str">
        <f>IFERROR(__xludf.DUMMYFUNCTION("IF(ISBLANK(M2233),"""",M2233*GOOGLEFINANCE(""USDGBP""))"),"")</f>
        <v/>
      </c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  <c r="FG2233" s="8"/>
      <c r="FH2233" s="8"/>
      <c r="FI2233" s="8"/>
      <c r="FJ2233" s="8"/>
      <c r="FK2233" s="8"/>
      <c r="FL2233" s="8"/>
      <c r="FM2233" s="8"/>
      <c r="FN2233" s="8"/>
      <c r="FO2233" s="8"/>
      <c r="FP2233" s="8"/>
      <c r="FQ2233" s="8"/>
      <c r="FR2233" s="8"/>
      <c r="FS2233" s="8"/>
      <c r="FT2233" s="8"/>
      <c r="FU2233" s="8"/>
      <c r="FV2233" s="8"/>
      <c r="FW2233" s="8"/>
      <c r="FX2233" s="8"/>
      <c r="FY2233" s="8"/>
      <c r="FZ2233" s="8"/>
      <c r="GA2233" s="8"/>
      <c r="GB2233" s="8"/>
      <c r="GC2233" s="8"/>
      <c r="GD2233" s="8"/>
      <c r="GE2233" s="8"/>
      <c r="GF2233" s="8"/>
      <c r="GG2233" s="8"/>
      <c r="GH2233" s="8"/>
      <c r="GI2233" s="8"/>
      <c r="GJ2233" s="8"/>
      <c r="GK2233" s="8"/>
      <c r="GL2233" s="8"/>
      <c r="GM2233" s="8"/>
      <c r="GN2233" s="8"/>
      <c r="GO2233" s="8"/>
      <c r="GP2233" s="8"/>
      <c r="GQ2233" s="8"/>
      <c r="GR2233" s="8"/>
      <c r="GS2233" s="8"/>
      <c r="GT2233" s="8"/>
      <c r="GU2233" s="8"/>
      <c r="GV2233" s="8"/>
      <c r="GW2233" s="8"/>
      <c r="GX2233" s="8"/>
    </row>
    <row r="2234">
      <c r="A2234" s="8" t="str">
        <f>IFERROR(__xludf.DUMMYFUNCTION("""COMPUTED_VALUE"""),"113460320180600750")</f>
        <v>113460320180600750</v>
      </c>
      <c r="B2234" s="9" t="str">
        <f>IFERROR(__xludf.DUMMYFUNCTION("""COMPUTED_VALUE"""),"France")</f>
        <v>France</v>
      </c>
      <c r="C2234" s="9" t="str">
        <f>IFERROR(__xludf.DUMMYFUNCTION("""COMPUTED_VALUE"""),"rhone")</f>
        <v>rhone</v>
      </c>
      <c r="D2234" s="9" t="str">
        <f>IFERROR(__xludf.DUMMYFUNCTION("""COMPUTED_VALUE"""),"Domaine Jean Louis Chave, Hermitage, Blanc")</f>
        <v>Domaine Jean Louis Chave, Hermitage, Blanc</v>
      </c>
      <c r="E2234" s="9">
        <f>IFERROR(__xludf.DUMMYFUNCTION("""COMPUTED_VALUE"""),2018.0)</f>
        <v>2018</v>
      </c>
      <c r="F2234" s="9">
        <f>IFERROR(__xludf.DUMMYFUNCTION("""COMPUTED_VALUE"""),750.0)</f>
        <v>750</v>
      </c>
      <c r="G2234" s="9">
        <f>IFERROR(__xludf.DUMMYFUNCTION("""COMPUTED_VALUE"""),6.0)</f>
        <v>6</v>
      </c>
      <c r="H2234" s="10">
        <f>IFERROR(__xludf.DUMMYFUNCTION("""COMPUTED_VALUE"""),1.0)</f>
        <v>1</v>
      </c>
      <c r="I2234" s="11">
        <f>IFERROR(__xludf.DUMMYFUNCTION("""COMPUTED_VALUE"""),1750.0)</f>
        <v>1750</v>
      </c>
      <c r="J2234" s="9" t="str">
        <f>IFERROR(__xludf.DUMMYFUNCTION("""COMPUTED_VALUE"""),"UK")</f>
        <v>UK</v>
      </c>
      <c r="K2234" s="8"/>
      <c r="L2234" s="12"/>
      <c r="M2234" s="13"/>
      <c r="N2234" s="13" t="str">
        <f>IFERROR(__xludf.DUMMYFUNCTION("IF(ISBLANK(M2234),"""",M2234*GOOGLEFINANCE(""USDGBP""))"),"")</f>
        <v/>
      </c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  <c r="FG2234" s="8"/>
      <c r="FH2234" s="8"/>
      <c r="FI2234" s="8"/>
      <c r="FJ2234" s="8"/>
      <c r="FK2234" s="8"/>
      <c r="FL2234" s="8"/>
      <c r="FM2234" s="8"/>
      <c r="FN2234" s="8"/>
      <c r="FO2234" s="8"/>
      <c r="FP2234" s="8"/>
      <c r="FQ2234" s="8"/>
      <c r="FR2234" s="8"/>
      <c r="FS2234" s="8"/>
      <c r="FT2234" s="8"/>
      <c r="FU2234" s="8"/>
      <c r="FV2234" s="8"/>
      <c r="FW2234" s="8"/>
      <c r="FX2234" s="8"/>
      <c r="FY2234" s="8"/>
      <c r="FZ2234" s="8"/>
      <c r="GA2234" s="8"/>
      <c r="GB2234" s="8"/>
      <c r="GC2234" s="8"/>
      <c r="GD2234" s="8"/>
      <c r="GE2234" s="8"/>
      <c r="GF2234" s="8"/>
      <c r="GG2234" s="8"/>
      <c r="GH2234" s="8"/>
      <c r="GI2234" s="8"/>
      <c r="GJ2234" s="8"/>
      <c r="GK2234" s="8"/>
      <c r="GL2234" s="8"/>
      <c r="GM2234" s="8"/>
      <c r="GN2234" s="8"/>
      <c r="GO2234" s="8"/>
      <c r="GP2234" s="8"/>
      <c r="GQ2234" s="8"/>
      <c r="GR2234" s="8"/>
      <c r="GS2234" s="8"/>
      <c r="GT2234" s="8"/>
      <c r="GU2234" s="8"/>
      <c r="GV2234" s="8"/>
      <c r="GW2234" s="8"/>
      <c r="GX2234" s="8"/>
    </row>
    <row r="2235">
      <c r="A2235" s="8" t="str">
        <f>IFERROR(__xludf.DUMMYFUNCTION("""COMPUTED_VALUE"""),"111602720161200750")</f>
        <v>111602720161200750</v>
      </c>
      <c r="B2235" s="9" t="str">
        <f>IFERROR(__xludf.DUMMYFUNCTION("""COMPUTED_VALUE"""),"France")</f>
        <v>France</v>
      </c>
      <c r="C2235" s="9" t="str">
        <f>IFERROR(__xludf.DUMMYFUNCTION("""COMPUTED_VALUE"""),"rhone")</f>
        <v>rhone</v>
      </c>
      <c r="D2235" s="9" t="str">
        <f>IFERROR(__xludf.DUMMYFUNCTION("""COMPUTED_VALUE"""),"Domaine Rostaing, Condrieu, La Bonnette")</f>
        <v>Domaine Rostaing, Condrieu, La Bonnette</v>
      </c>
      <c r="E2235" s="9">
        <f>IFERROR(__xludf.DUMMYFUNCTION("""COMPUTED_VALUE"""),2016.0)</f>
        <v>2016</v>
      </c>
      <c r="F2235" s="9">
        <f>IFERROR(__xludf.DUMMYFUNCTION("""COMPUTED_VALUE"""),750.0)</f>
        <v>750</v>
      </c>
      <c r="G2235" s="9">
        <f>IFERROR(__xludf.DUMMYFUNCTION("""COMPUTED_VALUE"""),12.0)</f>
        <v>12</v>
      </c>
      <c r="H2235" s="10">
        <f>IFERROR(__xludf.DUMMYFUNCTION("""COMPUTED_VALUE"""),1.0)</f>
        <v>1</v>
      </c>
      <c r="I2235" s="11">
        <f>IFERROR(__xludf.DUMMYFUNCTION("""COMPUTED_VALUE"""),593.0)</f>
        <v>593</v>
      </c>
      <c r="J2235" s="9" t="str">
        <f>IFERROR(__xludf.DUMMYFUNCTION("""COMPUTED_VALUE"""),"UK")</f>
        <v>UK</v>
      </c>
      <c r="K2235" s="8"/>
      <c r="L2235" s="12"/>
      <c r="M2235" s="13"/>
      <c r="N2235" s="13" t="str">
        <f>IFERROR(__xludf.DUMMYFUNCTION("IF(ISBLANK(M2235),"""",M2235*GOOGLEFINANCE(""USDGBP""))"),"")</f>
        <v/>
      </c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  <c r="FG2235" s="8"/>
      <c r="FH2235" s="8"/>
      <c r="FI2235" s="8"/>
      <c r="FJ2235" s="8"/>
      <c r="FK2235" s="8"/>
      <c r="FL2235" s="8"/>
      <c r="FM2235" s="8"/>
      <c r="FN2235" s="8"/>
      <c r="FO2235" s="8"/>
      <c r="FP2235" s="8"/>
      <c r="FQ2235" s="8"/>
      <c r="FR2235" s="8"/>
      <c r="FS2235" s="8"/>
      <c r="FT2235" s="8"/>
      <c r="FU2235" s="8"/>
      <c r="FV2235" s="8"/>
      <c r="FW2235" s="8"/>
      <c r="FX2235" s="8"/>
      <c r="FY2235" s="8"/>
      <c r="FZ2235" s="8"/>
      <c r="GA2235" s="8"/>
      <c r="GB2235" s="8"/>
      <c r="GC2235" s="8"/>
      <c r="GD2235" s="8"/>
      <c r="GE2235" s="8"/>
      <c r="GF2235" s="8"/>
      <c r="GG2235" s="8"/>
      <c r="GH2235" s="8"/>
      <c r="GI2235" s="8"/>
      <c r="GJ2235" s="8"/>
      <c r="GK2235" s="8"/>
      <c r="GL2235" s="8"/>
      <c r="GM2235" s="8"/>
      <c r="GN2235" s="8"/>
      <c r="GO2235" s="8"/>
      <c r="GP2235" s="8"/>
      <c r="GQ2235" s="8"/>
      <c r="GR2235" s="8"/>
      <c r="GS2235" s="8"/>
      <c r="GT2235" s="8"/>
      <c r="GU2235" s="8"/>
      <c r="GV2235" s="8"/>
      <c r="GW2235" s="8"/>
      <c r="GX2235" s="8"/>
    </row>
    <row r="2236">
      <c r="A2236" s="8" t="str">
        <f>IFERROR(__xludf.DUMMYFUNCTION("""COMPUTED_VALUE"""),"111602720201200750")</f>
        <v>111602720201200750</v>
      </c>
      <c r="B2236" s="9" t="str">
        <f>IFERROR(__xludf.DUMMYFUNCTION("""COMPUTED_VALUE"""),"France")</f>
        <v>France</v>
      </c>
      <c r="C2236" s="9" t="str">
        <f>IFERROR(__xludf.DUMMYFUNCTION("""COMPUTED_VALUE"""),"rhone")</f>
        <v>rhone</v>
      </c>
      <c r="D2236" s="9" t="str">
        <f>IFERROR(__xludf.DUMMYFUNCTION("""COMPUTED_VALUE"""),"Domaine Rostaing, Condrieu, La Bonnette")</f>
        <v>Domaine Rostaing, Condrieu, La Bonnette</v>
      </c>
      <c r="E2236" s="9">
        <f>IFERROR(__xludf.DUMMYFUNCTION("""COMPUTED_VALUE"""),2020.0)</f>
        <v>2020</v>
      </c>
      <c r="F2236" s="9">
        <f>IFERROR(__xludf.DUMMYFUNCTION("""COMPUTED_VALUE"""),750.0)</f>
        <v>750</v>
      </c>
      <c r="G2236" s="9">
        <f>IFERROR(__xludf.DUMMYFUNCTION("""COMPUTED_VALUE"""),12.0)</f>
        <v>12</v>
      </c>
      <c r="H2236" s="10">
        <f>IFERROR(__xludf.DUMMYFUNCTION("""COMPUTED_VALUE"""),3.0)</f>
        <v>3</v>
      </c>
      <c r="I2236" s="11">
        <f>IFERROR(__xludf.DUMMYFUNCTION("""COMPUTED_VALUE"""),548.0)</f>
        <v>548</v>
      </c>
      <c r="J2236" s="9" t="str">
        <f>IFERROR(__xludf.DUMMYFUNCTION("""COMPUTED_VALUE"""),"UK")</f>
        <v>UK</v>
      </c>
      <c r="K2236" s="8"/>
      <c r="L2236" s="12"/>
      <c r="M2236" s="13"/>
      <c r="N2236" s="13" t="str">
        <f>IFERROR(__xludf.DUMMYFUNCTION("IF(ISBLANK(M2236),"""",M2236*GOOGLEFINANCE(""USDGBP""))"),"")</f>
        <v/>
      </c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  <c r="FG2236" s="8"/>
      <c r="FH2236" s="8"/>
      <c r="FI2236" s="8"/>
      <c r="FJ2236" s="8"/>
      <c r="FK2236" s="8"/>
      <c r="FL2236" s="8"/>
      <c r="FM2236" s="8"/>
      <c r="FN2236" s="8"/>
      <c r="FO2236" s="8"/>
      <c r="FP2236" s="8"/>
      <c r="FQ2236" s="8"/>
      <c r="FR2236" s="8"/>
      <c r="FS2236" s="8"/>
      <c r="FT2236" s="8"/>
      <c r="FU2236" s="8"/>
      <c r="FV2236" s="8"/>
      <c r="FW2236" s="8"/>
      <c r="FX2236" s="8"/>
      <c r="FY2236" s="8"/>
      <c r="FZ2236" s="8"/>
      <c r="GA2236" s="8"/>
      <c r="GB2236" s="8"/>
      <c r="GC2236" s="8"/>
      <c r="GD2236" s="8"/>
      <c r="GE2236" s="8"/>
      <c r="GF2236" s="8"/>
      <c r="GG2236" s="8"/>
      <c r="GH2236" s="8"/>
      <c r="GI2236" s="8"/>
      <c r="GJ2236" s="8"/>
      <c r="GK2236" s="8"/>
      <c r="GL2236" s="8"/>
      <c r="GM2236" s="8"/>
      <c r="GN2236" s="8"/>
      <c r="GO2236" s="8"/>
      <c r="GP2236" s="8"/>
      <c r="GQ2236" s="8"/>
      <c r="GR2236" s="8"/>
      <c r="GS2236" s="8"/>
      <c r="GT2236" s="8"/>
      <c r="GU2236" s="8"/>
      <c r="GV2236" s="8"/>
      <c r="GW2236" s="8"/>
      <c r="GX2236" s="8"/>
    </row>
    <row r="2237">
      <c r="A2237" s="8" t="str">
        <f>IFERROR(__xludf.DUMMYFUNCTION("""COMPUTED_VALUE"""),"111393820191200750")</f>
        <v>111393820191200750</v>
      </c>
      <c r="B2237" s="9" t="str">
        <f>IFERROR(__xludf.DUMMYFUNCTION("""COMPUTED_VALUE"""),"France")</f>
        <v>France</v>
      </c>
      <c r="C2237" s="9" t="str">
        <f>IFERROR(__xludf.DUMMYFUNCTION("""COMPUTED_VALUE"""),"rhone")</f>
        <v>rhone</v>
      </c>
      <c r="D2237" s="9" t="str">
        <f>IFERROR(__xludf.DUMMYFUNCTION("""COMPUTED_VALUE"""),"Domaine de la Janasse, Chateauneuf-du-Pape, Prestige")</f>
        <v>Domaine de la Janasse, Chateauneuf-du-Pape, Prestige</v>
      </c>
      <c r="E2237" s="9">
        <f>IFERROR(__xludf.DUMMYFUNCTION("""COMPUTED_VALUE"""),2019.0)</f>
        <v>2019</v>
      </c>
      <c r="F2237" s="9">
        <f>IFERROR(__xludf.DUMMYFUNCTION("""COMPUTED_VALUE"""),750.0)</f>
        <v>750</v>
      </c>
      <c r="G2237" s="9">
        <f>IFERROR(__xludf.DUMMYFUNCTION("""COMPUTED_VALUE"""),12.0)</f>
        <v>12</v>
      </c>
      <c r="H2237" s="10">
        <f>IFERROR(__xludf.DUMMYFUNCTION("""COMPUTED_VALUE"""),1.0)</f>
        <v>1</v>
      </c>
      <c r="I2237" s="11">
        <f>IFERROR(__xludf.DUMMYFUNCTION("""COMPUTED_VALUE"""),973.0)</f>
        <v>973</v>
      </c>
      <c r="J2237" s="9" t="str">
        <f>IFERROR(__xludf.DUMMYFUNCTION("""COMPUTED_VALUE"""),"UK")</f>
        <v>UK</v>
      </c>
      <c r="K2237" s="8"/>
      <c r="L2237" s="12"/>
      <c r="M2237" s="13"/>
      <c r="N2237" s="13" t="str">
        <f>IFERROR(__xludf.DUMMYFUNCTION("IF(ISBLANK(M2237),"""",M2237*GOOGLEFINANCE(""USDGBP""))"),"")</f>
        <v/>
      </c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  <c r="FG2237" s="8"/>
      <c r="FH2237" s="8"/>
      <c r="FI2237" s="8"/>
      <c r="FJ2237" s="8"/>
      <c r="FK2237" s="8"/>
      <c r="FL2237" s="8"/>
      <c r="FM2237" s="8"/>
      <c r="FN2237" s="8"/>
      <c r="FO2237" s="8"/>
      <c r="FP2237" s="8"/>
      <c r="FQ2237" s="8"/>
      <c r="FR2237" s="8"/>
      <c r="FS2237" s="8"/>
      <c r="FT2237" s="8"/>
      <c r="FU2237" s="8"/>
      <c r="FV2237" s="8"/>
      <c r="FW2237" s="8"/>
      <c r="FX2237" s="8"/>
      <c r="FY2237" s="8"/>
      <c r="FZ2237" s="8"/>
      <c r="GA2237" s="8"/>
      <c r="GB2237" s="8"/>
      <c r="GC2237" s="8"/>
      <c r="GD2237" s="8"/>
      <c r="GE2237" s="8"/>
      <c r="GF2237" s="8"/>
      <c r="GG2237" s="8"/>
      <c r="GH2237" s="8"/>
      <c r="GI2237" s="8"/>
      <c r="GJ2237" s="8"/>
      <c r="GK2237" s="8"/>
      <c r="GL2237" s="8"/>
      <c r="GM2237" s="8"/>
      <c r="GN2237" s="8"/>
      <c r="GO2237" s="8"/>
      <c r="GP2237" s="8"/>
      <c r="GQ2237" s="8"/>
      <c r="GR2237" s="8"/>
      <c r="GS2237" s="8"/>
      <c r="GT2237" s="8"/>
      <c r="GU2237" s="8"/>
      <c r="GV2237" s="8"/>
      <c r="GW2237" s="8"/>
      <c r="GX2237" s="8"/>
    </row>
    <row r="2238">
      <c r="A2238" s="8" t="str">
        <f>IFERROR(__xludf.DUMMYFUNCTION("""COMPUTED_VALUE"""),"111393820201200750")</f>
        <v>111393820201200750</v>
      </c>
      <c r="B2238" s="9" t="str">
        <f>IFERROR(__xludf.DUMMYFUNCTION("""COMPUTED_VALUE"""),"France")</f>
        <v>France</v>
      </c>
      <c r="C2238" s="9" t="str">
        <f>IFERROR(__xludf.DUMMYFUNCTION("""COMPUTED_VALUE"""),"rhone")</f>
        <v>rhone</v>
      </c>
      <c r="D2238" s="9" t="str">
        <f>IFERROR(__xludf.DUMMYFUNCTION("""COMPUTED_VALUE"""),"Domaine de la Janasse, Chateauneuf-du-Pape, Prestige")</f>
        <v>Domaine de la Janasse, Chateauneuf-du-Pape, Prestige</v>
      </c>
      <c r="E2238" s="9">
        <f>IFERROR(__xludf.DUMMYFUNCTION("""COMPUTED_VALUE"""),2020.0)</f>
        <v>2020</v>
      </c>
      <c r="F2238" s="9">
        <f>IFERROR(__xludf.DUMMYFUNCTION("""COMPUTED_VALUE"""),750.0)</f>
        <v>750</v>
      </c>
      <c r="G2238" s="9">
        <f>IFERROR(__xludf.DUMMYFUNCTION("""COMPUTED_VALUE"""),12.0)</f>
        <v>12</v>
      </c>
      <c r="H2238" s="10">
        <f>IFERROR(__xludf.DUMMYFUNCTION("""COMPUTED_VALUE"""),1.0)</f>
        <v>1</v>
      </c>
      <c r="I2238" s="11">
        <f>IFERROR(__xludf.DUMMYFUNCTION("""COMPUTED_VALUE"""),912.0)</f>
        <v>912</v>
      </c>
      <c r="J2238" s="9" t="str">
        <f>IFERROR(__xludf.DUMMYFUNCTION("""COMPUTED_VALUE"""),"UK")</f>
        <v>UK</v>
      </c>
      <c r="K2238" s="8"/>
      <c r="L2238" s="12"/>
      <c r="M2238" s="13"/>
      <c r="N2238" s="13" t="str">
        <f>IFERROR(__xludf.DUMMYFUNCTION("IF(ISBLANK(M2238),"""",M2238*GOOGLEFINANCE(""USDGBP""))"),"")</f>
        <v/>
      </c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  <c r="FG2238" s="8"/>
      <c r="FH2238" s="8"/>
      <c r="FI2238" s="8"/>
      <c r="FJ2238" s="8"/>
      <c r="FK2238" s="8"/>
      <c r="FL2238" s="8"/>
      <c r="FM2238" s="8"/>
      <c r="FN2238" s="8"/>
      <c r="FO2238" s="8"/>
      <c r="FP2238" s="8"/>
      <c r="FQ2238" s="8"/>
      <c r="FR2238" s="8"/>
      <c r="FS2238" s="8"/>
      <c r="FT2238" s="8"/>
      <c r="FU2238" s="8"/>
      <c r="FV2238" s="8"/>
      <c r="FW2238" s="8"/>
      <c r="FX2238" s="8"/>
      <c r="FY2238" s="8"/>
      <c r="FZ2238" s="8"/>
      <c r="GA2238" s="8"/>
      <c r="GB2238" s="8"/>
      <c r="GC2238" s="8"/>
      <c r="GD2238" s="8"/>
      <c r="GE2238" s="8"/>
      <c r="GF2238" s="8"/>
      <c r="GG2238" s="8"/>
      <c r="GH2238" s="8"/>
      <c r="GI2238" s="8"/>
      <c r="GJ2238" s="8"/>
      <c r="GK2238" s="8"/>
      <c r="GL2238" s="8"/>
      <c r="GM2238" s="8"/>
      <c r="GN2238" s="8"/>
      <c r="GO2238" s="8"/>
      <c r="GP2238" s="8"/>
      <c r="GQ2238" s="8"/>
      <c r="GR2238" s="8"/>
      <c r="GS2238" s="8"/>
      <c r="GT2238" s="8"/>
      <c r="GU2238" s="8"/>
      <c r="GV2238" s="8"/>
      <c r="GW2238" s="8"/>
      <c r="GX2238" s="8"/>
    </row>
    <row r="2239">
      <c r="A2239" s="8" t="str">
        <f>IFERROR(__xludf.DUMMYFUNCTION("""COMPUTED_VALUE"""),"111314320161200750")</f>
        <v>111314320161200750</v>
      </c>
      <c r="B2239" s="9" t="str">
        <f>IFERROR(__xludf.DUMMYFUNCTION("""COMPUTED_VALUE"""),"France")</f>
        <v>France</v>
      </c>
      <c r="C2239" s="9" t="str">
        <f>IFERROR(__xludf.DUMMYFUNCTION("""COMPUTED_VALUE"""),"rhone")</f>
        <v>rhone</v>
      </c>
      <c r="D2239" s="9" t="str">
        <f>IFERROR(__xludf.DUMMYFUNCTION("""COMPUTED_VALUE"""),"E. Guigal, Condrieu")</f>
        <v>E. Guigal, Condrieu</v>
      </c>
      <c r="E2239" s="9">
        <f>IFERROR(__xludf.DUMMYFUNCTION("""COMPUTED_VALUE"""),2016.0)</f>
        <v>2016</v>
      </c>
      <c r="F2239" s="9">
        <f>IFERROR(__xludf.DUMMYFUNCTION("""COMPUTED_VALUE"""),750.0)</f>
        <v>750</v>
      </c>
      <c r="G2239" s="9">
        <f>IFERROR(__xludf.DUMMYFUNCTION("""COMPUTED_VALUE"""),12.0)</f>
        <v>12</v>
      </c>
      <c r="H2239" s="10">
        <f>IFERROR(__xludf.DUMMYFUNCTION("""COMPUTED_VALUE"""),11.0)</f>
        <v>11</v>
      </c>
      <c r="I2239" s="11">
        <f>IFERROR(__xludf.DUMMYFUNCTION("""COMPUTED_VALUE"""),822.0)</f>
        <v>822</v>
      </c>
      <c r="J2239" s="9" t="str">
        <f>IFERROR(__xludf.DUMMYFUNCTION("""COMPUTED_VALUE"""),"UK")</f>
        <v>UK</v>
      </c>
      <c r="K2239" s="8"/>
      <c r="L2239" s="12"/>
      <c r="M2239" s="13"/>
      <c r="N2239" s="13" t="str">
        <f>IFERROR(__xludf.DUMMYFUNCTION("IF(ISBLANK(M2239),"""",M2239*GOOGLEFINANCE(""USDGBP""))"),"")</f>
        <v/>
      </c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  <c r="FG2239" s="8"/>
      <c r="FH2239" s="8"/>
      <c r="FI2239" s="8"/>
      <c r="FJ2239" s="8"/>
      <c r="FK2239" s="8"/>
      <c r="FL2239" s="8"/>
      <c r="FM2239" s="8"/>
      <c r="FN2239" s="8"/>
      <c r="FO2239" s="8"/>
      <c r="FP2239" s="8"/>
      <c r="FQ2239" s="8"/>
      <c r="FR2239" s="8"/>
      <c r="FS2239" s="8"/>
      <c r="FT2239" s="8"/>
      <c r="FU2239" s="8"/>
      <c r="FV2239" s="8"/>
      <c r="FW2239" s="8"/>
      <c r="FX2239" s="8"/>
      <c r="FY2239" s="8"/>
      <c r="FZ2239" s="8"/>
      <c r="GA2239" s="8"/>
      <c r="GB2239" s="8"/>
      <c r="GC2239" s="8"/>
      <c r="GD2239" s="8"/>
      <c r="GE2239" s="8"/>
      <c r="GF2239" s="8"/>
      <c r="GG2239" s="8"/>
      <c r="GH2239" s="8"/>
      <c r="GI2239" s="8"/>
      <c r="GJ2239" s="8"/>
      <c r="GK2239" s="8"/>
      <c r="GL2239" s="8"/>
      <c r="GM2239" s="8"/>
      <c r="GN2239" s="8"/>
      <c r="GO2239" s="8"/>
      <c r="GP2239" s="8"/>
      <c r="GQ2239" s="8"/>
      <c r="GR2239" s="8"/>
      <c r="GS2239" s="8"/>
      <c r="GT2239" s="8"/>
      <c r="GU2239" s="8"/>
      <c r="GV2239" s="8"/>
      <c r="GW2239" s="8"/>
      <c r="GX2239" s="8"/>
    </row>
    <row r="2240">
      <c r="A2240" s="8" t="str">
        <f>IFERROR(__xludf.DUMMYFUNCTION("""COMPUTED_VALUE"""),"111315620161200750")</f>
        <v>111315620161200750</v>
      </c>
      <c r="B2240" s="9" t="str">
        <f>IFERROR(__xludf.DUMMYFUNCTION("""COMPUTED_VALUE"""),"France")</f>
        <v>France</v>
      </c>
      <c r="C2240" s="9" t="str">
        <f>IFERROR(__xludf.DUMMYFUNCTION("""COMPUTED_VALUE"""),"rhone")</f>
        <v>rhone</v>
      </c>
      <c r="D2240" s="9" t="str">
        <f>IFERROR(__xludf.DUMMYFUNCTION("""COMPUTED_VALUE"""),"E. Guigal, Condrieu, La Doriane")</f>
        <v>E. Guigal, Condrieu, La Doriane</v>
      </c>
      <c r="E2240" s="9">
        <f>IFERROR(__xludf.DUMMYFUNCTION("""COMPUTED_VALUE"""),2016.0)</f>
        <v>2016</v>
      </c>
      <c r="F2240" s="9">
        <f>IFERROR(__xludf.DUMMYFUNCTION("""COMPUTED_VALUE"""),750.0)</f>
        <v>750</v>
      </c>
      <c r="G2240" s="9">
        <f>IFERROR(__xludf.DUMMYFUNCTION("""COMPUTED_VALUE"""),12.0)</f>
        <v>12</v>
      </c>
      <c r="H2240" s="10">
        <f>IFERROR(__xludf.DUMMYFUNCTION("""COMPUTED_VALUE"""),1.0)</f>
        <v>1</v>
      </c>
      <c r="I2240" s="11">
        <f>IFERROR(__xludf.DUMMYFUNCTION("""COMPUTED_VALUE"""),761.0)</f>
        <v>761</v>
      </c>
      <c r="J2240" s="9" t="str">
        <f>IFERROR(__xludf.DUMMYFUNCTION("""COMPUTED_VALUE"""),"UK")</f>
        <v>UK</v>
      </c>
      <c r="K2240" s="8"/>
      <c r="L2240" s="12"/>
      <c r="M2240" s="13"/>
      <c r="N2240" s="13" t="str">
        <f>IFERROR(__xludf.DUMMYFUNCTION("IF(ISBLANK(M2240),"""",M2240*GOOGLEFINANCE(""USDGBP""))"),"")</f>
        <v/>
      </c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  <c r="FG2240" s="8"/>
      <c r="FH2240" s="8"/>
      <c r="FI2240" s="8"/>
      <c r="FJ2240" s="8"/>
      <c r="FK2240" s="8"/>
      <c r="FL2240" s="8"/>
      <c r="FM2240" s="8"/>
      <c r="FN2240" s="8"/>
      <c r="FO2240" s="8"/>
      <c r="FP2240" s="8"/>
      <c r="FQ2240" s="8"/>
      <c r="FR2240" s="8"/>
      <c r="FS2240" s="8"/>
      <c r="FT2240" s="8"/>
      <c r="FU2240" s="8"/>
      <c r="FV2240" s="8"/>
      <c r="FW2240" s="8"/>
      <c r="FX2240" s="8"/>
      <c r="FY2240" s="8"/>
      <c r="FZ2240" s="8"/>
      <c r="GA2240" s="8"/>
      <c r="GB2240" s="8"/>
      <c r="GC2240" s="8"/>
      <c r="GD2240" s="8"/>
      <c r="GE2240" s="8"/>
      <c r="GF2240" s="8"/>
      <c r="GG2240" s="8"/>
      <c r="GH2240" s="8"/>
      <c r="GI2240" s="8"/>
      <c r="GJ2240" s="8"/>
      <c r="GK2240" s="8"/>
      <c r="GL2240" s="8"/>
      <c r="GM2240" s="8"/>
      <c r="GN2240" s="8"/>
      <c r="GO2240" s="8"/>
      <c r="GP2240" s="8"/>
      <c r="GQ2240" s="8"/>
      <c r="GR2240" s="8"/>
      <c r="GS2240" s="8"/>
      <c r="GT2240" s="8"/>
      <c r="GU2240" s="8"/>
      <c r="GV2240" s="8"/>
      <c r="GW2240" s="8"/>
      <c r="GX2240" s="8"/>
    </row>
    <row r="2241">
      <c r="A2241" s="8" t="str">
        <f>IFERROR(__xludf.DUMMYFUNCTION("""COMPUTED_VALUE"""),"111315620171200750")</f>
        <v>111315620171200750</v>
      </c>
      <c r="B2241" s="9" t="str">
        <f>IFERROR(__xludf.DUMMYFUNCTION("""COMPUTED_VALUE"""),"France")</f>
        <v>France</v>
      </c>
      <c r="C2241" s="9" t="str">
        <f>IFERROR(__xludf.DUMMYFUNCTION("""COMPUTED_VALUE"""),"rhone")</f>
        <v>rhone</v>
      </c>
      <c r="D2241" s="9" t="str">
        <f>IFERROR(__xludf.DUMMYFUNCTION("""COMPUTED_VALUE"""),"E. Guigal, Condrieu, La Doriane")</f>
        <v>E. Guigal, Condrieu, La Doriane</v>
      </c>
      <c r="E2241" s="9">
        <f>IFERROR(__xludf.DUMMYFUNCTION("""COMPUTED_VALUE"""),2017.0)</f>
        <v>2017</v>
      </c>
      <c r="F2241" s="9">
        <f>IFERROR(__xludf.DUMMYFUNCTION("""COMPUTED_VALUE"""),750.0)</f>
        <v>750</v>
      </c>
      <c r="G2241" s="9">
        <f>IFERROR(__xludf.DUMMYFUNCTION("""COMPUTED_VALUE"""),12.0)</f>
        <v>12</v>
      </c>
      <c r="H2241" s="10">
        <f>IFERROR(__xludf.DUMMYFUNCTION("""COMPUTED_VALUE"""),3.0)</f>
        <v>3</v>
      </c>
      <c r="I2241" s="11">
        <f>IFERROR(__xludf.DUMMYFUNCTION("""COMPUTED_VALUE"""),1164.0)</f>
        <v>1164</v>
      </c>
      <c r="J2241" s="9" t="str">
        <f>IFERROR(__xludf.DUMMYFUNCTION("""COMPUTED_VALUE"""),"UK")</f>
        <v>UK</v>
      </c>
      <c r="K2241" s="8"/>
      <c r="L2241" s="12"/>
      <c r="M2241" s="13"/>
      <c r="N2241" s="13" t="str">
        <f>IFERROR(__xludf.DUMMYFUNCTION("IF(ISBLANK(M2241),"""",M2241*GOOGLEFINANCE(""USDGBP""))"),"")</f>
        <v/>
      </c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  <c r="FG2241" s="8"/>
      <c r="FH2241" s="8"/>
      <c r="FI2241" s="8"/>
      <c r="FJ2241" s="8"/>
      <c r="FK2241" s="8"/>
      <c r="FL2241" s="8"/>
      <c r="FM2241" s="8"/>
      <c r="FN2241" s="8"/>
      <c r="FO2241" s="8"/>
      <c r="FP2241" s="8"/>
      <c r="FQ2241" s="8"/>
      <c r="FR2241" s="8"/>
      <c r="FS2241" s="8"/>
      <c r="FT2241" s="8"/>
      <c r="FU2241" s="8"/>
      <c r="FV2241" s="8"/>
      <c r="FW2241" s="8"/>
      <c r="FX2241" s="8"/>
      <c r="FY2241" s="8"/>
      <c r="FZ2241" s="8"/>
      <c r="GA2241" s="8"/>
      <c r="GB2241" s="8"/>
      <c r="GC2241" s="8"/>
      <c r="GD2241" s="8"/>
      <c r="GE2241" s="8"/>
      <c r="GF2241" s="8"/>
      <c r="GG2241" s="8"/>
      <c r="GH2241" s="8"/>
      <c r="GI2241" s="8"/>
      <c r="GJ2241" s="8"/>
      <c r="GK2241" s="8"/>
      <c r="GL2241" s="8"/>
      <c r="GM2241" s="8"/>
      <c r="GN2241" s="8"/>
      <c r="GO2241" s="8"/>
      <c r="GP2241" s="8"/>
      <c r="GQ2241" s="8"/>
      <c r="GR2241" s="8"/>
      <c r="GS2241" s="8"/>
      <c r="GT2241" s="8"/>
      <c r="GU2241" s="8"/>
      <c r="GV2241" s="8"/>
      <c r="GW2241" s="8"/>
      <c r="GX2241" s="8"/>
    </row>
    <row r="2242">
      <c r="A2242" s="8" t="str">
        <f>IFERROR(__xludf.DUMMYFUNCTION("""COMPUTED_VALUE"""),"111315620180600750")</f>
        <v>111315620180600750</v>
      </c>
      <c r="B2242" s="9" t="str">
        <f>IFERROR(__xludf.DUMMYFUNCTION("""COMPUTED_VALUE"""),"France")</f>
        <v>France</v>
      </c>
      <c r="C2242" s="9" t="str">
        <f>IFERROR(__xludf.DUMMYFUNCTION("""COMPUTED_VALUE"""),"rhone")</f>
        <v>rhone</v>
      </c>
      <c r="D2242" s="9" t="str">
        <f>IFERROR(__xludf.DUMMYFUNCTION("""COMPUTED_VALUE"""),"E. Guigal, Condrieu, La Doriane")</f>
        <v>E. Guigal, Condrieu, La Doriane</v>
      </c>
      <c r="E2242" s="9">
        <f>IFERROR(__xludf.DUMMYFUNCTION("""COMPUTED_VALUE"""),2018.0)</f>
        <v>2018</v>
      </c>
      <c r="F2242" s="9">
        <f>IFERROR(__xludf.DUMMYFUNCTION("""COMPUTED_VALUE"""),750.0)</f>
        <v>750</v>
      </c>
      <c r="G2242" s="9">
        <f>IFERROR(__xludf.DUMMYFUNCTION("""COMPUTED_VALUE"""),6.0)</f>
        <v>6</v>
      </c>
      <c r="H2242" s="10">
        <f>IFERROR(__xludf.DUMMYFUNCTION("""COMPUTED_VALUE"""),2.0)</f>
        <v>2</v>
      </c>
      <c r="I2242" s="11">
        <f>IFERROR(__xludf.DUMMYFUNCTION("""COMPUTED_VALUE"""),397.0)</f>
        <v>397</v>
      </c>
      <c r="J2242" s="9" t="str">
        <f>IFERROR(__xludf.DUMMYFUNCTION("""COMPUTED_VALUE"""),"UK")</f>
        <v>UK</v>
      </c>
      <c r="K2242" s="8"/>
      <c r="L2242" s="12"/>
      <c r="M2242" s="13"/>
      <c r="N2242" s="13" t="str">
        <f>IFERROR(__xludf.DUMMYFUNCTION("IF(ISBLANK(M2242),"""",M2242*GOOGLEFINANCE(""USDGBP""))"),"")</f>
        <v/>
      </c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  <c r="FG2242" s="8"/>
      <c r="FH2242" s="8"/>
      <c r="FI2242" s="8"/>
      <c r="FJ2242" s="8"/>
      <c r="FK2242" s="8"/>
      <c r="FL2242" s="8"/>
      <c r="FM2242" s="8"/>
      <c r="FN2242" s="8"/>
      <c r="FO2242" s="8"/>
      <c r="FP2242" s="8"/>
      <c r="FQ2242" s="8"/>
      <c r="FR2242" s="8"/>
      <c r="FS2242" s="8"/>
      <c r="FT2242" s="8"/>
      <c r="FU2242" s="8"/>
      <c r="FV2242" s="8"/>
      <c r="FW2242" s="8"/>
      <c r="FX2242" s="8"/>
      <c r="FY2242" s="8"/>
      <c r="FZ2242" s="8"/>
      <c r="GA2242" s="8"/>
      <c r="GB2242" s="8"/>
      <c r="GC2242" s="8"/>
      <c r="GD2242" s="8"/>
      <c r="GE2242" s="8"/>
      <c r="GF2242" s="8"/>
      <c r="GG2242" s="8"/>
      <c r="GH2242" s="8"/>
      <c r="GI2242" s="8"/>
      <c r="GJ2242" s="8"/>
      <c r="GK2242" s="8"/>
      <c r="GL2242" s="8"/>
      <c r="GM2242" s="8"/>
      <c r="GN2242" s="8"/>
      <c r="GO2242" s="8"/>
      <c r="GP2242" s="8"/>
      <c r="GQ2242" s="8"/>
      <c r="GR2242" s="8"/>
      <c r="GS2242" s="8"/>
      <c r="GT2242" s="8"/>
      <c r="GU2242" s="8"/>
      <c r="GV2242" s="8"/>
      <c r="GW2242" s="8"/>
      <c r="GX2242" s="8"/>
    </row>
    <row r="2243">
      <c r="A2243" s="8" t="str">
        <f>IFERROR(__xludf.DUMMYFUNCTION("""COMPUTED_VALUE"""),"111324420160600750")</f>
        <v>111324420160600750</v>
      </c>
      <c r="B2243" s="9" t="str">
        <f>IFERROR(__xludf.DUMMYFUNCTION("""COMPUTED_VALUE"""),"France")</f>
        <v>France</v>
      </c>
      <c r="C2243" s="9" t="str">
        <f>IFERROR(__xludf.DUMMYFUNCTION("""COMPUTED_VALUE"""),"rhone")</f>
        <v>rhone</v>
      </c>
      <c r="D2243" s="9" t="str">
        <f>IFERROR(__xludf.DUMMYFUNCTION("""COMPUTED_VALUE"""),"E. Guigal, Hermitage, Ex Voto Blanc")</f>
        <v>E. Guigal, Hermitage, Ex Voto Blanc</v>
      </c>
      <c r="E2243" s="9">
        <f>IFERROR(__xludf.DUMMYFUNCTION("""COMPUTED_VALUE"""),2016.0)</f>
        <v>2016</v>
      </c>
      <c r="F2243" s="9">
        <f>IFERROR(__xludf.DUMMYFUNCTION("""COMPUTED_VALUE"""),750.0)</f>
        <v>750</v>
      </c>
      <c r="G2243" s="9">
        <f>IFERROR(__xludf.DUMMYFUNCTION("""COMPUTED_VALUE"""),6.0)</f>
        <v>6</v>
      </c>
      <c r="H2243" s="10">
        <f>IFERROR(__xludf.DUMMYFUNCTION("""COMPUTED_VALUE"""),6.0)</f>
        <v>6</v>
      </c>
      <c r="I2243" s="11">
        <f>IFERROR(__xludf.DUMMYFUNCTION("""COMPUTED_VALUE"""),668.0)</f>
        <v>668</v>
      </c>
      <c r="J2243" s="9" t="str">
        <f>IFERROR(__xludf.DUMMYFUNCTION("""COMPUTED_VALUE"""),"UK")</f>
        <v>UK</v>
      </c>
      <c r="K2243" s="8"/>
      <c r="L2243" s="12"/>
      <c r="M2243" s="13"/>
      <c r="N2243" s="13" t="str">
        <f>IFERROR(__xludf.DUMMYFUNCTION("IF(ISBLANK(M2243),"""",M2243*GOOGLEFINANCE(""USDGBP""))"),"")</f>
        <v/>
      </c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  <c r="FG2243" s="8"/>
      <c r="FH2243" s="8"/>
      <c r="FI2243" s="8"/>
      <c r="FJ2243" s="8"/>
      <c r="FK2243" s="8"/>
      <c r="FL2243" s="8"/>
      <c r="FM2243" s="8"/>
      <c r="FN2243" s="8"/>
      <c r="FO2243" s="8"/>
      <c r="FP2243" s="8"/>
      <c r="FQ2243" s="8"/>
      <c r="FR2243" s="8"/>
      <c r="FS2243" s="8"/>
      <c r="FT2243" s="8"/>
      <c r="FU2243" s="8"/>
      <c r="FV2243" s="8"/>
      <c r="FW2243" s="8"/>
      <c r="FX2243" s="8"/>
      <c r="FY2243" s="8"/>
      <c r="FZ2243" s="8"/>
      <c r="GA2243" s="8"/>
      <c r="GB2243" s="8"/>
      <c r="GC2243" s="8"/>
      <c r="GD2243" s="8"/>
      <c r="GE2243" s="8"/>
      <c r="GF2243" s="8"/>
      <c r="GG2243" s="8"/>
      <c r="GH2243" s="8"/>
      <c r="GI2243" s="8"/>
      <c r="GJ2243" s="8"/>
      <c r="GK2243" s="8"/>
      <c r="GL2243" s="8"/>
      <c r="GM2243" s="8"/>
      <c r="GN2243" s="8"/>
      <c r="GO2243" s="8"/>
      <c r="GP2243" s="8"/>
      <c r="GQ2243" s="8"/>
      <c r="GR2243" s="8"/>
      <c r="GS2243" s="8"/>
      <c r="GT2243" s="8"/>
      <c r="GU2243" s="8"/>
      <c r="GV2243" s="8"/>
      <c r="GW2243" s="8"/>
      <c r="GX2243" s="8"/>
    </row>
    <row r="2244">
      <c r="A2244" s="8" t="str">
        <f>IFERROR(__xludf.DUMMYFUNCTION("""COMPUTED_VALUE"""),"111324420171200750")</f>
        <v>111324420171200750</v>
      </c>
      <c r="B2244" s="9" t="str">
        <f>IFERROR(__xludf.DUMMYFUNCTION("""COMPUTED_VALUE"""),"France")</f>
        <v>France</v>
      </c>
      <c r="C2244" s="9" t="str">
        <f>IFERROR(__xludf.DUMMYFUNCTION("""COMPUTED_VALUE"""),"rhone")</f>
        <v>rhone</v>
      </c>
      <c r="D2244" s="9" t="str">
        <f>IFERROR(__xludf.DUMMYFUNCTION("""COMPUTED_VALUE"""),"E. Guigal, Hermitage, Ex Voto Blanc")</f>
        <v>E. Guigal, Hermitage, Ex Voto Blanc</v>
      </c>
      <c r="E2244" s="9">
        <f>IFERROR(__xludf.DUMMYFUNCTION("""COMPUTED_VALUE"""),2017.0)</f>
        <v>2017</v>
      </c>
      <c r="F2244" s="9">
        <f>IFERROR(__xludf.DUMMYFUNCTION("""COMPUTED_VALUE"""),750.0)</f>
        <v>750</v>
      </c>
      <c r="G2244" s="9">
        <f>IFERROR(__xludf.DUMMYFUNCTION("""COMPUTED_VALUE"""),12.0)</f>
        <v>12</v>
      </c>
      <c r="H2244" s="10">
        <f>IFERROR(__xludf.DUMMYFUNCTION("""COMPUTED_VALUE"""),8.0)</f>
        <v>8</v>
      </c>
      <c r="I2244" s="11">
        <f>IFERROR(__xludf.DUMMYFUNCTION("""COMPUTED_VALUE"""),1578.0)</f>
        <v>1578</v>
      </c>
      <c r="J2244" s="9" t="str">
        <f>IFERROR(__xludf.DUMMYFUNCTION("""COMPUTED_VALUE"""),"UK")</f>
        <v>UK</v>
      </c>
      <c r="K2244" s="8"/>
      <c r="L2244" s="12"/>
      <c r="M2244" s="13"/>
      <c r="N2244" s="13" t="str">
        <f>IFERROR(__xludf.DUMMYFUNCTION("IF(ISBLANK(M2244),"""",M2244*GOOGLEFINANCE(""USDGBP""))"),"")</f>
        <v/>
      </c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  <c r="FG2244" s="8"/>
      <c r="FH2244" s="8"/>
      <c r="FI2244" s="8"/>
      <c r="FJ2244" s="8"/>
      <c r="FK2244" s="8"/>
      <c r="FL2244" s="8"/>
      <c r="FM2244" s="8"/>
      <c r="FN2244" s="8"/>
      <c r="FO2244" s="8"/>
      <c r="FP2244" s="8"/>
      <c r="FQ2244" s="8"/>
      <c r="FR2244" s="8"/>
      <c r="FS2244" s="8"/>
      <c r="FT2244" s="8"/>
      <c r="FU2244" s="8"/>
      <c r="FV2244" s="8"/>
      <c r="FW2244" s="8"/>
      <c r="FX2244" s="8"/>
      <c r="FY2244" s="8"/>
      <c r="FZ2244" s="8"/>
      <c r="GA2244" s="8"/>
      <c r="GB2244" s="8"/>
      <c r="GC2244" s="8"/>
      <c r="GD2244" s="8"/>
      <c r="GE2244" s="8"/>
      <c r="GF2244" s="8"/>
      <c r="GG2244" s="8"/>
      <c r="GH2244" s="8"/>
      <c r="GI2244" s="8"/>
      <c r="GJ2244" s="8"/>
      <c r="GK2244" s="8"/>
      <c r="GL2244" s="8"/>
      <c r="GM2244" s="8"/>
      <c r="GN2244" s="8"/>
      <c r="GO2244" s="8"/>
      <c r="GP2244" s="8"/>
      <c r="GQ2244" s="8"/>
      <c r="GR2244" s="8"/>
      <c r="GS2244" s="8"/>
      <c r="GT2244" s="8"/>
      <c r="GU2244" s="8"/>
      <c r="GV2244" s="8"/>
      <c r="GW2244" s="8"/>
      <c r="GX2244" s="8"/>
    </row>
    <row r="2245">
      <c r="A2245" s="8" t="str">
        <f>IFERROR(__xludf.DUMMYFUNCTION("""COMPUTED_VALUE"""),"110965820180600750")</f>
        <v>110965820180600750</v>
      </c>
      <c r="B2245" s="9" t="str">
        <f>IFERROR(__xludf.DUMMYFUNCTION("""COMPUTED_VALUE"""),"France")</f>
        <v>France</v>
      </c>
      <c r="C2245" s="9" t="str">
        <f>IFERROR(__xludf.DUMMYFUNCTION("""COMPUTED_VALUE"""),"rhone")</f>
        <v>rhone</v>
      </c>
      <c r="D2245" s="9" t="str">
        <f>IFERROR(__xludf.DUMMYFUNCTION("""COMPUTED_VALUE"""),"M. Chapoutier, Ermitage, De l'Oree")</f>
        <v>M. Chapoutier, Ermitage, De l'Oree</v>
      </c>
      <c r="E2245" s="9">
        <f>IFERROR(__xludf.DUMMYFUNCTION("""COMPUTED_VALUE"""),2018.0)</f>
        <v>2018</v>
      </c>
      <c r="F2245" s="9">
        <f>IFERROR(__xludf.DUMMYFUNCTION("""COMPUTED_VALUE"""),750.0)</f>
        <v>750</v>
      </c>
      <c r="G2245" s="9">
        <f>IFERROR(__xludf.DUMMYFUNCTION("""COMPUTED_VALUE"""),6.0)</f>
        <v>6</v>
      </c>
      <c r="H2245" s="10">
        <f>IFERROR(__xludf.DUMMYFUNCTION("""COMPUTED_VALUE"""),3.0)</f>
        <v>3</v>
      </c>
      <c r="I2245" s="11">
        <f>IFERROR(__xludf.DUMMYFUNCTION("""COMPUTED_VALUE"""),813.0)</f>
        <v>813</v>
      </c>
      <c r="J2245" s="9" t="str">
        <f>IFERROR(__xludf.DUMMYFUNCTION("""COMPUTED_VALUE"""),"UK")</f>
        <v>UK</v>
      </c>
      <c r="K2245" s="8"/>
      <c r="L2245" s="12"/>
      <c r="M2245" s="13"/>
      <c r="N2245" s="13" t="str">
        <f>IFERROR(__xludf.DUMMYFUNCTION("IF(ISBLANK(M2245),"""",M2245*GOOGLEFINANCE(""USDGBP""))"),"")</f>
        <v/>
      </c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  <c r="FG2245" s="8"/>
      <c r="FH2245" s="8"/>
      <c r="FI2245" s="8"/>
      <c r="FJ2245" s="8"/>
      <c r="FK2245" s="8"/>
      <c r="FL2245" s="8"/>
      <c r="FM2245" s="8"/>
      <c r="FN2245" s="8"/>
      <c r="FO2245" s="8"/>
      <c r="FP2245" s="8"/>
      <c r="FQ2245" s="8"/>
      <c r="FR2245" s="8"/>
      <c r="FS2245" s="8"/>
      <c r="FT2245" s="8"/>
      <c r="FU2245" s="8"/>
      <c r="FV2245" s="8"/>
      <c r="FW2245" s="8"/>
      <c r="FX2245" s="8"/>
      <c r="FY2245" s="8"/>
      <c r="FZ2245" s="8"/>
      <c r="GA2245" s="8"/>
      <c r="GB2245" s="8"/>
      <c r="GC2245" s="8"/>
      <c r="GD2245" s="8"/>
      <c r="GE2245" s="8"/>
      <c r="GF2245" s="8"/>
      <c r="GG2245" s="8"/>
      <c r="GH2245" s="8"/>
      <c r="GI2245" s="8"/>
      <c r="GJ2245" s="8"/>
      <c r="GK2245" s="8"/>
      <c r="GL2245" s="8"/>
      <c r="GM2245" s="8"/>
      <c r="GN2245" s="8"/>
      <c r="GO2245" s="8"/>
      <c r="GP2245" s="8"/>
      <c r="GQ2245" s="8"/>
      <c r="GR2245" s="8"/>
      <c r="GS2245" s="8"/>
      <c r="GT2245" s="8"/>
      <c r="GU2245" s="8"/>
      <c r="GV2245" s="8"/>
      <c r="GW2245" s="8"/>
      <c r="GX2245" s="8"/>
    </row>
    <row r="2246">
      <c r="A2246" s="8" t="str">
        <f>IFERROR(__xludf.DUMMYFUNCTION("""COMPUTED_VALUE"""),"110969020070600750")</f>
        <v>110969020070600750</v>
      </c>
      <c r="B2246" s="9" t="str">
        <f>IFERROR(__xludf.DUMMYFUNCTION("""COMPUTED_VALUE"""),"France")</f>
        <v>France</v>
      </c>
      <c r="C2246" s="9" t="str">
        <f>IFERROR(__xludf.DUMMYFUNCTION("""COMPUTED_VALUE"""),"rhone")</f>
        <v>rhone</v>
      </c>
      <c r="D2246" s="9" t="str">
        <f>IFERROR(__xludf.DUMMYFUNCTION("""COMPUTED_VALUE"""),"M. Chapoutier, Hermitage, Le Meal Blanc")</f>
        <v>M. Chapoutier, Hermitage, Le Meal Blanc</v>
      </c>
      <c r="E2246" s="9">
        <f>IFERROR(__xludf.DUMMYFUNCTION("""COMPUTED_VALUE"""),2007.0)</f>
        <v>2007</v>
      </c>
      <c r="F2246" s="9">
        <f>IFERROR(__xludf.DUMMYFUNCTION("""COMPUTED_VALUE"""),750.0)</f>
        <v>750</v>
      </c>
      <c r="G2246" s="9">
        <f>IFERROR(__xludf.DUMMYFUNCTION("""COMPUTED_VALUE"""),6.0)</f>
        <v>6</v>
      </c>
      <c r="H2246" s="10">
        <f>IFERROR(__xludf.DUMMYFUNCTION("""COMPUTED_VALUE"""),2.0)</f>
        <v>2</v>
      </c>
      <c r="I2246" s="11">
        <f>IFERROR(__xludf.DUMMYFUNCTION("""COMPUTED_VALUE"""),879.0)</f>
        <v>879</v>
      </c>
      <c r="J2246" s="9" t="str">
        <f>IFERROR(__xludf.DUMMYFUNCTION("""COMPUTED_VALUE"""),"UK")</f>
        <v>UK</v>
      </c>
      <c r="K2246" s="8"/>
      <c r="L2246" s="12"/>
      <c r="M2246" s="13"/>
      <c r="N2246" s="13" t="str">
        <f>IFERROR(__xludf.DUMMYFUNCTION("IF(ISBLANK(M2246),"""",M2246*GOOGLEFINANCE(""USDGBP""))"),"")</f>
        <v/>
      </c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  <c r="FG2246" s="8"/>
      <c r="FH2246" s="8"/>
      <c r="FI2246" s="8"/>
      <c r="FJ2246" s="8"/>
      <c r="FK2246" s="8"/>
      <c r="FL2246" s="8"/>
      <c r="FM2246" s="8"/>
      <c r="FN2246" s="8"/>
      <c r="FO2246" s="8"/>
      <c r="FP2246" s="8"/>
      <c r="FQ2246" s="8"/>
      <c r="FR2246" s="8"/>
      <c r="FS2246" s="8"/>
      <c r="FT2246" s="8"/>
      <c r="FU2246" s="8"/>
      <c r="FV2246" s="8"/>
      <c r="FW2246" s="8"/>
      <c r="FX2246" s="8"/>
      <c r="FY2246" s="8"/>
      <c r="FZ2246" s="8"/>
      <c r="GA2246" s="8"/>
      <c r="GB2246" s="8"/>
      <c r="GC2246" s="8"/>
      <c r="GD2246" s="8"/>
      <c r="GE2246" s="8"/>
      <c r="GF2246" s="8"/>
      <c r="GG2246" s="8"/>
      <c r="GH2246" s="8"/>
      <c r="GI2246" s="8"/>
      <c r="GJ2246" s="8"/>
      <c r="GK2246" s="8"/>
      <c r="GL2246" s="8"/>
      <c r="GM2246" s="8"/>
      <c r="GN2246" s="8"/>
      <c r="GO2246" s="8"/>
      <c r="GP2246" s="8"/>
      <c r="GQ2246" s="8"/>
      <c r="GR2246" s="8"/>
      <c r="GS2246" s="8"/>
      <c r="GT2246" s="8"/>
      <c r="GU2246" s="8"/>
      <c r="GV2246" s="8"/>
      <c r="GW2246" s="8"/>
      <c r="GX2246" s="8"/>
    </row>
    <row r="2247">
      <c r="A2247" s="8" t="str">
        <f>IFERROR(__xludf.DUMMYFUNCTION("""COMPUTED_VALUE"""),"110969020110600750")</f>
        <v>110969020110600750</v>
      </c>
      <c r="B2247" s="9" t="str">
        <f>IFERROR(__xludf.DUMMYFUNCTION("""COMPUTED_VALUE"""),"France")</f>
        <v>France</v>
      </c>
      <c r="C2247" s="9" t="str">
        <f>IFERROR(__xludf.DUMMYFUNCTION("""COMPUTED_VALUE"""),"rhone")</f>
        <v>rhone</v>
      </c>
      <c r="D2247" s="9" t="str">
        <f>IFERROR(__xludf.DUMMYFUNCTION("""COMPUTED_VALUE"""),"M. Chapoutier, Hermitage, Le Meal Blanc")</f>
        <v>M. Chapoutier, Hermitage, Le Meal Blanc</v>
      </c>
      <c r="E2247" s="9">
        <f>IFERROR(__xludf.DUMMYFUNCTION("""COMPUTED_VALUE"""),2011.0)</f>
        <v>2011</v>
      </c>
      <c r="F2247" s="9">
        <f>IFERROR(__xludf.DUMMYFUNCTION("""COMPUTED_VALUE"""),750.0)</f>
        <v>750</v>
      </c>
      <c r="G2247" s="9">
        <f>IFERROR(__xludf.DUMMYFUNCTION("""COMPUTED_VALUE"""),6.0)</f>
        <v>6</v>
      </c>
      <c r="H2247" s="10">
        <f>IFERROR(__xludf.DUMMYFUNCTION("""COMPUTED_VALUE"""),1.0)</f>
        <v>1</v>
      </c>
      <c r="I2247" s="11">
        <f>IFERROR(__xludf.DUMMYFUNCTION("""COMPUTED_VALUE"""),901.0)</f>
        <v>901</v>
      </c>
      <c r="J2247" s="9" t="str">
        <f>IFERROR(__xludf.DUMMYFUNCTION("""COMPUTED_VALUE"""),"UK")</f>
        <v>UK</v>
      </c>
      <c r="K2247" s="8"/>
      <c r="L2247" s="12"/>
      <c r="M2247" s="13"/>
      <c r="N2247" s="13" t="str">
        <f>IFERROR(__xludf.DUMMYFUNCTION("IF(ISBLANK(M2247),"""",M2247*GOOGLEFINANCE(""USDGBP""))"),"")</f>
        <v/>
      </c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  <c r="FG2247" s="8"/>
      <c r="FH2247" s="8"/>
      <c r="FI2247" s="8"/>
      <c r="FJ2247" s="8"/>
      <c r="FK2247" s="8"/>
      <c r="FL2247" s="8"/>
      <c r="FM2247" s="8"/>
      <c r="FN2247" s="8"/>
      <c r="FO2247" s="8"/>
      <c r="FP2247" s="8"/>
      <c r="FQ2247" s="8"/>
      <c r="FR2247" s="8"/>
      <c r="FS2247" s="8"/>
      <c r="FT2247" s="8"/>
      <c r="FU2247" s="8"/>
      <c r="FV2247" s="8"/>
      <c r="FW2247" s="8"/>
      <c r="FX2247" s="8"/>
      <c r="FY2247" s="8"/>
      <c r="FZ2247" s="8"/>
      <c r="GA2247" s="8"/>
      <c r="GB2247" s="8"/>
      <c r="GC2247" s="8"/>
      <c r="GD2247" s="8"/>
      <c r="GE2247" s="8"/>
      <c r="GF2247" s="8"/>
      <c r="GG2247" s="8"/>
      <c r="GH2247" s="8"/>
      <c r="GI2247" s="8"/>
      <c r="GJ2247" s="8"/>
      <c r="GK2247" s="8"/>
      <c r="GL2247" s="8"/>
      <c r="GM2247" s="8"/>
      <c r="GN2247" s="8"/>
      <c r="GO2247" s="8"/>
      <c r="GP2247" s="8"/>
      <c r="GQ2247" s="8"/>
      <c r="GR2247" s="8"/>
      <c r="GS2247" s="8"/>
      <c r="GT2247" s="8"/>
      <c r="GU2247" s="8"/>
      <c r="GV2247" s="8"/>
      <c r="GW2247" s="8"/>
      <c r="GX2247" s="8"/>
    </row>
    <row r="2248">
      <c r="A2248" s="8" t="str">
        <f>IFERROR(__xludf.DUMMYFUNCTION("""COMPUTED_VALUE"""),"110969020160600750")</f>
        <v>110969020160600750</v>
      </c>
      <c r="B2248" s="9" t="str">
        <f>IFERROR(__xludf.DUMMYFUNCTION("""COMPUTED_VALUE"""),"France")</f>
        <v>France</v>
      </c>
      <c r="C2248" s="9" t="str">
        <f>IFERROR(__xludf.DUMMYFUNCTION("""COMPUTED_VALUE"""),"rhone")</f>
        <v>rhone</v>
      </c>
      <c r="D2248" s="9" t="str">
        <f>IFERROR(__xludf.DUMMYFUNCTION("""COMPUTED_VALUE"""),"M. Chapoutier, Hermitage, Le Meal Blanc")</f>
        <v>M. Chapoutier, Hermitage, Le Meal Blanc</v>
      </c>
      <c r="E2248" s="9">
        <f>IFERROR(__xludf.DUMMYFUNCTION("""COMPUTED_VALUE"""),2016.0)</f>
        <v>2016</v>
      </c>
      <c r="F2248" s="9">
        <f>IFERROR(__xludf.DUMMYFUNCTION("""COMPUTED_VALUE"""),750.0)</f>
        <v>750</v>
      </c>
      <c r="G2248" s="9">
        <f>IFERROR(__xludf.DUMMYFUNCTION("""COMPUTED_VALUE"""),6.0)</f>
        <v>6</v>
      </c>
      <c r="H2248" s="10">
        <f>IFERROR(__xludf.DUMMYFUNCTION("""COMPUTED_VALUE"""),1.0)</f>
        <v>1</v>
      </c>
      <c r="I2248" s="11">
        <f>IFERROR(__xludf.DUMMYFUNCTION("""COMPUTED_VALUE"""),771.0)</f>
        <v>771</v>
      </c>
      <c r="J2248" s="9" t="str">
        <f>IFERROR(__xludf.DUMMYFUNCTION("""COMPUTED_VALUE"""),"UK")</f>
        <v>UK</v>
      </c>
      <c r="K2248" s="8"/>
      <c r="L2248" s="12"/>
      <c r="M2248" s="13"/>
      <c r="N2248" s="13" t="str">
        <f>IFERROR(__xludf.DUMMYFUNCTION("IF(ISBLANK(M2248),"""",M2248*GOOGLEFINANCE(""USDGBP""))"),"")</f>
        <v/>
      </c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  <c r="FG2248" s="8"/>
      <c r="FH2248" s="8"/>
      <c r="FI2248" s="8"/>
      <c r="FJ2248" s="8"/>
      <c r="FK2248" s="8"/>
      <c r="FL2248" s="8"/>
      <c r="FM2248" s="8"/>
      <c r="FN2248" s="8"/>
      <c r="FO2248" s="8"/>
      <c r="FP2248" s="8"/>
      <c r="FQ2248" s="8"/>
      <c r="FR2248" s="8"/>
      <c r="FS2248" s="8"/>
      <c r="FT2248" s="8"/>
      <c r="FU2248" s="8"/>
      <c r="FV2248" s="8"/>
      <c r="FW2248" s="8"/>
      <c r="FX2248" s="8"/>
      <c r="FY2248" s="8"/>
      <c r="FZ2248" s="8"/>
      <c r="GA2248" s="8"/>
      <c r="GB2248" s="8"/>
      <c r="GC2248" s="8"/>
      <c r="GD2248" s="8"/>
      <c r="GE2248" s="8"/>
      <c r="GF2248" s="8"/>
      <c r="GG2248" s="8"/>
      <c r="GH2248" s="8"/>
      <c r="GI2248" s="8"/>
      <c r="GJ2248" s="8"/>
      <c r="GK2248" s="8"/>
      <c r="GL2248" s="8"/>
      <c r="GM2248" s="8"/>
      <c r="GN2248" s="8"/>
      <c r="GO2248" s="8"/>
      <c r="GP2248" s="8"/>
      <c r="GQ2248" s="8"/>
      <c r="GR2248" s="8"/>
      <c r="GS2248" s="8"/>
      <c r="GT2248" s="8"/>
      <c r="GU2248" s="8"/>
      <c r="GV2248" s="8"/>
      <c r="GW2248" s="8"/>
      <c r="GX2248" s="8"/>
    </row>
    <row r="2249">
      <c r="A2249" s="8" t="str">
        <f>IFERROR(__xludf.DUMMYFUNCTION("""COMPUTED_VALUE"""),"110969020180600750")</f>
        <v>110969020180600750</v>
      </c>
      <c r="B2249" s="9" t="str">
        <f>IFERROR(__xludf.DUMMYFUNCTION("""COMPUTED_VALUE"""),"France")</f>
        <v>France</v>
      </c>
      <c r="C2249" s="9" t="str">
        <f>IFERROR(__xludf.DUMMYFUNCTION("""COMPUTED_VALUE"""),"rhone")</f>
        <v>rhone</v>
      </c>
      <c r="D2249" s="9" t="str">
        <f>IFERROR(__xludf.DUMMYFUNCTION("""COMPUTED_VALUE"""),"M. Chapoutier, Hermitage, Le Meal Blanc")</f>
        <v>M. Chapoutier, Hermitage, Le Meal Blanc</v>
      </c>
      <c r="E2249" s="9">
        <f>IFERROR(__xludf.DUMMYFUNCTION("""COMPUTED_VALUE"""),2018.0)</f>
        <v>2018</v>
      </c>
      <c r="F2249" s="9">
        <f>IFERROR(__xludf.DUMMYFUNCTION("""COMPUTED_VALUE"""),750.0)</f>
        <v>750</v>
      </c>
      <c r="G2249" s="9">
        <f>IFERROR(__xludf.DUMMYFUNCTION("""COMPUTED_VALUE"""),6.0)</f>
        <v>6</v>
      </c>
      <c r="H2249" s="10">
        <f>IFERROR(__xludf.DUMMYFUNCTION("""COMPUTED_VALUE"""),17.0)</f>
        <v>17</v>
      </c>
      <c r="I2249" s="11">
        <f>IFERROR(__xludf.DUMMYFUNCTION("""COMPUTED_VALUE"""),985.0)</f>
        <v>985</v>
      </c>
      <c r="J2249" s="9" t="str">
        <f>IFERROR(__xludf.DUMMYFUNCTION("""COMPUTED_VALUE"""),"UK")</f>
        <v>UK</v>
      </c>
      <c r="K2249" s="8"/>
      <c r="L2249" s="12"/>
      <c r="M2249" s="13"/>
      <c r="N2249" s="13" t="str">
        <f>IFERROR(__xludf.DUMMYFUNCTION("IF(ISBLANK(M2249),"""",M2249*GOOGLEFINANCE(""USDGBP""))"),"")</f>
        <v/>
      </c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  <c r="FG2249" s="8"/>
      <c r="FH2249" s="8"/>
      <c r="FI2249" s="8"/>
      <c r="FJ2249" s="8"/>
      <c r="FK2249" s="8"/>
      <c r="FL2249" s="8"/>
      <c r="FM2249" s="8"/>
      <c r="FN2249" s="8"/>
      <c r="FO2249" s="8"/>
      <c r="FP2249" s="8"/>
      <c r="FQ2249" s="8"/>
      <c r="FR2249" s="8"/>
      <c r="FS2249" s="8"/>
      <c r="FT2249" s="8"/>
      <c r="FU2249" s="8"/>
      <c r="FV2249" s="8"/>
      <c r="FW2249" s="8"/>
      <c r="FX2249" s="8"/>
      <c r="FY2249" s="8"/>
      <c r="FZ2249" s="8"/>
      <c r="GA2249" s="8"/>
      <c r="GB2249" s="8"/>
      <c r="GC2249" s="8"/>
      <c r="GD2249" s="8"/>
      <c r="GE2249" s="8"/>
      <c r="GF2249" s="8"/>
      <c r="GG2249" s="8"/>
      <c r="GH2249" s="8"/>
      <c r="GI2249" s="8"/>
      <c r="GJ2249" s="8"/>
      <c r="GK2249" s="8"/>
      <c r="GL2249" s="8"/>
      <c r="GM2249" s="8"/>
      <c r="GN2249" s="8"/>
      <c r="GO2249" s="8"/>
      <c r="GP2249" s="8"/>
      <c r="GQ2249" s="8"/>
      <c r="GR2249" s="8"/>
      <c r="GS2249" s="8"/>
      <c r="GT2249" s="8"/>
      <c r="GU2249" s="8"/>
      <c r="GV2249" s="8"/>
      <c r="GW2249" s="8"/>
      <c r="GX2249" s="8"/>
    </row>
    <row r="2250">
      <c r="A2250" s="8" t="str">
        <f>IFERROR(__xludf.DUMMYFUNCTION("""COMPUTED_VALUE"""),"110964519990600750")</f>
        <v>110964519990600750</v>
      </c>
      <c r="B2250" s="9" t="str">
        <f>IFERROR(__xludf.DUMMYFUNCTION("""COMPUTED_VALUE"""),"France")</f>
        <v>France</v>
      </c>
      <c r="C2250" s="9" t="str">
        <f>IFERROR(__xludf.DUMMYFUNCTION("""COMPUTED_VALUE"""),"rhone")</f>
        <v>rhone</v>
      </c>
      <c r="D2250" s="9" t="str">
        <f>IFERROR(__xludf.DUMMYFUNCTION("""COMPUTED_VALUE"""),"M. Chapoutier, Hermitage, l'Ermite Blanc")</f>
        <v>M. Chapoutier, Hermitage, l'Ermite Blanc</v>
      </c>
      <c r="E2250" s="9">
        <f>IFERROR(__xludf.DUMMYFUNCTION("""COMPUTED_VALUE"""),1999.0)</f>
        <v>1999</v>
      </c>
      <c r="F2250" s="9">
        <f>IFERROR(__xludf.DUMMYFUNCTION("""COMPUTED_VALUE"""),750.0)</f>
        <v>750</v>
      </c>
      <c r="G2250" s="9">
        <f>IFERROR(__xludf.DUMMYFUNCTION("""COMPUTED_VALUE"""),6.0)</f>
        <v>6</v>
      </c>
      <c r="H2250" s="10">
        <f>IFERROR(__xludf.DUMMYFUNCTION("""COMPUTED_VALUE"""),1.0)</f>
        <v>1</v>
      </c>
      <c r="I2250" s="11">
        <f>IFERROR(__xludf.DUMMYFUNCTION("""COMPUTED_VALUE"""),1692.0)</f>
        <v>1692</v>
      </c>
      <c r="J2250" s="9" t="str">
        <f>IFERROR(__xludf.DUMMYFUNCTION("""COMPUTED_VALUE"""),"UK")</f>
        <v>UK</v>
      </c>
      <c r="K2250" s="8"/>
      <c r="L2250" s="12"/>
      <c r="M2250" s="13"/>
      <c r="N2250" s="13" t="str">
        <f>IFERROR(__xludf.DUMMYFUNCTION("IF(ISBLANK(M2250),"""",M2250*GOOGLEFINANCE(""USDGBP""))"),"")</f>
        <v/>
      </c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  <c r="FG2250" s="8"/>
      <c r="FH2250" s="8"/>
      <c r="FI2250" s="8"/>
      <c r="FJ2250" s="8"/>
      <c r="FK2250" s="8"/>
      <c r="FL2250" s="8"/>
      <c r="FM2250" s="8"/>
      <c r="FN2250" s="8"/>
      <c r="FO2250" s="8"/>
      <c r="FP2250" s="8"/>
      <c r="FQ2250" s="8"/>
      <c r="FR2250" s="8"/>
      <c r="FS2250" s="8"/>
      <c r="FT2250" s="8"/>
      <c r="FU2250" s="8"/>
      <c r="FV2250" s="8"/>
      <c r="FW2250" s="8"/>
      <c r="FX2250" s="8"/>
      <c r="FY2250" s="8"/>
      <c r="FZ2250" s="8"/>
      <c r="GA2250" s="8"/>
      <c r="GB2250" s="8"/>
      <c r="GC2250" s="8"/>
      <c r="GD2250" s="8"/>
      <c r="GE2250" s="8"/>
      <c r="GF2250" s="8"/>
      <c r="GG2250" s="8"/>
      <c r="GH2250" s="8"/>
      <c r="GI2250" s="8"/>
      <c r="GJ2250" s="8"/>
      <c r="GK2250" s="8"/>
      <c r="GL2250" s="8"/>
      <c r="GM2250" s="8"/>
      <c r="GN2250" s="8"/>
      <c r="GO2250" s="8"/>
      <c r="GP2250" s="8"/>
      <c r="GQ2250" s="8"/>
      <c r="GR2250" s="8"/>
      <c r="GS2250" s="8"/>
      <c r="GT2250" s="8"/>
      <c r="GU2250" s="8"/>
      <c r="GV2250" s="8"/>
      <c r="GW2250" s="8"/>
      <c r="GX2250" s="8"/>
    </row>
    <row r="2251">
      <c r="A2251" s="8" t="str">
        <f>IFERROR(__xludf.DUMMYFUNCTION("""COMPUTED_VALUE"""),"110964520140600750")</f>
        <v>110964520140600750</v>
      </c>
      <c r="B2251" s="9" t="str">
        <f>IFERROR(__xludf.DUMMYFUNCTION("""COMPUTED_VALUE"""),"France")</f>
        <v>France</v>
      </c>
      <c r="C2251" s="9" t="str">
        <f>IFERROR(__xludf.DUMMYFUNCTION("""COMPUTED_VALUE"""),"rhone")</f>
        <v>rhone</v>
      </c>
      <c r="D2251" s="9" t="str">
        <f>IFERROR(__xludf.DUMMYFUNCTION("""COMPUTED_VALUE"""),"M. Chapoutier, Hermitage, l'Ermite Blanc")</f>
        <v>M. Chapoutier, Hermitage, l'Ermite Blanc</v>
      </c>
      <c r="E2251" s="9">
        <f>IFERROR(__xludf.DUMMYFUNCTION("""COMPUTED_VALUE"""),2014.0)</f>
        <v>2014</v>
      </c>
      <c r="F2251" s="9">
        <f>IFERROR(__xludf.DUMMYFUNCTION("""COMPUTED_VALUE"""),750.0)</f>
        <v>750</v>
      </c>
      <c r="G2251" s="9">
        <f>IFERROR(__xludf.DUMMYFUNCTION("""COMPUTED_VALUE"""),6.0)</f>
        <v>6</v>
      </c>
      <c r="H2251" s="10">
        <f>IFERROR(__xludf.DUMMYFUNCTION("""COMPUTED_VALUE"""),1.0)</f>
        <v>1</v>
      </c>
      <c r="I2251" s="11">
        <f>IFERROR(__xludf.DUMMYFUNCTION("""COMPUTED_VALUE"""),3425.0)</f>
        <v>3425</v>
      </c>
      <c r="J2251" s="9" t="str">
        <f>IFERROR(__xludf.DUMMYFUNCTION("""COMPUTED_VALUE"""),"UK")</f>
        <v>UK</v>
      </c>
      <c r="K2251" s="8"/>
      <c r="L2251" s="12"/>
      <c r="M2251" s="13"/>
      <c r="N2251" s="13" t="str">
        <f>IFERROR(__xludf.DUMMYFUNCTION("IF(ISBLANK(M2251),"""",M2251*GOOGLEFINANCE(""USDGBP""))"),"")</f>
        <v/>
      </c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  <c r="FG2251" s="8"/>
      <c r="FH2251" s="8"/>
      <c r="FI2251" s="8"/>
      <c r="FJ2251" s="8"/>
      <c r="FK2251" s="8"/>
      <c r="FL2251" s="8"/>
      <c r="FM2251" s="8"/>
      <c r="FN2251" s="8"/>
      <c r="FO2251" s="8"/>
      <c r="FP2251" s="8"/>
      <c r="FQ2251" s="8"/>
      <c r="FR2251" s="8"/>
      <c r="FS2251" s="8"/>
      <c r="FT2251" s="8"/>
      <c r="FU2251" s="8"/>
      <c r="FV2251" s="8"/>
      <c r="FW2251" s="8"/>
      <c r="FX2251" s="8"/>
      <c r="FY2251" s="8"/>
      <c r="FZ2251" s="8"/>
      <c r="GA2251" s="8"/>
      <c r="GB2251" s="8"/>
      <c r="GC2251" s="8"/>
      <c r="GD2251" s="8"/>
      <c r="GE2251" s="8"/>
      <c r="GF2251" s="8"/>
      <c r="GG2251" s="8"/>
      <c r="GH2251" s="8"/>
      <c r="GI2251" s="8"/>
      <c r="GJ2251" s="8"/>
      <c r="GK2251" s="8"/>
      <c r="GL2251" s="8"/>
      <c r="GM2251" s="8"/>
      <c r="GN2251" s="8"/>
      <c r="GO2251" s="8"/>
      <c r="GP2251" s="8"/>
      <c r="GQ2251" s="8"/>
      <c r="GR2251" s="8"/>
      <c r="GS2251" s="8"/>
      <c r="GT2251" s="8"/>
      <c r="GU2251" s="8"/>
      <c r="GV2251" s="8"/>
      <c r="GW2251" s="8"/>
      <c r="GX2251" s="8"/>
    </row>
    <row r="2252">
      <c r="A2252" s="8" t="str">
        <f>IFERROR(__xludf.DUMMYFUNCTION("""COMPUTED_VALUE"""),"110964520160600750")</f>
        <v>110964520160600750</v>
      </c>
      <c r="B2252" s="9" t="str">
        <f>IFERROR(__xludf.DUMMYFUNCTION("""COMPUTED_VALUE"""),"France")</f>
        <v>France</v>
      </c>
      <c r="C2252" s="9" t="str">
        <f>IFERROR(__xludf.DUMMYFUNCTION("""COMPUTED_VALUE"""),"rhone")</f>
        <v>rhone</v>
      </c>
      <c r="D2252" s="9" t="str">
        <f>IFERROR(__xludf.DUMMYFUNCTION("""COMPUTED_VALUE"""),"M. Chapoutier, Hermitage, l'Ermite Blanc")</f>
        <v>M. Chapoutier, Hermitage, l'Ermite Blanc</v>
      </c>
      <c r="E2252" s="9">
        <f>IFERROR(__xludf.DUMMYFUNCTION("""COMPUTED_VALUE"""),2016.0)</f>
        <v>2016</v>
      </c>
      <c r="F2252" s="9">
        <f>IFERROR(__xludf.DUMMYFUNCTION("""COMPUTED_VALUE"""),750.0)</f>
        <v>750</v>
      </c>
      <c r="G2252" s="9">
        <f>IFERROR(__xludf.DUMMYFUNCTION("""COMPUTED_VALUE"""),6.0)</f>
        <v>6</v>
      </c>
      <c r="H2252" s="10">
        <f>IFERROR(__xludf.DUMMYFUNCTION("""COMPUTED_VALUE"""),1.0)</f>
        <v>1</v>
      </c>
      <c r="I2252" s="11">
        <f>IFERROR(__xludf.DUMMYFUNCTION("""COMPUTED_VALUE"""),2537.0)</f>
        <v>2537</v>
      </c>
      <c r="J2252" s="9" t="str">
        <f>IFERROR(__xludf.DUMMYFUNCTION("""COMPUTED_VALUE"""),"UK")</f>
        <v>UK</v>
      </c>
      <c r="K2252" s="8"/>
      <c r="L2252" s="12"/>
      <c r="M2252" s="13"/>
      <c r="N2252" s="13" t="str">
        <f>IFERROR(__xludf.DUMMYFUNCTION("IF(ISBLANK(M2252),"""",M2252*GOOGLEFINANCE(""USDGBP""))"),"")</f>
        <v/>
      </c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  <c r="FG2252" s="8"/>
      <c r="FH2252" s="8"/>
      <c r="FI2252" s="8"/>
      <c r="FJ2252" s="8"/>
      <c r="FK2252" s="8"/>
      <c r="FL2252" s="8"/>
      <c r="FM2252" s="8"/>
      <c r="FN2252" s="8"/>
      <c r="FO2252" s="8"/>
      <c r="FP2252" s="8"/>
      <c r="FQ2252" s="8"/>
      <c r="FR2252" s="8"/>
      <c r="FS2252" s="8"/>
      <c r="FT2252" s="8"/>
      <c r="FU2252" s="8"/>
      <c r="FV2252" s="8"/>
      <c r="FW2252" s="8"/>
      <c r="FX2252" s="8"/>
      <c r="FY2252" s="8"/>
      <c r="FZ2252" s="8"/>
      <c r="GA2252" s="8"/>
      <c r="GB2252" s="8"/>
      <c r="GC2252" s="8"/>
      <c r="GD2252" s="8"/>
      <c r="GE2252" s="8"/>
      <c r="GF2252" s="8"/>
      <c r="GG2252" s="8"/>
      <c r="GH2252" s="8"/>
      <c r="GI2252" s="8"/>
      <c r="GJ2252" s="8"/>
      <c r="GK2252" s="8"/>
      <c r="GL2252" s="8"/>
      <c r="GM2252" s="8"/>
      <c r="GN2252" s="8"/>
      <c r="GO2252" s="8"/>
      <c r="GP2252" s="8"/>
      <c r="GQ2252" s="8"/>
      <c r="GR2252" s="8"/>
      <c r="GS2252" s="8"/>
      <c r="GT2252" s="8"/>
      <c r="GU2252" s="8"/>
      <c r="GV2252" s="8"/>
      <c r="GW2252" s="8"/>
      <c r="GX2252" s="8"/>
    </row>
    <row r="2253">
      <c r="A2253" s="8" t="str">
        <f>IFERROR(__xludf.DUMMYFUNCTION("""COMPUTED_VALUE"""),"110964520170600750")</f>
        <v>110964520170600750</v>
      </c>
      <c r="B2253" s="9" t="str">
        <f>IFERROR(__xludf.DUMMYFUNCTION("""COMPUTED_VALUE"""),"France")</f>
        <v>France</v>
      </c>
      <c r="C2253" s="9" t="str">
        <f>IFERROR(__xludf.DUMMYFUNCTION("""COMPUTED_VALUE"""),"rhone")</f>
        <v>rhone</v>
      </c>
      <c r="D2253" s="9" t="str">
        <f>IFERROR(__xludf.DUMMYFUNCTION("""COMPUTED_VALUE"""),"M. Chapoutier, Hermitage, l'Ermite Blanc")</f>
        <v>M. Chapoutier, Hermitage, l'Ermite Blanc</v>
      </c>
      <c r="E2253" s="9">
        <f>IFERROR(__xludf.DUMMYFUNCTION("""COMPUTED_VALUE"""),2017.0)</f>
        <v>2017</v>
      </c>
      <c r="F2253" s="9">
        <f>IFERROR(__xludf.DUMMYFUNCTION("""COMPUTED_VALUE"""),750.0)</f>
        <v>750</v>
      </c>
      <c r="G2253" s="9">
        <f>IFERROR(__xludf.DUMMYFUNCTION("""COMPUTED_VALUE"""),6.0)</f>
        <v>6</v>
      </c>
      <c r="H2253" s="10">
        <f>IFERROR(__xludf.DUMMYFUNCTION("""COMPUTED_VALUE"""),1.0)</f>
        <v>1</v>
      </c>
      <c r="I2253" s="11">
        <f>IFERROR(__xludf.DUMMYFUNCTION("""COMPUTED_VALUE"""),2647.0)</f>
        <v>2647</v>
      </c>
      <c r="J2253" s="9" t="str">
        <f>IFERROR(__xludf.DUMMYFUNCTION("""COMPUTED_VALUE"""),"UK")</f>
        <v>UK</v>
      </c>
      <c r="K2253" s="8"/>
      <c r="L2253" s="12"/>
      <c r="M2253" s="13"/>
      <c r="N2253" s="13" t="str">
        <f>IFERROR(__xludf.DUMMYFUNCTION("IF(ISBLANK(M2253),"""",M2253*GOOGLEFINANCE(""USDGBP""))"),"")</f>
        <v/>
      </c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  <c r="FG2253" s="8"/>
      <c r="FH2253" s="8"/>
      <c r="FI2253" s="8"/>
      <c r="FJ2253" s="8"/>
      <c r="FK2253" s="8"/>
      <c r="FL2253" s="8"/>
      <c r="FM2253" s="8"/>
      <c r="FN2253" s="8"/>
      <c r="FO2253" s="8"/>
      <c r="FP2253" s="8"/>
      <c r="FQ2253" s="8"/>
      <c r="FR2253" s="8"/>
      <c r="FS2253" s="8"/>
      <c r="FT2253" s="8"/>
      <c r="FU2253" s="8"/>
      <c r="FV2253" s="8"/>
      <c r="FW2253" s="8"/>
      <c r="FX2253" s="8"/>
      <c r="FY2253" s="8"/>
      <c r="FZ2253" s="8"/>
      <c r="GA2253" s="8"/>
      <c r="GB2253" s="8"/>
      <c r="GC2253" s="8"/>
      <c r="GD2253" s="8"/>
      <c r="GE2253" s="8"/>
      <c r="GF2253" s="8"/>
      <c r="GG2253" s="8"/>
      <c r="GH2253" s="8"/>
      <c r="GI2253" s="8"/>
      <c r="GJ2253" s="8"/>
      <c r="GK2253" s="8"/>
      <c r="GL2253" s="8"/>
      <c r="GM2253" s="8"/>
      <c r="GN2253" s="8"/>
      <c r="GO2253" s="8"/>
      <c r="GP2253" s="8"/>
      <c r="GQ2253" s="8"/>
      <c r="GR2253" s="8"/>
      <c r="GS2253" s="8"/>
      <c r="GT2253" s="8"/>
      <c r="GU2253" s="8"/>
      <c r="GV2253" s="8"/>
      <c r="GW2253" s="8"/>
      <c r="GX2253" s="8"/>
    </row>
    <row r="2254">
      <c r="A2254" s="8" t="str">
        <f>IFERROR(__xludf.DUMMYFUNCTION("""COMPUTED_VALUE"""),"110964520180600750")</f>
        <v>110964520180600750</v>
      </c>
      <c r="B2254" s="9" t="str">
        <f>IFERROR(__xludf.DUMMYFUNCTION("""COMPUTED_VALUE"""),"France")</f>
        <v>France</v>
      </c>
      <c r="C2254" s="9" t="str">
        <f>IFERROR(__xludf.DUMMYFUNCTION("""COMPUTED_VALUE"""),"rhone")</f>
        <v>rhone</v>
      </c>
      <c r="D2254" s="9" t="str">
        <f>IFERROR(__xludf.DUMMYFUNCTION("""COMPUTED_VALUE"""),"M. Chapoutier, Hermitage, l'Ermite Blanc")</f>
        <v>M. Chapoutier, Hermitage, l'Ermite Blanc</v>
      </c>
      <c r="E2254" s="9">
        <f>IFERROR(__xludf.DUMMYFUNCTION("""COMPUTED_VALUE"""),2018.0)</f>
        <v>2018</v>
      </c>
      <c r="F2254" s="9">
        <f>IFERROR(__xludf.DUMMYFUNCTION("""COMPUTED_VALUE"""),750.0)</f>
        <v>750</v>
      </c>
      <c r="G2254" s="9">
        <f>IFERROR(__xludf.DUMMYFUNCTION("""COMPUTED_VALUE"""),6.0)</f>
        <v>6</v>
      </c>
      <c r="H2254" s="10">
        <f>IFERROR(__xludf.DUMMYFUNCTION("""COMPUTED_VALUE"""),6.0)</f>
        <v>6</v>
      </c>
      <c r="I2254" s="11">
        <f>IFERROR(__xludf.DUMMYFUNCTION("""COMPUTED_VALUE"""),2132.0)</f>
        <v>2132</v>
      </c>
      <c r="J2254" s="9" t="str">
        <f>IFERROR(__xludf.DUMMYFUNCTION("""COMPUTED_VALUE"""),"UK")</f>
        <v>UK</v>
      </c>
      <c r="K2254" s="8"/>
      <c r="L2254" s="12"/>
      <c r="M2254" s="13"/>
      <c r="N2254" s="13" t="str">
        <f>IFERROR(__xludf.DUMMYFUNCTION("IF(ISBLANK(M2254),"""",M2254*GOOGLEFINANCE(""USDGBP""))"),"")</f>
        <v/>
      </c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  <c r="FG2254" s="8"/>
      <c r="FH2254" s="8"/>
      <c r="FI2254" s="8"/>
      <c r="FJ2254" s="8"/>
      <c r="FK2254" s="8"/>
      <c r="FL2254" s="8"/>
      <c r="FM2254" s="8"/>
      <c r="FN2254" s="8"/>
      <c r="FO2254" s="8"/>
      <c r="FP2254" s="8"/>
      <c r="FQ2254" s="8"/>
      <c r="FR2254" s="8"/>
      <c r="FS2254" s="8"/>
      <c r="FT2254" s="8"/>
      <c r="FU2254" s="8"/>
      <c r="FV2254" s="8"/>
      <c r="FW2254" s="8"/>
      <c r="FX2254" s="8"/>
      <c r="FY2254" s="8"/>
      <c r="FZ2254" s="8"/>
      <c r="GA2254" s="8"/>
      <c r="GB2254" s="8"/>
      <c r="GC2254" s="8"/>
      <c r="GD2254" s="8"/>
      <c r="GE2254" s="8"/>
      <c r="GF2254" s="8"/>
      <c r="GG2254" s="8"/>
      <c r="GH2254" s="8"/>
      <c r="GI2254" s="8"/>
      <c r="GJ2254" s="8"/>
      <c r="GK2254" s="8"/>
      <c r="GL2254" s="8"/>
      <c r="GM2254" s="8"/>
      <c r="GN2254" s="8"/>
      <c r="GO2254" s="8"/>
      <c r="GP2254" s="8"/>
      <c r="GQ2254" s="8"/>
      <c r="GR2254" s="8"/>
      <c r="GS2254" s="8"/>
      <c r="GT2254" s="8"/>
      <c r="GU2254" s="8"/>
      <c r="GV2254" s="8"/>
      <c r="GW2254" s="8"/>
      <c r="GX2254" s="8"/>
    </row>
    <row r="2255">
      <c r="A2255" s="8" t="str">
        <f>IFERROR(__xludf.DUMMYFUNCTION("""COMPUTED_VALUE"""),"142726219991200750")</f>
        <v>142726219991200750</v>
      </c>
      <c r="B2255" s="9" t="str">
        <f>IFERROR(__xludf.DUMMYFUNCTION("""COMPUTED_VALUE"""),"Australia")</f>
        <v>Australia</v>
      </c>
      <c r="C2255" s="9" t="str">
        <f>IFERROR(__xludf.DUMMYFUNCTION("""COMPUTED_VALUE"""),"south australia")</f>
        <v>south australia</v>
      </c>
      <c r="D2255" s="9" t="str">
        <f>IFERROR(__xludf.DUMMYFUNCTION("""COMPUTED_VALUE"""),"Australian Domaine Wines, The Hattrick, McLaren Vale")</f>
        <v>Australian Domaine Wines, The Hattrick, McLaren Vale</v>
      </c>
      <c r="E2255" s="9">
        <f>IFERROR(__xludf.DUMMYFUNCTION("""COMPUTED_VALUE"""),1999.0)</f>
        <v>1999</v>
      </c>
      <c r="F2255" s="9">
        <f>IFERROR(__xludf.DUMMYFUNCTION("""COMPUTED_VALUE"""),750.0)</f>
        <v>750</v>
      </c>
      <c r="G2255" s="9">
        <f>IFERROR(__xludf.DUMMYFUNCTION("""COMPUTED_VALUE"""),12.0)</f>
        <v>12</v>
      </c>
      <c r="H2255" s="10">
        <f>IFERROR(__xludf.DUMMYFUNCTION("""COMPUTED_VALUE"""),1.0)</f>
        <v>1</v>
      </c>
      <c r="I2255" s="11">
        <f>IFERROR(__xludf.DUMMYFUNCTION("""COMPUTED_VALUE"""),509.0)</f>
        <v>509</v>
      </c>
      <c r="J2255" s="9" t="str">
        <f>IFERROR(__xludf.DUMMYFUNCTION("""COMPUTED_VALUE"""),"UK")</f>
        <v>UK</v>
      </c>
      <c r="K2255" s="8"/>
      <c r="L2255" s="12"/>
      <c r="M2255" s="13"/>
      <c r="N2255" s="13" t="str">
        <f>IFERROR(__xludf.DUMMYFUNCTION("IF(ISBLANK(M2255),"""",M2255*GOOGLEFINANCE(""USDGBP""))"),"")</f>
        <v/>
      </c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  <c r="FG2255" s="8"/>
      <c r="FH2255" s="8"/>
      <c r="FI2255" s="8"/>
      <c r="FJ2255" s="8"/>
      <c r="FK2255" s="8"/>
      <c r="FL2255" s="8"/>
      <c r="FM2255" s="8"/>
      <c r="FN2255" s="8"/>
      <c r="FO2255" s="8"/>
      <c r="FP2255" s="8"/>
      <c r="FQ2255" s="8"/>
      <c r="FR2255" s="8"/>
      <c r="FS2255" s="8"/>
      <c r="FT2255" s="8"/>
      <c r="FU2255" s="8"/>
      <c r="FV2255" s="8"/>
      <c r="FW2255" s="8"/>
      <c r="FX2255" s="8"/>
      <c r="FY2255" s="8"/>
      <c r="FZ2255" s="8"/>
      <c r="GA2255" s="8"/>
      <c r="GB2255" s="8"/>
      <c r="GC2255" s="8"/>
      <c r="GD2255" s="8"/>
      <c r="GE2255" s="8"/>
      <c r="GF2255" s="8"/>
      <c r="GG2255" s="8"/>
      <c r="GH2255" s="8"/>
      <c r="GI2255" s="8"/>
      <c r="GJ2255" s="8"/>
      <c r="GK2255" s="8"/>
      <c r="GL2255" s="8"/>
      <c r="GM2255" s="8"/>
      <c r="GN2255" s="8"/>
      <c r="GO2255" s="8"/>
      <c r="GP2255" s="8"/>
      <c r="GQ2255" s="8"/>
      <c r="GR2255" s="8"/>
      <c r="GS2255" s="8"/>
      <c r="GT2255" s="8"/>
      <c r="GU2255" s="8"/>
      <c r="GV2255" s="8"/>
      <c r="GW2255" s="8"/>
      <c r="GX2255" s="8"/>
    </row>
    <row r="2256">
      <c r="A2256" s="8" t="str">
        <f>IFERROR(__xludf.DUMMYFUNCTION("""COMPUTED_VALUE"""),"100153220100600750")</f>
        <v>100153220100600750</v>
      </c>
      <c r="B2256" s="9" t="str">
        <f>IFERROR(__xludf.DUMMYFUNCTION("""COMPUTED_VALUE"""),"Australia")</f>
        <v>Australia</v>
      </c>
      <c r="C2256" s="9" t="str">
        <f>IFERROR(__xludf.DUMMYFUNCTION("""COMPUTED_VALUE"""),"south australia")</f>
        <v>south australia</v>
      </c>
      <c r="D2256" s="9" t="str">
        <f>IFERROR(__xludf.DUMMYFUNCTION("""COMPUTED_VALUE"""),"Clarendon Hills, Astralis, South Australia")</f>
        <v>Clarendon Hills, Astralis, South Australia</v>
      </c>
      <c r="E2256" s="9">
        <f>IFERROR(__xludf.DUMMYFUNCTION("""COMPUTED_VALUE"""),2010.0)</f>
        <v>2010</v>
      </c>
      <c r="F2256" s="9">
        <f>IFERROR(__xludf.DUMMYFUNCTION("""COMPUTED_VALUE"""),750.0)</f>
        <v>750</v>
      </c>
      <c r="G2256" s="9">
        <f>IFERROR(__xludf.DUMMYFUNCTION("""COMPUTED_VALUE"""),6.0)</f>
        <v>6</v>
      </c>
      <c r="H2256" s="10">
        <f>IFERROR(__xludf.DUMMYFUNCTION("""COMPUTED_VALUE"""),6.0)</f>
        <v>6</v>
      </c>
      <c r="I2256" s="11">
        <f>IFERROR(__xludf.DUMMYFUNCTION("""COMPUTED_VALUE"""),987.0)</f>
        <v>987</v>
      </c>
      <c r="J2256" s="9" t="str">
        <f>IFERROR(__xludf.DUMMYFUNCTION("""COMPUTED_VALUE"""),"UK")</f>
        <v>UK</v>
      </c>
      <c r="K2256" s="8"/>
      <c r="L2256" s="12"/>
      <c r="M2256" s="13"/>
      <c r="N2256" s="13" t="str">
        <f>IFERROR(__xludf.DUMMYFUNCTION("IF(ISBLANK(M2256),"""",M2256*GOOGLEFINANCE(""USDGBP""))"),"")</f>
        <v/>
      </c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  <c r="FG2256" s="8"/>
      <c r="FH2256" s="8"/>
      <c r="FI2256" s="8"/>
      <c r="FJ2256" s="8"/>
      <c r="FK2256" s="8"/>
      <c r="FL2256" s="8"/>
      <c r="FM2256" s="8"/>
      <c r="FN2256" s="8"/>
      <c r="FO2256" s="8"/>
      <c r="FP2256" s="8"/>
      <c r="FQ2256" s="8"/>
      <c r="FR2256" s="8"/>
      <c r="FS2256" s="8"/>
      <c r="FT2256" s="8"/>
      <c r="FU2256" s="8"/>
      <c r="FV2256" s="8"/>
      <c r="FW2256" s="8"/>
      <c r="FX2256" s="8"/>
      <c r="FY2256" s="8"/>
      <c r="FZ2256" s="8"/>
      <c r="GA2256" s="8"/>
      <c r="GB2256" s="8"/>
      <c r="GC2256" s="8"/>
      <c r="GD2256" s="8"/>
      <c r="GE2256" s="8"/>
      <c r="GF2256" s="8"/>
      <c r="GG2256" s="8"/>
      <c r="GH2256" s="8"/>
      <c r="GI2256" s="8"/>
      <c r="GJ2256" s="8"/>
      <c r="GK2256" s="8"/>
      <c r="GL2256" s="8"/>
      <c r="GM2256" s="8"/>
      <c r="GN2256" s="8"/>
      <c r="GO2256" s="8"/>
      <c r="GP2256" s="8"/>
      <c r="GQ2256" s="8"/>
      <c r="GR2256" s="8"/>
      <c r="GS2256" s="8"/>
      <c r="GT2256" s="8"/>
      <c r="GU2256" s="8"/>
      <c r="GV2256" s="8"/>
      <c r="GW2256" s="8"/>
      <c r="GX2256" s="8"/>
    </row>
    <row r="2257">
      <c r="A2257" s="8" t="str">
        <f>IFERROR(__xludf.DUMMYFUNCTION("""COMPUTED_VALUE"""),"153458819981200750")</f>
        <v>153458819981200750</v>
      </c>
      <c r="B2257" s="9" t="str">
        <f>IFERROR(__xludf.DUMMYFUNCTION("""COMPUTED_VALUE"""),"Australia")</f>
        <v>Australia</v>
      </c>
      <c r="C2257" s="9" t="str">
        <f>IFERROR(__xludf.DUMMYFUNCTION("""COMPUTED_VALUE"""),"south australia")</f>
        <v>south australia</v>
      </c>
      <c r="D2257" s="9" t="str">
        <f>IFERROR(__xludf.DUMMYFUNCTION("""COMPUTED_VALUE"""),"Fox Creek, Cabernet Sauvignon, South Australia")</f>
        <v>Fox Creek, Cabernet Sauvignon, South Australia</v>
      </c>
      <c r="E2257" s="9">
        <f>IFERROR(__xludf.DUMMYFUNCTION("""COMPUTED_VALUE"""),1998.0)</f>
        <v>1998</v>
      </c>
      <c r="F2257" s="9">
        <f>IFERROR(__xludf.DUMMYFUNCTION("""COMPUTED_VALUE"""),750.0)</f>
        <v>750</v>
      </c>
      <c r="G2257" s="9">
        <f>IFERROR(__xludf.DUMMYFUNCTION("""COMPUTED_VALUE"""),12.0)</f>
        <v>12</v>
      </c>
      <c r="H2257" s="10">
        <f>IFERROR(__xludf.DUMMYFUNCTION("""COMPUTED_VALUE"""),1.0)</f>
        <v>1</v>
      </c>
      <c r="I2257" s="11">
        <f>IFERROR(__xludf.DUMMYFUNCTION("""COMPUTED_VALUE"""),425.0)</f>
        <v>425</v>
      </c>
      <c r="J2257" s="9" t="str">
        <f>IFERROR(__xludf.DUMMYFUNCTION("""COMPUTED_VALUE"""),"UK")</f>
        <v>UK</v>
      </c>
      <c r="K2257" s="8"/>
      <c r="L2257" s="12"/>
      <c r="M2257" s="13"/>
      <c r="N2257" s="13" t="str">
        <f>IFERROR(__xludf.DUMMYFUNCTION("IF(ISBLANK(M2257),"""",M2257*GOOGLEFINANCE(""USDGBP""))"),"")</f>
        <v/>
      </c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  <c r="FG2257" s="8"/>
      <c r="FH2257" s="8"/>
      <c r="FI2257" s="8"/>
      <c r="FJ2257" s="8"/>
      <c r="FK2257" s="8"/>
      <c r="FL2257" s="8"/>
      <c r="FM2257" s="8"/>
      <c r="FN2257" s="8"/>
      <c r="FO2257" s="8"/>
      <c r="FP2257" s="8"/>
      <c r="FQ2257" s="8"/>
      <c r="FR2257" s="8"/>
      <c r="FS2257" s="8"/>
      <c r="FT2257" s="8"/>
      <c r="FU2257" s="8"/>
      <c r="FV2257" s="8"/>
      <c r="FW2257" s="8"/>
      <c r="FX2257" s="8"/>
      <c r="FY2257" s="8"/>
      <c r="FZ2257" s="8"/>
      <c r="GA2257" s="8"/>
      <c r="GB2257" s="8"/>
      <c r="GC2257" s="8"/>
      <c r="GD2257" s="8"/>
      <c r="GE2257" s="8"/>
      <c r="GF2257" s="8"/>
      <c r="GG2257" s="8"/>
      <c r="GH2257" s="8"/>
      <c r="GI2257" s="8"/>
      <c r="GJ2257" s="8"/>
      <c r="GK2257" s="8"/>
      <c r="GL2257" s="8"/>
      <c r="GM2257" s="8"/>
      <c r="GN2257" s="8"/>
      <c r="GO2257" s="8"/>
      <c r="GP2257" s="8"/>
      <c r="GQ2257" s="8"/>
      <c r="GR2257" s="8"/>
      <c r="GS2257" s="8"/>
      <c r="GT2257" s="8"/>
      <c r="GU2257" s="8"/>
      <c r="GV2257" s="8"/>
      <c r="GW2257" s="8"/>
      <c r="GX2257" s="8"/>
    </row>
    <row r="2258">
      <c r="A2258" s="8" t="str">
        <f>IFERROR(__xludf.DUMMYFUNCTION("""COMPUTED_VALUE"""),"100287420060300750")</f>
        <v>100287420060300750</v>
      </c>
      <c r="B2258" s="9" t="str">
        <f>IFERROR(__xludf.DUMMYFUNCTION("""COMPUTED_VALUE"""),"Australia")</f>
        <v>Australia</v>
      </c>
      <c r="C2258" s="9" t="str">
        <f>IFERROR(__xludf.DUMMYFUNCTION("""COMPUTED_VALUE"""),"south australia")</f>
        <v>south australia</v>
      </c>
      <c r="D2258" s="9" t="str">
        <f>IFERROR(__xludf.DUMMYFUNCTION("""COMPUTED_VALUE"""),"Henschke, Hill of Grace Vineyard, Eden Valley")</f>
        <v>Henschke, Hill of Grace Vineyard, Eden Valley</v>
      </c>
      <c r="E2258" s="9">
        <f>IFERROR(__xludf.DUMMYFUNCTION("""COMPUTED_VALUE"""),2006.0)</f>
        <v>2006</v>
      </c>
      <c r="F2258" s="9">
        <f>IFERROR(__xludf.DUMMYFUNCTION("""COMPUTED_VALUE"""),750.0)</f>
        <v>750</v>
      </c>
      <c r="G2258" s="9">
        <f>IFERROR(__xludf.DUMMYFUNCTION("""COMPUTED_VALUE"""),3.0)</f>
        <v>3</v>
      </c>
      <c r="H2258" s="10">
        <f>IFERROR(__xludf.DUMMYFUNCTION("""COMPUTED_VALUE"""),2.0)</f>
        <v>2</v>
      </c>
      <c r="I2258" s="11">
        <f>IFERROR(__xludf.DUMMYFUNCTION("""COMPUTED_VALUE"""),1732.0)</f>
        <v>1732</v>
      </c>
      <c r="J2258" s="9" t="str">
        <f>IFERROR(__xludf.DUMMYFUNCTION("""COMPUTED_VALUE"""),"UK")</f>
        <v>UK</v>
      </c>
      <c r="K2258" s="8"/>
      <c r="L2258" s="12"/>
      <c r="M2258" s="13"/>
      <c r="N2258" s="13" t="str">
        <f>IFERROR(__xludf.DUMMYFUNCTION("IF(ISBLANK(M2258),"""",M2258*GOOGLEFINANCE(""USDGBP""))"),"")</f>
        <v/>
      </c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  <c r="FG2258" s="8"/>
      <c r="FH2258" s="8"/>
      <c r="FI2258" s="8"/>
      <c r="FJ2258" s="8"/>
      <c r="FK2258" s="8"/>
      <c r="FL2258" s="8"/>
      <c r="FM2258" s="8"/>
      <c r="FN2258" s="8"/>
      <c r="FO2258" s="8"/>
      <c r="FP2258" s="8"/>
      <c r="FQ2258" s="8"/>
      <c r="FR2258" s="8"/>
      <c r="FS2258" s="8"/>
      <c r="FT2258" s="8"/>
      <c r="FU2258" s="8"/>
      <c r="FV2258" s="8"/>
      <c r="FW2258" s="8"/>
      <c r="FX2258" s="8"/>
      <c r="FY2258" s="8"/>
      <c r="FZ2258" s="8"/>
      <c r="GA2258" s="8"/>
      <c r="GB2258" s="8"/>
      <c r="GC2258" s="8"/>
      <c r="GD2258" s="8"/>
      <c r="GE2258" s="8"/>
      <c r="GF2258" s="8"/>
      <c r="GG2258" s="8"/>
      <c r="GH2258" s="8"/>
      <c r="GI2258" s="8"/>
      <c r="GJ2258" s="8"/>
      <c r="GK2258" s="8"/>
      <c r="GL2258" s="8"/>
      <c r="GM2258" s="8"/>
      <c r="GN2258" s="8"/>
      <c r="GO2258" s="8"/>
      <c r="GP2258" s="8"/>
      <c r="GQ2258" s="8"/>
      <c r="GR2258" s="8"/>
      <c r="GS2258" s="8"/>
      <c r="GT2258" s="8"/>
      <c r="GU2258" s="8"/>
      <c r="GV2258" s="8"/>
      <c r="GW2258" s="8"/>
      <c r="GX2258" s="8"/>
    </row>
    <row r="2259">
      <c r="A2259" s="8" t="str">
        <f>IFERROR(__xludf.DUMMYFUNCTION("""COMPUTED_VALUE"""),"100287420080300750")</f>
        <v>100287420080300750</v>
      </c>
      <c r="B2259" s="9" t="str">
        <f>IFERROR(__xludf.DUMMYFUNCTION("""COMPUTED_VALUE"""),"Australia")</f>
        <v>Australia</v>
      </c>
      <c r="C2259" s="9" t="str">
        <f>IFERROR(__xludf.DUMMYFUNCTION("""COMPUTED_VALUE"""),"south australia")</f>
        <v>south australia</v>
      </c>
      <c r="D2259" s="9" t="str">
        <f>IFERROR(__xludf.DUMMYFUNCTION("""COMPUTED_VALUE"""),"Henschke, Hill of Grace Vineyard, Eden Valley")</f>
        <v>Henschke, Hill of Grace Vineyard, Eden Valley</v>
      </c>
      <c r="E2259" s="9">
        <f>IFERROR(__xludf.DUMMYFUNCTION("""COMPUTED_VALUE"""),2008.0)</f>
        <v>2008</v>
      </c>
      <c r="F2259" s="9">
        <f>IFERROR(__xludf.DUMMYFUNCTION("""COMPUTED_VALUE"""),750.0)</f>
        <v>750</v>
      </c>
      <c r="G2259" s="9">
        <f>IFERROR(__xludf.DUMMYFUNCTION("""COMPUTED_VALUE"""),3.0)</f>
        <v>3</v>
      </c>
      <c r="H2259" s="10">
        <f>IFERROR(__xludf.DUMMYFUNCTION("""COMPUTED_VALUE"""),2.0)</f>
        <v>2</v>
      </c>
      <c r="I2259" s="11">
        <f>IFERROR(__xludf.DUMMYFUNCTION("""COMPUTED_VALUE"""),1646.0)</f>
        <v>1646</v>
      </c>
      <c r="J2259" s="9" t="str">
        <f>IFERROR(__xludf.DUMMYFUNCTION("""COMPUTED_VALUE"""),"UK")</f>
        <v>UK</v>
      </c>
      <c r="K2259" s="8"/>
      <c r="L2259" s="12"/>
      <c r="M2259" s="13"/>
      <c r="N2259" s="13" t="str">
        <f>IFERROR(__xludf.DUMMYFUNCTION("IF(ISBLANK(M2259),"""",M2259*GOOGLEFINANCE(""USDGBP""))"),"")</f>
        <v/>
      </c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  <c r="FG2259" s="8"/>
      <c r="FH2259" s="8"/>
      <c r="FI2259" s="8"/>
      <c r="FJ2259" s="8"/>
      <c r="FK2259" s="8"/>
      <c r="FL2259" s="8"/>
      <c r="FM2259" s="8"/>
      <c r="FN2259" s="8"/>
      <c r="FO2259" s="8"/>
      <c r="FP2259" s="8"/>
      <c r="FQ2259" s="8"/>
      <c r="FR2259" s="8"/>
      <c r="FS2259" s="8"/>
      <c r="FT2259" s="8"/>
      <c r="FU2259" s="8"/>
      <c r="FV2259" s="8"/>
      <c r="FW2259" s="8"/>
      <c r="FX2259" s="8"/>
      <c r="FY2259" s="8"/>
      <c r="FZ2259" s="8"/>
      <c r="GA2259" s="8"/>
      <c r="GB2259" s="8"/>
      <c r="GC2259" s="8"/>
      <c r="GD2259" s="8"/>
      <c r="GE2259" s="8"/>
      <c r="GF2259" s="8"/>
      <c r="GG2259" s="8"/>
      <c r="GH2259" s="8"/>
      <c r="GI2259" s="8"/>
      <c r="GJ2259" s="8"/>
      <c r="GK2259" s="8"/>
      <c r="GL2259" s="8"/>
      <c r="GM2259" s="8"/>
      <c r="GN2259" s="8"/>
      <c r="GO2259" s="8"/>
      <c r="GP2259" s="8"/>
      <c r="GQ2259" s="8"/>
      <c r="GR2259" s="8"/>
      <c r="GS2259" s="8"/>
      <c r="GT2259" s="8"/>
      <c r="GU2259" s="8"/>
      <c r="GV2259" s="8"/>
      <c r="GW2259" s="8"/>
      <c r="GX2259" s="8"/>
    </row>
    <row r="2260">
      <c r="A2260" s="8" t="str">
        <f>IFERROR(__xludf.DUMMYFUNCTION("""COMPUTED_VALUE"""),"100287420120300750")</f>
        <v>100287420120300750</v>
      </c>
      <c r="B2260" s="9" t="str">
        <f>IFERROR(__xludf.DUMMYFUNCTION("""COMPUTED_VALUE"""),"Australia")</f>
        <v>Australia</v>
      </c>
      <c r="C2260" s="9" t="str">
        <f>IFERROR(__xludf.DUMMYFUNCTION("""COMPUTED_VALUE"""),"south australia")</f>
        <v>south australia</v>
      </c>
      <c r="D2260" s="9" t="str">
        <f>IFERROR(__xludf.DUMMYFUNCTION("""COMPUTED_VALUE"""),"Henschke, Hill of Grace Vineyard, Eden Valley")</f>
        <v>Henschke, Hill of Grace Vineyard, Eden Valley</v>
      </c>
      <c r="E2260" s="9">
        <f>IFERROR(__xludf.DUMMYFUNCTION("""COMPUTED_VALUE"""),2012.0)</f>
        <v>2012</v>
      </c>
      <c r="F2260" s="9">
        <f>IFERROR(__xludf.DUMMYFUNCTION("""COMPUTED_VALUE"""),750.0)</f>
        <v>750</v>
      </c>
      <c r="G2260" s="9">
        <f>IFERROR(__xludf.DUMMYFUNCTION("""COMPUTED_VALUE"""),3.0)</f>
        <v>3</v>
      </c>
      <c r="H2260" s="10">
        <f>IFERROR(__xludf.DUMMYFUNCTION("""COMPUTED_VALUE"""),1.0)</f>
        <v>1</v>
      </c>
      <c r="I2260" s="11">
        <f>IFERROR(__xludf.DUMMYFUNCTION("""COMPUTED_VALUE"""),1690.0)</f>
        <v>1690</v>
      </c>
      <c r="J2260" s="9" t="str">
        <f>IFERROR(__xludf.DUMMYFUNCTION("""COMPUTED_VALUE"""),"UK")</f>
        <v>UK</v>
      </c>
      <c r="K2260" s="8"/>
      <c r="L2260" s="12"/>
      <c r="M2260" s="13"/>
      <c r="N2260" s="13" t="str">
        <f>IFERROR(__xludf.DUMMYFUNCTION("IF(ISBLANK(M2260),"""",M2260*GOOGLEFINANCE(""USDGBP""))"),"")</f>
        <v/>
      </c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  <c r="FG2260" s="8"/>
      <c r="FH2260" s="8"/>
      <c r="FI2260" s="8"/>
      <c r="FJ2260" s="8"/>
      <c r="FK2260" s="8"/>
      <c r="FL2260" s="8"/>
      <c r="FM2260" s="8"/>
      <c r="FN2260" s="8"/>
      <c r="FO2260" s="8"/>
      <c r="FP2260" s="8"/>
      <c r="FQ2260" s="8"/>
      <c r="FR2260" s="8"/>
      <c r="FS2260" s="8"/>
      <c r="FT2260" s="8"/>
      <c r="FU2260" s="8"/>
      <c r="FV2260" s="8"/>
      <c r="FW2260" s="8"/>
      <c r="FX2260" s="8"/>
      <c r="FY2260" s="8"/>
      <c r="FZ2260" s="8"/>
      <c r="GA2260" s="8"/>
      <c r="GB2260" s="8"/>
      <c r="GC2260" s="8"/>
      <c r="GD2260" s="8"/>
      <c r="GE2260" s="8"/>
      <c r="GF2260" s="8"/>
      <c r="GG2260" s="8"/>
      <c r="GH2260" s="8"/>
      <c r="GI2260" s="8"/>
      <c r="GJ2260" s="8"/>
      <c r="GK2260" s="8"/>
      <c r="GL2260" s="8"/>
      <c r="GM2260" s="8"/>
      <c r="GN2260" s="8"/>
      <c r="GO2260" s="8"/>
      <c r="GP2260" s="8"/>
      <c r="GQ2260" s="8"/>
      <c r="GR2260" s="8"/>
      <c r="GS2260" s="8"/>
      <c r="GT2260" s="8"/>
      <c r="GU2260" s="8"/>
      <c r="GV2260" s="8"/>
      <c r="GW2260" s="8"/>
      <c r="GX2260" s="8"/>
    </row>
    <row r="2261">
      <c r="A2261" s="8" t="str">
        <f>IFERROR(__xludf.DUMMYFUNCTION("""COMPUTED_VALUE"""),"100287420140300750")</f>
        <v>100287420140300750</v>
      </c>
      <c r="B2261" s="9" t="str">
        <f>IFERROR(__xludf.DUMMYFUNCTION("""COMPUTED_VALUE"""),"Australia")</f>
        <v>Australia</v>
      </c>
      <c r="C2261" s="9" t="str">
        <f>IFERROR(__xludf.DUMMYFUNCTION("""COMPUTED_VALUE"""),"south australia")</f>
        <v>south australia</v>
      </c>
      <c r="D2261" s="9" t="str">
        <f>IFERROR(__xludf.DUMMYFUNCTION("""COMPUTED_VALUE"""),"Henschke, Hill of Grace Vineyard, Eden Valley")</f>
        <v>Henschke, Hill of Grace Vineyard, Eden Valley</v>
      </c>
      <c r="E2261" s="9">
        <f>IFERROR(__xludf.DUMMYFUNCTION("""COMPUTED_VALUE"""),2014.0)</f>
        <v>2014</v>
      </c>
      <c r="F2261" s="9">
        <f>IFERROR(__xludf.DUMMYFUNCTION("""COMPUTED_VALUE"""),750.0)</f>
        <v>750</v>
      </c>
      <c r="G2261" s="9">
        <f>IFERROR(__xludf.DUMMYFUNCTION("""COMPUTED_VALUE"""),3.0)</f>
        <v>3</v>
      </c>
      <c r="H2261" s="10">
        <f>IFERROR(__xludf.DUMMYFUNCTION("""COMPUTED_VALUE"""),1.0)</f>
        <v>1</v>
      </c>
      <c r="I2261" s="11">
        <f>IFERROR(__xludf.DUMMYFUNCTION("""COMPUTED_VALUE"""),1763.0)</f>
        <v>1763</v>
      </c>
      <c r="J2261" s="9" t="str">
        <f>IFERROR(__xludf.DUMMYFUNCTION("""COMPUTED_VALUE"""),"UK")</f>
        <v>UK</v>
      </c>
      <c r="K2261" s="8"/>
      <c r="L2261" s="12"/>
      <c r="M2261" s="13"/>
      <c r="N2261" s="13" t="str">
        <f>IFERROR(__xludf.DUMMYFUNCTION("IF(ISBLANK(M2261),"""",M2261*GOOGLEFINANCE(""USDGBP""))"),"")</f>
        <v/>
      </c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  <c r="FG2261" s="8"/>
      <c r="FH2261" s="8"/>
      <c r="FI2261" s="8"/>
      <c r="FJ2261" s="8"/>
      <c r="FK2261" s="8"/>
      <c r="FL2261" s="8"/>
      <c r="FM2261" s="8"/>
      <c r="FN2261" s="8"/>
      <c r="FO2261" s="8"/>
      <c r="FP2261" s="8"/>
      <c r="FQ2261" s="8"/>
      <c r="FR2261" s="8"/>
      <c r="FS2261" s="8"/>
      <c r="FT2261" s="8"/>
      <c r="FU2261" s="8"/>
      <c r="FV2261" s="8"/>
      <c r="FW2261" s="8"/>
      <c r="FX2261" s="8"/>
      <c r="FY2261" s="8"/>
      <c r="FZ2261" s="8"/>
      <c r="GA2261" s="8"/>
      <c r="GB2261" s="8"/>
      <c r="GC2261" s="8"/>
      <c r="GD2261" s="8"/>
      <c r="GE2261" s="8"/>
      <c r="GF2261" s="8"/>
      <c r="GG2261" s="8"/>
      <c r="GH2261" s="8"/>
      <c r="GI2261" s="8"/>
      <c r="GJ2261" s="8"/>
      <c r="GK2261" s="8"/>
      <c r="GL2261" s="8"/>
      <c r="GM2261" s="8"/>
      <c r="GN2261" s="8"/>
      <c r="GO2261" s="8"/>
      <c r="GP2261" s="8"/>
      <c r="GQ2261" s="8"/>
      <c r="GR2261" s="8"/>
      <c r="GS2261" s="8"/>
      <c r="GT2261" s="8"/>
      <c r="GU2261" s="8"/>
      <c r="GV2261" s="8"/>
      <c r="GW2261" s="8"/>
      <c r="GX2261" s="8"/>
    </row>
    <row r="2262">
      <c r="A2262" s="8" t="str">
        <f>IFERROR(__xludf.DUMMYFUNCTION("""COMPUTED_VALUE"""),"117528020160300750")</f>
        <v>117528020160300750</v>
      </c>
      <c r="B2262" s="9" t="str">
        <f>IFERROR(__xludf.DUMMYFUNCTION("""COMPUTED_VALUE"""),"Australia")</f>
        <v>Australia</v>
      </c>
      <c r="C2262" s="9" t="str">
        <f>IFERROR(__xludf.DUMMYFUNCTION("""COMPUTED_VALUE"""),"south australia")</f>
        <v>south australia</v>
      </c>
      <c r="D2262" s="9" t="str">
        <f>IFERROR(__xludf.DUMMYFUNCTION("""COMPUTED_VALUE"""),"Henschke, Hill of Roses, Eden Valley")</f>
        <v>Henschke, Hill of Roses, Eden Valley</v>
      </c>
      <c r="E2262" s="9">
        <f>IFERROR(__xludf.DUMMYFUNCTION("""COMPUTED_VALUE"""),2016.0)</f>
        <v>2016</v>
      </c>
      <c r="F2262" s="9">
        <f>IFERROR(__xludf.DUMMYFUNCTION("""COMPUTED_VALUE"""),750.0)</f>
        <v>750</v>
      </c>
      <c r="G2262" s="9">
        <f>IFERROR(__xludf.DUMMYFUNCTION("""COMPUTED_VALUE"""),3.0)</f>
        <v>3</v>
      </c>
      <c r="H2262" s="10">
        <f>IFERROR(__xludf.DUMMYFUNCTION("""COMPUTED_VALUE"""),1.0)</f>
        <v>1</v>
      </c>
      <c r="I2262" s="11">
        <f>IFERROR(__xludf.DUMMYFUNCTION("""COMPUTED_VALUE"""),940.0)</f>
        <v>940</v>
      </c>
      <c r="J2262" s="9" t="str">
        <f>IFERROR(__xludf.DUMMYFUNCTION("""COMPUTED_VALUE"""),"UK")</f>
        <v>UK</v>
      </c>
      <c r="K2262" s="8"/>
      <c r="L2262" s="12"/>
      <c r="M2262" s="13"/>
      <c r="N2262" s="13" t="str">
        <f>IFERROR(__xludf.DUMMYFUNCTION("IF(ISBLANK(M2262),"""",M2262*GOOGLEFINANCE(""USDGBP""))"),"")</f>
        <v/>
      </c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  <c r="FG2262" s="8"/>
      <c r="FH2262" s="8"/>
      <c r="FI2262" s="8"/>
      <c r="FJ2262" s="8"/>
      <c r="FK2262" s="8"/>
      <c r="FL2262" s="8"/>
      <c r="FM2262" s="8"/>
      <c r="FN2262" s="8"/>
      <c r="FO2262" s="8"/>
      <c r="FP2262" s="8"/>
      <c r="FQ2262" s="8"/>
      <c r="FR2262" s="8"/>
      <c r="FS2262" s="8"/>
      <c r="FT2262" s="8"/>
      <c r="FU2262" s="8"/>
      <c r="FV2262" s="8"/>
      <c r="FW2262" s="8"/>
      <c r="FX2262" s="8"/>
      <c r="FY2262" s="8"/>
      <c r="FZ2262" s="8"/>
      <c r="GA2262" s="8"/>
      <c r="GB2262" s="8"/>
      <c r="GC2262" s="8"/>
      <c r="GD2262" s="8"/>
      <c r="GE2262" s="8"/>
      <c r="GF2262" s="8"/>
      <c r="GG2262" s="8"/>
      <c r="GH2262" s="8"/>
      <c r="GI2262" s="8"/>
      <c r="GJ2262" s="8"/>
      <c r="GK2262" s="8"/>
      <c r="GL2262" s="8"/>
      <c r="GM2262" s="8"/>
      <c r="GN2262" s="8"/>
      <c r="GO2262" s="8"/>
      <c r="GP2262" s="8"/>
      <c r="GQ2262" s="8"/>
      <c r="GR2262" s="8"/>
      <c r="GS2262" s="8"/>
      <c r="GT2262" s="8"/>
      <c r="GU2262" s="8"/>
      <c r="GV2262" s="8"/>
      <c r="GW2262" s="8"/>
      <c r="GX2262" s="8"/>
    </row>
    <row r="2263">
      <c r="A2263" s="8" t="str">
        <f>IFERROR(__xludf.DUMMYFUNCTION("""COMPUTED_VALUE"""),"100290420090600750")</f>
        <v>100290420090600750</v>
      </c>
      <c r="B2263" s="9" t="str">
        <f>IFERROR(__xludf.DUMMYFUNCTION("""COMPUTED_VALUE"""),"Australia")</f>
        <v>Australia</v>
      </c>
      <c r="C2263" s="9" t="str">
        <f>IFERROR(__xludf.DUMMYFUNCTION("""COMPUTED_VALUE"""),"south australia")</f>
        <v>south australia</v>
      </c>
      <c r="D2263" s="9" t="str">
        <f>IFERROR(__xludf.DUMMYFUNCTION("""COMPUTED_VALUE"""),"Henschke, Mount Edelstone Vineyard, Eden Valley")</f>
        <v>Henschke, Mount Edelstone Vineyard, Eden Valley</v>
      </c>
      <c r="E2263" s="9">
        <f>IFERROR(__xludf.DUMMYFUNCTION("""COMPUTED_VALUE"""),2009.0)</f>
        <v>2009</v>
      </c>
      <c r="F2263" s="9">
        <f>IFERROR(__xludf.DUMMYFUNCTION("""COMPUTED_VALUE"""),750.0)</f>
        <v>750</v>
      </c>
      <c r="G2263" s="9">
        <f>IFERROR(__xludf.DUMMYFUNCTION("""COMPUTED_VALUE"""),6.0)</f>
        <v>6</v>
      </c>
      <c r="H2263" s="10">
        <f>IFERROR(__xludf.DUMMYFUNCTION("""COMPUTED_VALUE"""),3.0)</f>
        <v>3</v>
      </c>
      <c r="I2263" s="11">
        <f>IFERROR(__xludf.DUMMYFUNCTION("""COMPUTED_VALUE"""),1109.0)</f>
        <v>1109</v>
      </c>
      <c r="J2263" s="9" t="str">
        <f>IFERROR(__xludf.DUMMYFUNCTION("""COMPUTED_VALUE"""),"UK")</f>
        <v>UK</v>
      </c>
      <c r="K2263" s="8"/>
      <c r="L2263" s="12"/>
      <c r="M2263" s="13"/>
      <c r="N2263" s="13" t="str">
        <f>IFERROR(__xludf.DUMMYFUNCTION("IF(ISBLANK(M2263),"""",M2263*GOOGLEFINANCE(""USDGBP""))"),"")</f>
        <v/>
      </c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  <c r="FG2263" s="8"/>
      <c r="FH2263" s="8"/>
      <c r="FI2263" s="8"/>
      <c r="FJ2263" s="8"/>
      <c r="FK2263" s="8"/>
      <c r="FL2263" s="8"/>
      <c r="FM2263" s="8"/>
      <c r="FN2263" s="8"/>
      <c r="FO2263" s="8"/>
      <c r="FP2263" s="8"/>
      <c r="FQ2263" s="8"/>
      <c r="FR2263" s="8"/>
      <c r="FS2263" s="8"/>
      <c r="FT2263" s="8"/>
      <c r="FU2263" s="8"/>
      <c r="FV2263" s="8"/>
      <c r="FW2263" s="8"/>
      <c r="FX2263" s="8"/>
      <c r="FY2263" s="8"/>
      <c r="FZ2263" s="8"/>
      <c r="GA2263" s="8"/>
      <c r="GB2263" s="8"/>
      <c r="GC2263" s="8"/>
      <c r="GD2263" s="8"/>
      <c r="GE2263" s="8"/>
      <c r="GF2263" s="8"/>
      <c r="GG2263" s="8"/>
      <c r="GH2263" s="8"/>
      <c r="GI2263" s="8"/>
      <c r="GJ2263" s="8"/>
      <c r="GK2263" s="8"/>
      <c r="GL2263" s="8"/>
      <c r="GM2263" s="8"/>
      <c r="GN2263" s="8"/>
      <c r="GO2263" s="8"/>
      <c r="GP2263" s="8"/>
      <c r="GQ2263" s="8"/>
      <c r="GR2263" s="8"/>
      <c r="GS2263" s="8"/>
      <c r="GT2263" s="8"/>
      <c r="GU2263" s="8"/>
      <c r="GV2263" s="8"/>
      <c r="GW2263" s="8"/>
      <c r="GX2263" s="8"/>
    </row>
    <row r="2264">
      <c r="A2264" s="8" t="str">
        <f>IFERROR(__xludf.DUMMYFUNCTION("""COMPUTED_VALUE"""),"100290420130600750")</f>
        <v>100290420130600750</v>
      </c>
      <c r="B2264" s="9" t="str">
        <f>IFERROR(__xludf.DUMMYFUNCTION("""COMPUTED_VALUE"""),"Australia")</f>
        <v>Australia</v>
      </c>
      <c r="C2264" s="9" t="str">
        <f>IFERROR(__xludf.DUMMYFUNCTION("""COMPUTED_VALUE"""),"south australia")</f>
        <v>south australia</v>
      </c>
      <c r="D2264" s="9" t="str">
        <f>IFERROR(__xludf.DUMMYFUNCTION("""COMPUTED_VALUE"""),"Henschke, Mount Edelstone Vineyard, Eden Valley")</f>
        <v>Henschke, Mount Edelstone Vineyard, Eden Valley</v>
      </c>
      <c r="E2264" s="9">
        <f>IFERROR(__xludf.DUMMYFUNCTION("""COMPUTED_VALUE"""),2013.0)</f>
        <v>2013</v>
      </c>
      <c r="F2264" s="9">
        <f>IFERROR(__xludf.DUMMYFUNCTION("""COMPUTED_VALUE"""),750.0)</f>
        <v>750</v>
      </c>
      <c r="G2264" s="9">
        <f>IFERROR(__xludf.DUMMYFUNCTION("""COMPUTED_VALUE"""),6.0)</f>
        <v>6</v>
      </c>
      <c r="H2264" s="10">
        <f>IFERROR(__xludf.DUMMYFUNCTION("""COMPUTED_VALUE"""),1.0)</f>
        <v>1</v>
      </c>
      <c r="I2264" s="11">
        <f>IFERROR(__xludf.DUMMYFUNCTION("""COMPUTED_VALUE"""),782.0)</f>
        <v>782</v>
      </c>
      <c r="J2264" s="9" t="str">
        <f>IFERROR(__xludf.DUMMYFUNCTION("""COMPUTED_VALUE"""),"UK")</f>
        <v>UK</v>
      </c>
      <c r="K2264" s="8"/>
      <c r="L2264" s="12"/>
      <c r="M2264" s="13"/>
      <c r="N2264" s="13" t="str">
        <f>IFERROR(__xludf.DUMMYFUNCTION("IF(ISBLANK(M2264),"""",M2264*GOOGLEFINANCE(""USDGBP""))"),"")</f>
        <v/>
      </c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  <c r="FG2264" s="8"/>
      <c r="FH2264" s="8"/>
      <c r="FI2264" s="8"/>
      <c r="FJ2264" s="8"/>
      <c r="FK2264" s="8"/>
      <c r="FL2264" s="8"/>
      <c r="FM2264" s="8"/>
      <c r="FN2264" s="8"/>
      <c r="FO2264" s="8"/>
      <c r="FP2264" s="8"/>
      <c r="FQ2264" s="8"/>
      <c r="FR2264" s="8"/>
      <c r="FS2264" s="8"/>
      <c r="FT2264" s="8"/>
      <c r="FU2264" s="8"/>
      <c r="FV2264" s="8"/>
      <c r="FW2264" s="8"/>
      <c r="FX2264" s="8"/>
      <c r="FY2264" s="8"/>
      <c r="FZ2264" s="8"/>
      <c r="GA2264" s="8"/>
      <c r="GB2264" s="8"/>
      <c r="GC2264" s="8"/>
      <c r="GD2264" s="8"/>
      <c r="GE2264" s="8"/>
      <c r="GF2264" s="8"/>
      <c r="GG2264" s="8"/>
      <c r="GH2264" s="8"/>
      <c r="GI2264" s="8"/>
      <c r="GJ2264" s="8"/>
      <c r="GK2264" s="8"/>
      <c r="GL2264" s="8"/>
      <c r="GM2264" s="8"/>
      <c r="GN2264" s="8"/>
      <c r="GO2264" s="8"/>
      <c r="GP2264" s="8"/>
      <c r="GQ2264" s="8"/>
      <c r="GR2264" s="8"/>
      <c r="GS2264" s="8"/>
      <c r="GT2264" s="8"/>
      <c r="GU2264" s="8"/>
      <c r="GV2264" s="8"/>
      <c r="GW2264" s="8"/>
      <c r="GX2264" s="8"/>
    </row>
    <row r="2265">
      <c r="A2265" s="8" t="str">
        <f>IFERROR(__xludf.DUMMYFUNCTION("""COMPUTED_VALUE"""),"100097120130600750")</f>
        <v>100097120130600750</v>
      </c>
      <c r="B2265" s="9" t="str">
        <f>IFERROR(__xludf.DUMMYFUNCTION("""COMPUTED_VALUE"""),"Australia")</f>
        <v>Australia</v>
      </c>
      <c r="C2265" s="9" t="str">
        <f>IFERROR(__xludf.DUMMYFUNCTION("""COMPUTED_VALUE"""),"south australia")</f>
        <v>south australia</v>
      </c>
      <c r="D2265" s="9" t="str">
        <f>IFERROR(__xludf.DUMMYFUNCTION("""COMPUTED_VALUE"""),"Jim Barry, The Armagh Shiraz, Clare Valley")</f>
        <v>Jim Barry, The Armagh Shiraz, Clare Valley</v>
      </c>
      <c r="E2265" s="9">
        <f>IFERROR(__xludf.DUMMYFUNCTION("""COMPUTED_VALUE"""),2013.0)</f>
        <v>2013</v>
      </c>
      <c r="F2265" s="9">
        <f>IFERROR(__xludf.DUMMYFUNCTION("""COMPUTED_VALUE"""),750.0)</f>
        <v>750</v>
      </c>
      <c r="G2265" s="9">
        <f>IFERROR(__xludf.DUMMYFUNCTION("""COMPUTED_VALUE"""),6.0)</f>
        <v>6</v>
      </c>
      <c r="H2265" s="10">
        <f>IFERROR(__xludf.DUMMYFUNCTION("""COMPUTED_VALUE"""),11.0)</f>
        <v>11</v>
      </c>
      <c r="I2265" s="11">
        <f>IFERROR(__xludf.DUMMYFUNCTION("""COMPUTED_VALUE"""),918.0)</f>
        <v>918</v>
      </c>
      <c r="J2265" s="9" t="str">
        <f>IFERROR(__xludf.DUMMYFUNCTION("""COMPUTED_VALUE"""),"UK")</f>
        <v>UK</v>
      </c>
      <c r="K2265" s="8"/>
      <c r="L2265" s="12"/>
      <c r="M2265" s="13"/>
      <c r="N2265" s="13" t="str">
        <f>IFERROR(__xludf.DUMMYFUNCTION("IF(ISBLANK(M2265),"""",M2265*GOOGLEFINANCE(""USDGBP""))"),"")</f>
        <v/>
      </c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  <c r="FG2265" s="8"/>
      <c r="FH2265" s="8"/>
      <c r="FI2265" s="8"/>
      <c r="FJ2265" s="8"/>
      <c r="FK2265" s="8"/>
      <c r="FL2265" s="8"/>
      <c r="FM2265" s="8"/>
      <c r="FN2265" s="8"/>
      <c r="FO2265" s="8"/>
      <c r="FP2265" s="8"/>
      <c r="FQ2265" s="8"/>
      <c r="FR2265" s="8"/>
      <c r="FS2265" s="8"/>
      <c r="FT2265" s="8"/>
      <c r="FU2265" s="8"/>
      <c r="FV2265" s="8"/>
      <c r="FW2265" s="8"/>
      <c r="FX2265" s="8"/>
      <c r="FY2265" s="8"/>
      <c r="FZ2265" s="8"/>
      <c r="GA2265" s="8"/>
      <c r="GB2265" s="8"/>
      <c r="GC2265" s="8"/>
      <c r="GD2265" s="8"/>
      <c r="GE2265" s="8"/>
      <c r="GF2265" s="8"/>
      <c r="GG2265" s="8"/>
      <c r="GH2265" s="8"/>
      <c r="GI2265" s="8"/>
      <c r="GJ2265" s="8"/>
      <c r="GK2265" s="8"/>
      <c r="GL2265" s="8"/>
      <c r="GM2265" s="8"/>
      <c r="GN2265" s="8"/>
      <c r="GO2265" s="8"/>
      <c r="GP2265" s="8"/>
      <c r="GQ2265" s="8"/>
      <c r="GR2265" s="8"/>
      <c r="GS2265" s="8"/>
      <c r="GT2265" s="8"/>
      <c r="GU2265" s="8"/>
      <c r="GV2265" s="8"/>
      <c r="GW2265" s="8"/>
      <c r="GX2265" s="8"/>
    </row>
    <row r="2266">
      <c r="A2266" s="8" t="str">
        <f>IFERROR(__xludf.DUMMYFUNCTION("""COMPUTED_VALUE"""),"100097120160600750")</f>
        <v>100097120160600750</v>
      </c>
      <c r="B2266" s="9" t="str">
        <f>IFERROR(__xludf.DUMMYFUNCTION("""COMPUTED_VALUE"""),"Australia")</f>
        <v>Australia</v>
      </c>
      <c r="C2266" s="9" t="str">
        <f>IFERROR(__xludf.DUMMYFUNCTION("""COMPUTED_VALUE"""),"south australia")</f>
        <v>south australia</v>
      </c>
      <c r="D2266" s="9" t="str">
        <f>IFERROR(__xludf.DUMMYFUNCTION("""COMPUTED_VALUE"""),"Jim Barry, The Armagh Shiraz, Clare Valley")</f>
        <v>Jim Barry, The Armagh Shiraz, Clare Valley</v>
      </c>
      <c r="E2266" s="9">
        <f>IFERROR(__xludf.DUMMYFUNCTION("""COMPUTED_VALUE"""),2016.0)</f>
        <v>2016</v>
      </c>
      <c r="F2266" s="9">
        <f>IFERROR(__xludf.DUMMYFUNCTION("""COMPUTED_VALUE"""),750.0)</f>
        <v>750</v>
      </c>
      <c r="G2266" s="9">
        <f>IFERROR(__xludf.DUMMYFUNCTION("""COMPUTED_VALUE"""),6.0)</f>
        <v>6</v>
      </c>
      <c r="H2266" s="10">
        <f>IFERROR(__xludf.DUMMYFUNCTION("""COMPUTED_VALUE"""),1.0)</f>
        <v>1</v>
      </c>
      <c r="I2266" s="11">
        <f>IFERROR(__xludf.DUMMYFUNCTION("""COMPUTED_VALUE"""),823.0)</f>
        <v>823</v>
      </c>
      <c r="J2266" s="9" t="str">
        <f>IFERROR(__xludf.DUMMYFUNCTION("""COMPUTED_VALUE"""),"UK")</f>
        <v>UK</v>
      </c>
      <c r="K2266" s="8"/>
      <c r="L2266" s="12"/>
      <c r="M2266" s="13"/>
      <c r="N2266" s="13" t="str">
        <f>IFERROR(__xludf.DUMMYFUNCTION("IF(ISBLANK(M2266),"""",M2266*GOOGLEFINANCE(""USDGBP""))"),"")</f>
        <v/>
      </c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  <c r="FG2266" s="8"/>
      <c r="FH2266" s="8"/>
      <c r="FI2266" s="8"/>
      <c r="FJ2266" s="8"/>
      <c r="FK2266" s="8"/>
      <c r="FL2266" s="8"/>
      <c r="FM2266" s="8"/>
      <c r="FN2266" s="8"/>
      <c r="FO2266" s="8"/>
      <c r="FP2266" s="8"/>
      <c r="FQ2266" s="8"/>
      <c r="FR2266" s="8"/>
      <c r="FS2266" s="8"/>
      <c r="FT2266" s="8"/>
      <c r="FU2266" s="8"/>
      <c r="FV2266" s="8"/>
      <c r="FW2266" s="8"/>
      <c r="FX2266" s="8"/>
      <c r="FY2266" s="8"/>
      <c r="FZ2266" s="8"/>
      <c r="GA2266" s="8"/>
      <c r="GB2266" s="8"/>
      <c r="GC2266" s="8"/>
      <c r="GD2266" s="8"/>
      <c r="GE2266" s="8"/>
      <c r="GF2266" s="8"/>
      <c r="GG2266" s="8"/>
      <c r="GH2266" s="8"/>
      <c r="GI2266" s="8"/>
      <c r="GJ2266" s="8"/>
      <c r="GK2266" s="8"/>
      <c r="GL2266" s="8"/>
      <c r="GM2266" s="8"/>
      <c r="GN2266" s="8"/>
      <c r="GO2266" s="8"/>
      <c r="GP2266" s="8"/>
      <c r="GQ2266" s="8"/>
      <c r="GR2266" s="8"/>
      <c r="GS2266" s="8"/>
      <c r="GT2266" s="8"/>
      <c r="GU2266" s="8"/>
      <c r="GV2266" s="8"/>
      <c r="GW2266" s="8"/>
      <c r="GX2266" s="8"/>
    </row>
    <row r="2267">
      <c r="A2267" s="8" t="str">
        <f>IFERROR(__xludf.DUMMYFUNCTION("""COMPUTED_VALUE"""),"100321720071200750")</f>
        <v>100321720071200750</v>
      </c>
      <c r="B2267" s="9" t="str">
        <f>IFERROR(__xludf.DUMMYFUNCTION("""COMPUTED_VALUE"""),"Australia")</f>
        <v>Australia</v>
      </c>
      <c r="C2267" s="9" t="str">
        <f>IFERROR(__xludf.DUMMYFUNCTION("""COMPUTED_VALUE"""),"south australia")</f>
        <v>south australia</v>
      </c>
      <c r="D2267" s="9" t="str">
        <f>IFERROR(__xludf.DUMMYFUNCTION("""COMPUTED_VALUE"""),"Kaesler, The Bogan, Barossa Valley")</f>
        <v>Kaesler, The Bogan, Barossa Valley</v>
      </c>
      <c r="E2267" s="9">
        <f>IFERROR(__xludf.DUMMYFUNCTION("""COMPUTED_VALUE"""),2007.0)</f>
        <v>2007</v>
      </c>
      <c r="F2267" s="9">
        <f>IFERROR(__xludf.DUMMYFUNCTION("""COMPUTED_VALUE"""),750.0)</f>
        <v>750</v>
      </c>
      <c r="G2267" s="9">
        <f>IFERROR(__xludf.DUMMYFUNCTION("""COMPUTED_VALUE"""),12.0)</f>
        <v>12</v>
      </c>
      <c r="H2267" s="10">
        <f>IFERROR(__xludf.DUMMYFUNCTION("""COMPUTED_VALUE"""),1.0)</f>
        <v>1</v>
      </c>
      <c r="I2267" s="11">
        <f>IFERROR(__xludf.DUMMYFUNCTION("""COMPUTED_VALUE"""),436.0)</f>
        <v>436</v>
      </c>
      <c r="J2267" s="9" t="str">
        <f>IFERROR(__xludf.DUMMYFUNCTION("""COMPUTED_VALUE"""),"UK")</f>
        <v>UK</v>
      </c>
      <c r="K2267" s="8"/>
      <c r="L2267" s="12"/>
      <c r="M2267" s="13"/>
      <c r="N2267" s="13" t="str">
        <f>IFERROR(__xludf.DUMMYFUNCTION("IF(ISBLANK(M2267),"""",M2267*GOOGLEFINANCE(""USDGBP""))"),"")</f>
        <v/>
      </c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  <c r="FG2267" s="8"/>
      <c r="FH2267" s="8"/>
      <c r="FI2267" s="8"/>
      <c r="FJ2267" s="8"/>
      <c r="FK2267" s="8"/>
      <c r="FL2267" s="8"/>
      <c r="FM2267" s="8"/>
      <c r="FN2267" s="8"/>
      <c r="FO2267" s="8"/>
      <c r="FP2267" s="8"/>
      <c r="FQ2267" s="8"/>
      <c r="FR2267" s="8"/>
      <c r="FS2267" s="8"/>
      <c r="FT2267" s="8"/>
      <c r="FU2267" s="8"/>
      <c r="FV2267" s="8"/>
      <c r="FW2267" s="8"/>
      <c r="FX2267" s="8"/>
      <c r="FY2267" s="8"/>
      <c r="FZ2267" s="8"/>
      <c r="GA2267" s="8"/>
      <c r="GB2267" s="8"/>
      <c r="GC2267" s="8"/>
      <c r="GD2267" s="8"/>
      <c r="GE2267" s="8"/>
      <c r="GF2267" s="8"/>
      <c r="GG2267" s="8"/>
      <c r="GH2267" s="8"/>
      <c r="GI2267" s="8"/>
      <c r="GJ2267" s="8"/>
      <c r="GK2267" s="8"/>
      <c r="GL2267" s="8"/>
      <c r="GM2267" s="8"/>
      <c r="GN2267" s="8"/>
      <c r="GO2267" s="8"/>
      <c r="GP2267" s="8"/>
      <c r="GQ2267" s="8"/>
      <c r="GR2267" s="8"/>
      <c r="GS2267" s="8"/>
      <c r="GT2267" s="8"/>
      <c r="GU2267" s="8"/>
      <c r="GV2267" s="8"/>
      <c r="GW2267" s="8"/>
      <c r="GX2267" s="8"/>
    </row>
    <row r="2268">
      <c r="A2268" s="8" t="str">
        <f>IFERROR(__xludf.DUMMYFUNCTION("""COMPUTED_VALUE"""),"112513920100600750")</f>
        <v>112513920100600750</v>
      </c>
      <c r="B2268" s="9" t="str">
        <f>IFERROR(__xludf.DUMMYFUNCTION("""COMPUTED_VALUE"""),"Australia")</f>
        <v>Australia</v>
      </c>
      <c r="C2268" s="9" t="str">
        <f>IFERROR(__xludf.DUMMYFUNCTION("""COMPUTED_VALUE"""),"south australia")</f>
        <v>south australia</v>
      </c>
      <c r="D2268" s="9" t="str">
        <f>IFERROR(__xludf.DUMMYFUNCTION("""COMPUTED_VALUE"""),"Kilikanoon, Attunga 1865 Shiraz, Clare Valley")</f>
        <v>Kilikanoon, Attunga 1865 Shiraz, Clare Valley</v>
      </c>
      <c r="E2268" s="9">
        <f>IFERROR(__xludf.DUMMYFUNCTION("""COMPUTED_VALUE"""),2010.0)</f>
        <v>2010</v>
      </c>
      <c r="F2268" s="9">
        <f>IFERROR(__xludf.DUMMYFUNCTION("""COMPUTED_VALUE"""),750.0)</f>
        <v>750</v>
      </c>
      <c r="G2268" s="9">
        <f>IFERROR(__xludf.DUMMYFUNCTION("""COMPUTED_VALUE"""),6.0)</f>
        <v>6</v>
      </c>
      <c r="H2268" s="10">
        <f>IFERROR(__xludf.DUMMYFUNCTION("""COMPUTED_VALUE"""),6.0)</f>
        <v>6</v>
      </c>
      <c r="I2268" s="11">
        <f>IFERROR(__xludf.DUMMYFUNCTION("""COMPUTED_VALUE"""),837.0)</f>
        <v>837</v>
      </c>
      <c r="J2268" s="9" t="str">
        <f>IFERROR(__xludf.DUMMYFUNCTION("""COMPUTED_VALUE"""),"UK")</f>
        <v>UK</v>
      </c>
      <c r="K2268" s="8"/>
      <c r="L2268" s="12"/>
      <c r="M2268" s="13"/>
      <c r="N2268" s="13" t="str">
        <f>IFERROR(__xludf.DUMMYFUNCTION("IF(ISBLANK(M2268),"""",M2268*GOOGLEFINANCE(""USDGBP""))"),"")</f>
        <v/>
      </c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  <c r="FG2268" s="8"/>
      <c r="FH2268" s="8"/>
      <c r="FI2268" s="8"/>
      <c r="FJ2268" s="8"/>
      <c r="FK2268" s="8"/>
      <c r="FL2268" s="8"/>
      <c r="FM2268" s="8"/>
      <c r="FN2268" s="8"/>
      <c r="FO2268" s="8"/>
      <c r="FP2268" s="8"/>
      <c r="FQ2268" s="8"/>
      <c r="FR2268" s="8"/>
      <c r="FS2268" s="8"/>
      <c r="FT2268" s="8"/>
      <c r="FU2268" s="8"/>
      <c r="FV2268" s="8"/>
      <c r="FW2268" s="8"/>
      <c r="FX2268" s="8"/>
      <c r="FY2268" s="8"/>
      <c r="FZ2268" s="8"/>
      <c r="GA2268" s="8"/>
      <c r="GB2268" s="8"/>
      <c r="GC2268" s="8"/>
      <c r="GD2268" s="8"/>
      <c r="GE2268" s="8"/>
      <c r="GF2268" s="8"/>
      <c r="GG2268" s="8"/>
      <c r="GH2268" s="8"/>
      <c r="GI2268" s="8"/>
      <c r="GJ2268" s="8"/>
      <c r="GK2268" s="8"/>
      <c r="GL2268" s="8"/>
      <c r="GM2268" s="8"/>
      <c r="GN2268" s="8"/>
      <c r="GO2268" s="8"/>
      <c r="GP2268" s="8"/>
      <c r="GQ2268" s="8"/>
      <c r="GR2268" s="8"/>
      <c r="GS2268" s="8"/>
      <c r="GT2268" s="8"/>
      <c r="GU2268" s="8"/>
      <c r="GV2268" s="8"/>
      <c r="GW2268" s="8"/>
      <c r="GX2268" s="8"/>
    </row>
    <row r="2269">
      <c r="A2269" s="8" t="str">
        <f>IFERROR(__xludf.DUMMYFUNCTION("""COMPUTED_VALUE"""),"146244320031200750")</f>
        <v>146244320031200750</v>
      </c>
      <c r="B2269" s="9" t="str">
        <f>IFERROR(__xludf.DUMMYFUNCTION("""COMPUTED_VALUE"""),"Australia")</f>
        <v>Australia</v>
      </c>
      <c r="C2269" s="9" t="str">
        <f>IFERROR(__xludf.DUMMYFUNCTION("""COMPUTED_VALUE"""),"south australia")</f>
        <v>south australia</v>
      </c>
      <c r="D2269" s="9" t="str">
        <f>IFERROR(__xludf.DUMMYFUNCTION("""COMPUTED_VALUE"""),"Killibinbin Blend, Langhorne Creek")</f>
        <v>Killibinbin Blend, Langhorne Creek</v>
      </c>
      <c r="E2269" s="9">
        <f>IFERROR(__xludf.DUMMYFUNCTION("""COMPUTED_VALUE"""),2003.0)</f>
        <v>2003</v>
      </c>
      <c r="F2269" s="9">
        <f>IFERROR(__xludf.DUMMYFUNCTION("""COMPUTED_VALUE"""),750.0)</f>
        <v>750</v>
      </c>
      <c r="G2269" s="9">
        <f>IFERROR(__xludf.DUMMYFUNCTION("""COMPUTED_VALUE"""),12.0)</f>
        <v>12</v>
      </c>
      <c r="H2269" s="10">
        <f>IFERROR(__xludf.DUMMYFUNCTION("""COMPUTED_VALUE"""),2.0)</f>
        <v>2</v>
      </c>
      <c r="I2269" s="11">
        <f>IFERROR(__xludf.DUMMYFUNCTION("""COMPUTED_VALUE"""),747.0)</f>
        <v>747</v>
      </c>
      <c r="J2269" s="9" t="str">
        <f>IFERROR(__xludf.DUMMYFUNCTION("""COMPUTED_VALUE"""),"UK")</f>
        <v>UK</v>
      </c>
      <c r="K2269" s="8"/>
      <c r="L2269" s="12"/>
      <c r="M2269" s="13"/>
      <c r="N2269" s="13" t="str">
        <f>IFERROR(__xludf.DUMMYFUNCTION("IF(ISBLANK(M2269),"""",M2269*GOOGLEFINANCE(""USDGBP""))"),"")</f>
        <v/>
      </c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  <c r="FG2269" s="8"/>
      <c r="FH2269" s="8"/>
      <c r="FI2269" s="8"/>
      <c r="FJ2269" s="8"/>
      <c r="FK2269" s="8"/>
      <c r="FL2269" s="8"/>
      <c r="FM2269" s="8"/>
      <c r="FN2269" s="8"/>
      <c r="FO2269" s="8"/>
      <c r="FP2269" s="8"/>
      <c r="FQ2269" s="8"/>
      <c r="FR2269" s="8"/>
      <c r="FS2269" s="8"/>
      <c r="FT2269" s="8"/>
      <c r="FU2269" s="8"/>
      <c r="FV2269" s="8"/>
      <c r="FW2269" s="8"/>
      <c r="FX2269" s="8"/>
      <c r="FY2269" s="8"/>
      <c r="FZ2269" s="8"/>
      <c r="GA2269" s="8"/>
      <c r="GB2269" s="8"/>
      <c r="GC2269" s="8"/>
      <c r="GD2269" s="8"/>
      <c r="GE2269" s="8"/>
      <c r="GF2269" s="8"/>
      <c r="GG2269" s="8"/>
      <c r="GH2269" s="8"/>
      <c r="GI2269" s="8"/>
      <c r="GJ2269" s="8"/>
      <c r="GK2269" s="8"/>
      <c r="GL2269" s="8"/>
      <c r="GM2269" s="8"/>
      <c r="GN2269" s="8"/>
      <c r="GO2269" s="8"/>
      <c r="GP2269" s="8"/>
      <c r="GQ2269" s="8"/>
      <c r="GR2269" s="8"/>
      <c r="GS2269" s="8"/>
      <c r="GT2269" s="8"/>
      <c r="GU2269" s="8"/>
      <c r="GV2269" s="8"/>
      <c r="GW2269" s="8"/>
      <c r="GX2269" s="8"/>
    </row>
    <row r="2270">
      <c r="A2270" s="8" t="str">
        <f>IFERROR(__xludf.DUMMYFUNCTION("""COMPUTED_VALUE"""),"138584520061200750")</f>
        <v>138584520061200750</v>
      </c>
      <c r="B2270" s="9" t="str">
        <f>IFERROR(__xludf.DUMMYFUNCTION("""COMPUTED_VALUE"""),"Australia")</f>
        <v>Australia</v>
      </c>
      <c r="C2270" s="9" t="str">
        <f>IFERROR(__xludf.DUMMYFUNCTION("""COMPUTED_VALUE"""),"south australia")</f>
        <v>south australia</v>
      </c>
      <c r="D2270" s="9" t="str">
        <f>IFERROR(__xludf.DUMMYFUNCTION("""COMPUTED_VALUE"""),"Nashwauk, Wrecked Shiraz, McLaren Vale")</f>
        <v>Nashwauk, Wrecked Shiraz, McLaren Vale</v>
      </c>
      <c r="E2270" s="9">
        <f>IFERROR(__xludf.DUMMYFUNCTION("""COMPUTED_VALUE"""),2006.0)</f>
        <v>2006</v>
      </c>
      <c r="F2270" s="9">
        <f>IFERROR(__xludf.DUMMYFUNCTION("""COMPUTED_VALUE"""),750.0)</f>
        <v>750</v>
      </c>
      <c r="G2270" s="9">
        <f>IFERROR(__xludf.DUMMYFUNCTION("""COMPUTED_VALUE"""),12.0)</f>
        <v>12</v>
      </c>
      <c r="H2270" s="10">
        <f>IFERROR(__xludf.DUMMYFUNCTION("""COMPUTED_VALUE"""),1.0)</f>
        <v>1</v>
      </c>
      <c r="I2270" s="11">
        <f>IFERROR(__xludf.DUMMYFUNCTION("""COMPUTED_VALUE"""),463.0)</f>
        <v>463</v>
      </c>
      <c r="J2270" s="9" t="str">
        <f>IFERROR(__xludf.DUMMYFUNCTION("""COMPUTED_VALUE"""),"UK")</f>
        <v>UK</v>
      </c>
      <c r="K2270" s="8"/>
      <c r="L2270" s="12"/>
      <c r="M2270" s="13"/>
      <c r="N2270" s="13" t="str">
        <f>IFERROR(__xludf.DUMMYFUNCTION("IF(ISBLANK(M2270),"""",M2270*GOOGLEFINANCE(""USDGBP""))"),"")</f>
        <v/>
      </c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  <c r="FG2270" s="8"/>
      <c r="FH2270" s="8"/>
      <c r="FI2270" s="8"/>
      <c r="FJ2270" s="8"/>
      <c r="FK2270" s="8"/>
      <c r="FL2270" s="8"/>
      <c r="FM2270" s="8"/>
      <c r="FN2270" s="8"/>
      <c r="FO2270" s="8"/>
      <c r="FP2270" s="8"/>
      <c r="FQ2270" s="8"/>
      <c r="FR2270" s="8"/>
      <c r="FS2270" s="8"/>
      <c r="FT2270" s="8"/>
      <c r="FU2270" s="8"/>
      <c r="FV2270" s="8"/>
      <c r="FW2270" s="8"/>
      <c r="FX2270" s="8"/>
      <c r="FY2270" s="8"/>
      <c r="FZ2270" s="8"/>
      <c r="GA2270" s="8"/>
      <c r="GB2270" s="8"/>
      <c r="GC2270" s="8"/>
      <c r="GD2270" s="8"/>
      <c r="GE2270" s="8"/>
      <c r="GF2270" s="8"/>
      <c r="GG2270" s="8"/>
      <c r="GH2270" s="8"/>
      <c r="GI2270" s="8"/>
      <c r="GJ2270" s="8"/>
      <c r="GK2270" s="8"/>
      <c r="GL2270" s="8"/>
      <c r="GM2270" s="8"/>
      <c r="GN2270" s="8"/>
      <c r="GO2270" s="8"/>
      <c r="GP2270" s="8"/>
      <c r="GQ2270" s="8"/>
      <c r="GR2270" s="8"/>
      <c r="GS2270" s="8"/>
      <c r="GT2270" s="8"/>
      <c r="GU2270" s="8"/>
      <c r="GV2270" s="8"/>
      <c r="GW2270" s="8"/>
      <c r="GX2270" s="8"/>
    </row>
    <row r="2271">
      <c r="A2271" s="8" t="str">
        <f>IFERROR(__xludf.DUMMYFUNCTION("""COMPUTED_VALUE"""),"100415519981200750")</f>
        <v>100415519981200750</v>
      </c>
      <c r="B2271" s="9" t="str">
        <f>IFERROR(__xludf.DUMMYFUNCTION("""COMPUTED_VALUE"""),"Australia")</f>
        <v>Australia</v>
      </c>
      <c r="C2271" s="9" t="str">
        <f>IFERROR(__xludf.DUMMYFUNCTION("""COMPUTED_VALUE"""),"south australia")</f>
        <v>south australia</v>
      </c>
      <c r="D2271" s="9" t="str">
        <f>IFERROR(__xludf.DUMMYFUNCTION("""COMPUTED_VALUE"""),"Parker Coonawarra Estate, Terra Rossa Cabernet Sauvignon, Coonawarra")</f>
        <v>Parker Coonawarra Estate, Terra Rossa Cabernet Sauvignon, Coonawarra</v>
      </c>
      <c r="E2271" s="9">
        <f>IFERROR(__xludf.DUMMYFUNCTION("""COMPUTED_VALUE"""),1998.0)</f>
        <v>1998</v>
      </c>
      <c r="F2271" s="9">
        <f>IFERROR(__xludf.DUMMYFUNCTION("""COMPUTED_VALUE"""),750.0)</f>
        <v>750</v>
      </c>
      <c r="G2271" s="9">
        <f>IFERROR(__xludf.DUMMYFUNCTION("""COMPUTED_VALUE"""),12.0)</f>
        <v>12</v>
      </c>
      <c r="H2271" s="10">
        <f>IFERROR(__xludf.DUMMYFUNCTION("""COMPUTED_VALUE"""),3.0)</f>
        <v>3</v>
      </c>
      <c r="I2271" s="11">
        <f>IFERROR(__xludf.DUMMYFUNCTION("""COMPUTED_VALUE"""),571.0)</f>
        <v>571</v>
      </c>
      <c r="J2271" s="9" t="str">
        <f>IFERROR(__xludf.DUMMYFUNCTION("""COMPUTED_VALUE"""),"UK")</f>
        <v>UK</v>
      </c>
      <c r="K2271" s="8"/>
      <c r="L2271" s="12"/>
      <c r="M2271" s="13"/>
      <c r="N2271" s="13" t="str">
        <f>IFERROR(__xludf.DUMMYFUNCTION("IF(ISBLANK(M2271),"""",M2271*GOOGLEFINANCE(""USDGBP""))"),"")</f>
        <v/>
      </c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  <c r="FG2271" s="8"/>
      <c r="FH2271" s="8"/>
      <c r="FI2271" s="8"/>
      <c r="FJ2271" s="8"/>
      <c r="FK2271" s="8"/>
      <c r="FL2271" s="8"/>
      <c r="FM2271" s="8"/>
      <c r="FN2271" s="8"/>
      <c r="FO2271" s="8"/>
      <c r="FP2271" s="8"/>
      <c r="FQ2271" s="8"/>
      <c r="FR2271" s="8"/>
      <c r="FS2271" s="8"/>
      <c r="FT2271" s="8"/>
      <c r="FU2271" s="8"/>
      <c r="FV2271" s="8"/>
      <c r="FW2271" s="8"/>
      <c r="FX2271" s="8"/>
      <c r="FY2271" s="8"/>
      <c r="FZ2271" s="8"/>
      <c r="GA2271" s="8"/>
      <c r="GB2271" s="8"/>
      <c r="GC2271" s="8"/>
      <c r="GD2271" s="8"/>
      <c r="GE2271" s="8"/>
      <c r="GF2271" s="8"/>
      <c r="GG2271" s="8"/>
      <c r="GH2271" s="8"/>
      <c r="GI2271" s="8"/>
      <c r="GJ2271" s="8"/>
      <c r="GK2271" s="8"/>
      <c r="GL2271" s="8"/>
      <c r="GM2271" s="8"/>
      <c r="GN2271" s="8"/>
      <c r="GO2271" s="8"/>
      <c r="GP2271" s="8"/>
      <c r="GQ2271" s="8"/>
      <c r="GR2271" s="8"/>
      <c r="GS2271" s="8"/>
      <c r="GT2271" s="8"/>
      <c r="GU2271" s="8"/>
      <c r="GV2271" s="8"/>
      <c r="GW2271" s="8"/>
      <c r="GX2271" s="8"/>
    </row>
    <row r="2272">
      <c r="A2272" s="8" t="str">
        <f>IFERROR(__xludf.DUMMYFUNCTION("""COMPUTED_VALUE"""),"117912920180600750")</f>
        <v>117912920180600750</v>
      </c>
      <c r="B2272" s="9" t="str">
        <f>IFERROR(__xludf.DUMMYFUNCTION("""COMPUTED_VALUE"""),"Australia")</f>
        <v>Australia</v>
      </c>
      <c r="C2272" s="9" t="str">
        <f>IFERROR(__xludf.DUMMYFUNCTION("""COMPUTED_VALUE"""),"south australia")</f>
        <v>south australia</v>
      </c>
      <c r="D2272" s="9" t="str">
        <f>IFERROR(__xludf.DUMMYFUNCTION("""COMPUTED_VALUE"""),"Penfolds, Bin 169 Cabernet Sauvignon, Coonawarra")</f>
        <v>Penfolds, Bin 169 Cabernet Sauvignon, Coonawarra</v>
      </c>
      <c r="E2272" s="9">
        <f>IFERROR(__xludf.DUMMYFUNCTION("""COMPUTED_VALUE"""),2018.0)</f>
        <v>2018</v>
      </c>
      <c r="F2272" s="9">
        <f>IFERROR(__xludf.DUMMYFUNCTION("""COMPUTED_VALUE"""),750.0)</f>
        <v>750</v>
      </c>
      <c r="G2272" s="9">
        <f>IFERROR(__xludf.DUMMYFUNCTION("""COMPUTED_VALUE"""),6.0)</f>
        <v>6</v>
      </c>
      <c r="H2272" s="10">
        <f>IFERROR(__xludf.DUMMYFUNCTION("""COMPUTED_VALUE"""),9.0)</f>
        <v>9</v>
      </c>
      <c r="I2272" s="11">
        <f>IFERROR(__xludf.DUMMYFUNCTION("""COMPUTED_VALUE"""),750.0)</f>
        <v>750</v>
      </c>
      <c r="J2272" s="9" t="str">
        <f>IFERROR(__xludf.DUMMYFUNCTION("""COMPUTED_VALUE"""),"UK")</f>
        <v>UK</v>
      </c>
      <c r="K2272" s="8"/>
      <c r="L2272" s="12"/>
      <c r="M2272" s="13"/>
      <c r="N2272" s="13" t="str">
        <f>IFERROR(__xludf.DUMMYFUNCTION("IF(ISBLANK(M2272),"""",M2272*GOOGLEFINANCE(""USDGBP""))"),"")</f>
        <v/>
      </c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  <c r="FG2272" s="8"/>
      <c r="FH2272" s="8"/>
      <c r="FI2272" s="8"/>
      <c r="FJ2272" s="8"/>
      <c r="FK2272" s="8"/>
      <c r="FL2272" s="8"/>
      <c r="FM2272" s="8"/>
      <c r="FN2272" s="8"/>
      <c r="FO2272" s="8"/>
      <c r="FP2272" s="8"/>
      <c r="FQ2272" s="8"/>
      <c r="FR2272" s="8"/>
      <c r="FS2272" s="8"/>
      <c r="FT2272" s="8"/>
      <c r="FU2272" s="8"/>
      <c r="FV2272" s="8"/>
      <c r="FW2272" s="8"/>
      <c r="FX2272" s="8"/>
      <c r="FY2272" s="8"/>
      <c r="FZ2272" s="8"/>
      <c r="GA2272" s="8"/>
      <c r="GB2272" s="8"/>
      <c r="GC2272" s="8"/>
      <c r="GD2272" s="8"/>
      <c r="GE2272" s="8"/>
      <c r="GF2272" s="8"/>
      <c r="GG2272" s="8"/>
      <c r="GH2272" s="8"/>
      <c r="GI2272" s="8"/>
      <c r="GJ2272" s="8"/>
      <c r="GK2272" s="8"/>
      <c r="GL2272" s="8"/>
      <c r="GM2272" s="8"/>
      <c r="GN2272" s="8"/>
      <c r="GO2272" s="8"/>
      <c r="GP2272" s="8"/>
      <c r="GQ2272" s="8"/>
      <c r="GR2272" s="8"/>
      <c r="GS2272" s="8"/>
      <c r="GT2272" s="8"/>
      <c r="GU2272" s="8"/>
      <c r="GV2272" s="8"/>
      <c r="GW2272" s="8"/>
      <c r="GX2272" s="8"/>
    </row>
    <row r="2273">
      <c r="A2273" s="8" t="str">
        <f>IFERROR(__xludf.DUMMYFUNCTION("""COMPUTED_VALUE"""),"100421420120600750")</f>
        <v>100421420120600750</v>
      </c>
      <c r="B2273" s="9" t="str">
        <f>IFERROR(__xludf.DUMMYFUNCTION("""COMPUTED_VALUE"""),"Australia")</f>
        <v>Australia</v>
      </c>
      <c r="C2273" s="9" t="str">
        <f>IFERROR(__xludf.DUMMYFUNCTION("""COMPUTED_VALUE"""),"south australia")</f>
        <v>south australia</v>
      </c>
      <c r="D2273" s="9" t="str">
        <f>IFERROR(__xludf.DUMMYFUNCTION("""COMPUTED_VALUE"""),"Penfolds, Bin 707 Cabernet Sauvignon, South Australia")</f>
        <v>Penfolds, Bin 707 Cabernet Sauvignon, South Australia</v>
      </c>
      <c r="E2273" s="9">
        <f>IFERROR(__xludf.DUMMYFUNCTION("""COMPUTED_VALUE"""),2012.0)</f>
        <v>2012</v>
      </c>
      <c r="F2273" s="9">
        <f>IFERROR(__xludf.DUMMYFUNCTION("""COMPUTED_VALUE"""),750.0)</f>
        <v>750</v>
      </c>
      <c r="G2273" s="9">
        <f>IFERROR(__xludf.DUMMYFUNCTION("""COMPUTED_VALUE"""),6.0)</f>
        <v>6</v>
      </c>
      <c r="H2273" s="10">
        <f>IFERROR(__xludf.DUMMYFUNCTION("""COMPUTED_VALUE"""),1.0)</f>
        <v>1</v>
      </c>
      <c r="I2273" s="11">
        <f>IFERROR(__xludf.DUMMYFUNCTION("""COMPUTED_VALUE"""),1756.0)</f>
        <v>1756</v>
      </c>
      <c r="J2273" s="9" t="str">
        <f>IFERROR(__xludf.DUMMYFUNCTION("""COMPUTED_VALUE"""),"UK")</f>
        <v>UK</v>
      </c>
      <c r="K2273" s="8"/>
      <c r="L2273" s="12"/>
      <c r="M2273" s="13"/>
      <c r="N2273" s="13" t="str">
        <f>IFERROR(__xludf.DUMMYFUNCTION("IF(ISBLANK(M2273),"""",M2273*GOOGLEFINANCE(""USDGBP""))"),"")</f>
        <v/>
      </c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  <c r="FG2273" s="8"/>
      <c r="FH2273" s="8"/>
      <c r="FI2273" s="8"/>
      <c r="FJ2273" s="8"/>
      <c r="FK2273" s="8"/>
      <c r="FL2273" s="8"/>
      <c r="FM2273" s="8"/>
      <c r="FN2273" s="8"/>
      <c r="FO2273" s="8"/>
      <c r="FP2273" s="8"/>
      <c r="FQ2273" s="8"/>
      <c r="FR2273" s="8"/>
      <c r="FS2273" s="8"/>
      <c r="FT2273" s="8"/>
      <c r="FU2273" s="8"/>
      <c r="FV2273" s="8"/>
      <c r="FW2273" s="8"/>
      <c r="FX2273" s="8"/>
      <c r="FY2273" s="8"/>
      <c r="FZ2273" s="8"/>
      <c r="GA2273" s="8"/>
      <c r="GB2273" s="8"/>
      <c r="GC2273" s="8"/>
      <c r="GD2273" s="8"/>
      <c r="GE2273" s="8"/>
      <c r="GF2273" s="8"/>
      <c r="GG2273" s="8"/>
      <c r="GH2273" s="8"/>
      <c r="GI2273" s="8"/>
      <c r="GJ2273" s="8"/>
      <c r="GK2273" s="8"/>
      <c r="GL2273" s="8"/>
      <c r="GM2273" s="8"/>
      <c r="GN2273" s="8"/>
      <c r="GO2273" s="8"/>
      <c r="GP2273" s="8"/>
      <c r="GQ2273" s="8"/>
      <c r="GR2273" s="8"/>
      <c r="GS2273" s="8"/>
      <c r="GT2273" s="8"/>
      <c r="GU2273" s="8"/>
      <c r="GV2273" s="8"/>
      <c r="GW2273" s="8"/>
      <c r="GX2273" s="8"/>
    </row>
    <row r="2274">
      <c r="A2274" s="8" t="str">
        <f>IFERROR(__xludf.DUMMYFUNCTION("""COMPUTED_VALUE"""),"100421420180600750")</f>
        <v>100421420180600750</v>
      </c>
      <c r="B2274" s="9" t="str">
        <f>IFERROR(__xludf.DUMMYFUNCTION("""COMPUTED_VALUE"""),"Australia")</f>
        <v>Australia</v>
      </c>
      <c r="C2274" s="9" t="str">
        <f>IFERROR(__xludf.DUMMYFUNCTION("""COMPUTED_VALUE"""),"south australia")</f>
        <v>south australia</v>
      </c>
      <c r="D2274" s="9" t="str">
        <f>IFERROR(__xludf.DUMMYFUNCTION("""COMPUTED_VALUE"""),"Penfolds, Bin 707 Cabernet Sauvignon, South Australia")</f>
        <v>Penfolds, Bin 707 Cabernet Sauvignon, South Australia</v>
      </c>
      <c r="E2274" s="9">
        <f>IFERROR(__xludf.DUMMYFUNCTION("""COMPUTED_VALUE"""),2018.0)</f>
        <v>2018</v>
      </c>
      <c r="F2274" s="9">
        <f>IFERROR(__xludf.DUMMYFUNCTION("""COMPUTED_VALUE"""),750.0)</f>
        <v>750</v>
      </c>
      <c r="G2274" s="9">
        <f>IFERROR(__xludf.DUMMYFUNCTION("""COMPUTED_VALUE"""),6.0)</f>
        <v>6</v>
      </c>
      <c r="H2274" s="10">
        <f>IFERROR(__xludf.DUMMYFUNCTION("""COMPUTED_VALUE"""),2.0)</f>
        <v>2</v>
      </c>
      <c r="I2274" s="11">
        <f>IFERROR(__xludf.DUMMYFUNCTION("""COMPUTED_VALUE"""),1701.0)</f>
        <v>1701</v>
      </c>
      <c r="J2274" s="9" t="str">
        <f>IFERROR(__xludf.DUMMYFUNCTION("""COMPUTED_VALUE"""),"UK")</f>
        <v>UK</v>
      </c>
      <c r="K2274" s="8"/>
      <c r="L2274" s="12"/>
      <c r="M2274" s="13"/>
      <c r="N2274" s="13" t="str">
        <f>IFERROR(__xludf.DUMMYFUNCTION("IF(ISBLANK(M2274),"""",M2274*GOOGLEFINANCE(""USDGBP""))"),"")</f>
        <v/>
      </c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  <c r="FG2274" s="8"/>
      <c r="FH2274" s="8"/>
      <c r="FI2274" s="8"/>
      <c r="FJ2274" s="8"/>
      <c r="FK2274" s="8"/>
      <c r="FL2274" s="8"/>
      <c r="FM2274" s="8"/>
      <c r="FN2274" s="8"/>
      <c r="FO2274" s="8"/>
      <c r="FP2274" s="8"/>
      <c r="FQ2274" s="8"/>
      <c r="FR2274" s="8"/>
      <c r="FS2274" s="8"/>
      <c r="FT2274" s="8"/>
      <c r="FU2274" s="8"/>
      <c r="FV2274" s="8"/>
      <c r="FW2274" s="8"/>
      <c r="FX2274" s="8"/>
      <c r="FY2274" s="8"/>
      <c r="FZ2274" s="8"/>
      <c r="GA2274" s="8"/>
      <c r="GB2274" s="8"/>
      <c r="GC2274" s="8"/>
      <c r="GD2274" s="8"/>
      <c r="GE2274" s="8"/>
      <c r="GF2274" s="8"/>
      <c r="GG2274" s="8"/>
      <c r="GH2274" s="8"/>
      <c r="GI2274" s="8"/>
      <c r="GJ2274" s="8"/>
      <c r="GK2274" s="8"/>
      <c r="GL2274" s="8"/>
      <c r="GM2274" s="8"/>
      <c r="GN2274" s="8"/>
      <c r="GO2274" s="8"/>
      <c r="GP2274" s="8"/>
      <c r="GQ2274" s="8"/>
      <c r="GR2274" s="8"/>
      <c r="GS2274" s="8"/>
      <c r="GT2274" s="8"/>
      <c r="GU2274" s="8"/>
      <c r="GV2274" s="8"/>
      <c r="GW2274" s="8"/>
      <c r="GX2274" s="8"/>
    </row>
    <row r="2275">
      <c r="A2275" s="8" t="str">
        <f>IFERROR(__xludf.DUMMYFUNCTION("""COMPUTED_VALUE"""),"100421420190600750")</f>
        <v>100421420190600750</v>
      </c>
      <c r="B2275" s="9" t="str">
        <f>IFERROR(__xludf.DUMMYFUNCTION("""COMPUTED_VALUE"""),"Australia")</f>
        <v>Australia</v>
      </c>
      <c r="C2275" s="9" t="str">
        <f>IFERROR(__xludf.DUMMYFUNCTION("""COMPUTED_VALUE"""),"south australia")</f>
        <v>south australia</v>
      </c>
      <c r="D2275" s="9" t="str">
        <f>IFERROR(__xludf.DUMMYFUNCTION("""COMPUTED_VALUE"""),"Penfolds, Bin 707 Cabernet Sauvignon, South Australia")</f>
        <v>Penfolds, Bin 707 Cabernet Sauvignon, South Australia</v>
      </c>
      <c r="E2275" s="9">
        <f>IFERROR(__xludf.DUMMYFUNCTION("""COMPUTED_VALUE"""),2019.0)</f>
        <v>2019</v>
      </c>
      <c r="F2275" s="9">
        <f>IFERROR(__xludf.DUMMYFUNCTION("""COMPUTED_VALUE"""),750.0)</f>
        <v>750</v>
      </c>
      <c r="G2275" s="9">
        <f>IFERROR(__xludf.DUMMYFUNCTION("""COMPUTED_VALUE"""),6.0)</f>
        <v>6</v>
      </c>
      <c r="H2275" s="10">
        <f>IFERROR(__xludf.DUMMYFUNCTION("""COMPUTED_VALUE"""),4.0)</f>
        <v>4</v>
      </c>
      <c r="I2275" s="11">
        <f>IFERROR(__xludf.DUMMYFUNCTION("""COMPUTED_VALUE"""),1466.0)</f>
        <v>1466</v>
      </c>
      <c r="J2275" s="9" t="str">
        <f>IFERROR(__xludf.DUMMYFUNCTION("""COMPUTED_VALUE"""),"UK")</f>
        <v>UK</v>
      </c>
      <c r="K2275" s="8"/>
      <c r="L2275" s="12"/>
      <c r="M2275" s="13"/>
      <c r="N2275" s="13" t="str">
        <f>IFERROR(__xludf.DUMMYFUNCTION("IF(ISBLANK(M2275),"""",M2275*GOOGLEFINANCE(""USDGBP""))"),"")</f>
        <v/>
      </c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  <c r="FG2275" s="8"/>
      <c r="FH2275" s="8"/>
      <c r="FI2275" s="8"/>
      <c r="FJ2275" s="8"/>
      <c r="FK2275" s="8"/>
      <c r="FL2275" s="8"/>
      <c r="FM2275" s="8"/>
      <c r="FN2275" s="8"/>
      <c r="FO2275" s="8"/>
      <c r="FP2275" s="8"/>
      <c r="FQ2275" s="8"/>
      <c r="FR2275" s="8"/>
      <c r="FS2275" s="8"/>
      <c r="FT2275" s="8"/>
      <c r="FU2275" s="8"/>
      <c r="FV2275" s="8"/>
      <c r="FW2275" s="8"/>
      <c r="FX2275" s="8"/>
      <c r="FY2275" s="8"/>
      <c r="FZ2275" s="8"/>
      <c r="GA2275" s="8"/>
      <c r="GB2275" s="8"/>
      <c r="GC2275" s="8"/>
      <c r="GD2275" s="8"/>
      <c r="GE2275" s="8"/>
      <c r="GF2275" s="8"/>
      <c r="GG2275" s="8"/>
      <c r="GH2275" s="8"/>
      <c r="GI2275" s="8"/>
      <c r="GJ2275" s="8"/>
      <c r="GK2275" s="8"/>
      <c r="GL2275" s="8"/>
      <c r="GM2275" s="8"/>
      <c r="GN2275" s="8"/>
      <c r="GO2275" s="8"/>
      <c r="GP2275" s="8"/>
      <c r="GQ2275" s="8"/>
      <c r="GR2275" s="8"/>
      <c r="GS2275" s="8"/>
      <c r="GT2275" s="8"/>
      <c r="GU2275" s="8"/>
      <c r="GV2275" s="8"/>
      <c r="GW2275" s="8"/>
      <c r="GX2275" s="8"/>
    </row>
    <row r="2276">
      <c r="A2276" s="8" t="str">
        <f>IFERROR(__xludf.DUMMYFUNCTION("""COMPUTED_VALUE"""),"100433120110601500")</f>
        <v>100433120110601500</v>
      </c>
      <c r="B2276" s="9" t="str">
        <f>IFERROR(__xludf.DUMMYFUNCTION("""COMPUTED_VALUE"""),"Australia")</f>
        <v>Australia</v>
      </c>
      <c r="C2276" s="9" t="str">
        <f>IFERROR(__xludf.DUMMYFUNCTION("""COMPUTED_VALUE"""),"south australia")</f>
        <v>south australia</v>
      </c>
      <c r="D2276" s="9" t="str">
        <f>IFERROR(__xludf.DUMMYFUNCTION("""COMPUTED_VALUE"""),"Penfolds, Bin 798 RWT Shiraz, Barossa Valley")</f>
        <v>Penfolds, Bin 798 RWT Shiraz, Barossa Valley</v>
      </c>
      <c r="E2276" s="9">
        <f>IFERROR(__xludf.DUMMYFUNCTION("""COMPUTED_VALUE"""),2011.0)</f>
        <v>2011</v>
      </c>
      <c r="F2276" s="9">
        <f>IFERROR(__xludf.DUMMYFUNCTION("""COMPUTED_VALUE"""),1500.0)</f>
        <v>1500</v>
      </c>
      <c r="G2276" s="9">
        <f>IFERROR(__xludf.DUMMYFUNCTION("""COMPUTED_VALUE"""),6.0)</f>
        <v>6</v>
      </c>
      <c r="H2276" s="10">
        <f>IFERROR(__xludf.DUMMYFUNCTION("""COMPUTED_VALUE"""),2.0)</f>
        <v>2</v>
      </c>
      <c r="I2276" s="11">
        <f>IFERROR(__xludf.DUMMYFUNCTION("""COMPUTED_VALUE"""),1149.0)</f>
        <v>1149</v>
      </c>
      <c r="J2276" s="9" t="str">
        <f>IFERROR(__xludf.DUMMYFUNCTION("""COMPUTED_VALUE"""),"UK")</f>
        <v>UK</v>
      </c>
      <c r="K2276" s="8"/>
      <c r="L2276" s="12"/>
      <c r="M2276" s="13"/>
      <c r="N2276" s="13" t="str">
        <f>IFERROR(__xludf.DUMMYFUNCTION("IF(ISBLANK(M2276),"""",M2276*GOOGLEFINANCE(""USDGBP""))"),"")</f>
        <v/>
      </c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  <c r="FG2276" s="8"/>
      <c r="FH2276" s="8"/>
      <c r="FI2276" s="8"/>
      <c r="FJ2276" s="8"/>
      <c r="FK2276" s="8"/>
      <c r="FL2276" s="8"/>
      <c r="FM2276" s="8"/>
      <c r="FN2276" s="8"/>
      <c r="FO2276" s="8"/>
      <c r="FP2276" s="8"/>
      <c r="FQ2276" s="8"/>
      <c r="FR2276" s="8"/>
      <c r="FS2276" s="8"/>
      <c r="FT2276" s="8"/>
      <c r="FU2276" s="8"/>
      <c r="FV2276" s="8"/>
      <c r="FW2276" s="8"/>
      <c r="FX2276" s="8"/>
      <c r="FY2276" s="8"/>
      <c r="FZ2276" s="8"/>
      <c r="GA2276" s="8"/>
      <c r="GB2276" s="8"/>
      <c r="GC2276" s="8"/>
      <c r="GD2276" s="8"/>
      <c r="GE2276" s="8"/>
      <c r="GF2276" s="8"/>
      <c r="GG2276" s="8"/>
      <c r="GH2276" s="8"/>
      <c r="GI2276" s="8"/>
      <c r="GJ2276" s="8"/>
      <c r="GK2276" s="8"/>
      <c r="GL2276" s="8"/>
      <c r="GM2276" s="8"/>
      <c r="GN2276" s="8"/>
      <c r="GO2276" s="8"/>
      <c r="GP2276" s="8"/>
      <c r="GQ2276" s="8"/>
      <c r="GR2276" s="8"/>
      <c r="GS2276" s="8"/>
      <c r="GT2276" s="8"/>
      <c r="GU2276" s="8"/>
      <c r="GV2276" s="8"/>
      <c r="GW2276" s="8"/>
      <c r="GX2276" s="8"/>
    </row>
    <row r="2277">
      <c r="A2277" s="8" t="str">
        <f>IFERROR(__xludf.DUMMYFUNCTION("""COMPUTED_VALUE"""),"100433120120600750")</f>
        <v>100433120120600750</v>
      </c>
      <c r="B2277" s="9" t="str">
        <f>IFERROR(__xludf.DUMMYFUNCTION("""COMPUTED_VALUE"""),"Australia")</f>
        <v>Australia</v>
      </c>
      <c r="C2277" s="9" t="str">
        <f>IFERROR(__xludf.DUMMYFUNCTION("""COMPUTED_VALUE"""),"south australia")</f>
        <v>south australia</v>
      </c>
      <c r="D2277" s="9" t="str">
        <f>IFERROR(__xludf.DUMMYFUNCTION("""COMPUTED_VALUE"""),"Penfolds, Bin 798 RWT Shiraz, Barossa Valley")</f>
        <v>Penfolds, Bin 798 RWT Shiraz, Barossa Valley</v>
      </c>
      <c r="E2277" s="9">
        <f>IFERROR(__xludf.DUMMYFUNCTION("""COMPUTED_VALUE"""),2012.0)</f>
        <v>2012</v>
      </c>
      <c r="F2277" s="9">
        <f>IFERROR(__xludf.DUMMYFUNCTION("""COMPUTED_VALUE"""),750.0)</f>
        <v>750</v>
      </c>
      <c r="G2277" s="9">
        <f>IFERROR(__xludf.DUMMYFUNCTION("""COMPUTED_VALUE"""),6.0)</f>
        <v>6</v>
      </c>
      <c r="H2277" s="10">
        <f>IFERROR(__xludf.DUMMYFUNCTION("""COMPUTED_VALUE"""),4.0)</f>
        <v>4</v>
      </c>
      <c r="I2277" s="11">
        <f>IFERROR(__xludf.DUMMYFUNCTION("""COMPUTED_VALUE"""),532.0)</f>
        <v>532</v>
      </c>
      <c r="J2277" s="9" t="str">
        <f>IFERROR(__xludf.DUMMYFUNCTION("""COMPUTED_VALUE"""),"UK")</f>
        <v>UK</v>
      </c>
      <c r="K2277" s="8"/>
      <c r="L2277" s="12"/>
      <c r="M2277" s="13"/>
      <c r="N2277" s="13" t="str">
        <f>IFERROR(__xludf.DUMMYFUNCTION("IF(ISBLANK(M2277),"""",M2277*GOOGLEFINANCE(""USDGBP""))"),"")</f>
        <v/>
      </c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  <c r="FG2277" s="8"/>
      <c r="FH2277" s="8"/>
      <c r="FI2277" s="8"/>
      <c r="FJ2277" s="8"/>
      <c r="FK2277" s="8"/>
      <c r="FL2277" s="8"/>
      <c r="FM2277" s="8"/>
      <c r="FN2277" s="8"/>
      <c r="FO2277" s="8"/>
      <c r="FP2277" s="8"/>
      <c r="FQ2277" s="8"/>
      <c r="FR2277" s="8"/>
      <c r="FS2277" s="8"/>
      <c r="FT2277" s="8"/>
      <c r="FU2277" s="8"/>
      <c r="FV2277" s="8"/>
      <c r="FW2277" s="8"/>
      <c r="FX2277" s="8"/>
      <c r="FY2277" s="8"/>
      <c r="FZ2277" s="8"/>
      <c r="GA2277" s="8"/>
      <c r="GB2277" s="8"/>
      <c r="GC2277" s="8"/>
      <c r="GD2277" s="8"/>
      <c r="GE2277" s="8"/>
      <c r="GF2277" s="8"/>
      <c r="GG2277" s="8"/>
      <c r="GH2277" s="8"/>
      <c r="GI2277" s="8"/>
      <c r="GJ2277" s="8"/>
      <c r="GK2277" s="8"/>
      <c r="GL2277" s="8"/>
      <c r="GM2277" s="8"/>
      <c r="GN2277" s="8"/>
      <c r="GO2277" s="8"/>
      <c r="GP2277" s="8"/>
      <c r="GQ2277" s="8"/>
      <c r="GR2277" s="8"/>
      <c r="GS2277" s="8"/>
      <c r="GT2277" s="8"/>
      <c r="GU2277" s="8"/>
      <c r="GV2277" s="8"/>
      <c r="GW2277" s="8"/>
      <c r="GX2277" s="8"/>
    </row>
    <row r="2278">
      <c r="A2278" s="8" t="str">
        <f>IFERROR(__xludf.DUMMYFUNCTION("""COMPUTED_VALUE"""),"100433120160600750")</f>
        <v>100433120160600750</v>
      </c>
      <c r="B2278" s="9" t="str">
        <f>IFERROR(__xludf.DUMMYFUNCTION("""COMPUTED_VALUE"""),"Australia")</f>
        <v>Australia</v>
      </c>
      <c r="C2278" s="9" t="str">
        <f>IFERROR(__xludf.DUMMYFUNCTION("""COMPUTED_VALUE"""),"south australia")</f>
        <v>south australia</v>
      </c>
      <c r="D2278" s="9" t="str">
        <f>IFERROR(__xludf.DUMMYFUNCTION("""COMPUTED_VALUE"""),"Penfolds, Bin 798 RWT Shiraz, Barossa Valley")</f>
        <v>Penfolds, Bin 798 RWT Shiraz, Barossa Valley</v>
      </c>
      <c r="E2278" s="9">
        <f>IFERROR(__xludf.DUMMYFUNCTION("""COMPUTED_VALUE"""),2016.0)</f>
        <v>2016</v>
      </c>
      <c r="F2278" s="9">
        <f>IFERROR(__xludf.DUMMYFUNCTION("""COMPUTED_VALUE"""),750.0)</f>
        <v>750</v>
      </c>
      <c r="G2278" s="9">
        <f>IFERROR(__xludf.DUMMYFUNCTION("""COMPUTED_VALUE"""),6.0)</f>
        <v>6</v>
      </c>
      <c r="H2278" s="10">
        <f>IFERROR(__xludf.DUMMYFUNCTION("""COMPUTED_VALUE"""),1.0)</f>
        <v>1</v>
      </c>
      <c r="I2278" s="11">
        <f>IFERROR(__xludf.DUMMYFUNCTION("""COMPUTED_VALUE"""),603.0)</f>
        <v>603</v>
      </c>
      <c r="J2278" s="9" t="str">
        <f>IFERROR(__xludf.DUMMYFUNCTION("""COMPUTED_VALUE"""),"UK")</f>
        <v>UK</v>
      </c>
      <c r="K2278" s="8"/>
      <c r="L2278" s="12"/>
      <c r="M2278" s="13"/>
      <c r="N2278" s="13" t="str">
        <f>IFERROR(__xludf.DUMMYFUNCTION("IF(ISBLANK(M2278),"""",M2278*GOOGLEFINANCE(""USDGBP""))"),"")</f>
        <v/>
      </c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  <c r="FG2278" s="8"/>
      <c r="FH2278" s="8"/>
      <c r="FI2278" s="8"/>
      <c r="FJ2278" s="8"/>
      <c r="FK2278" s="8"/>
      <c r="FL2278" s="8"/>
      <c r="FM2278" s="8"/>
      <c r="FN2278" s="8"/>
      <c r="FO2278" s="8"/>
      <c r="FP2278" s="8"/>
      <c r="FQ2278" s="8"/>
      <c r="FR2278" s="8"/>
      <c r="FS2278" s="8"/>
      <c r="FT2278" s="8"/>
      <c r="FU2278" s="8"/>
      <c r="FV2278" s="8"/>
      <c r="FW2278" s="8"/>
      <c r="FX2278" s="8"/>
      <c r="FY2278" s="8"/>
      <c r="FZ2278" s="8"/>
      <c r="GA2278" s="8"/>
      <c r="GB2278" s="8"/>
      <c r="GC2278" s="8"/>
      <c r="GD2278" s="8"/>
      <c r="GE2278" s="8"/>
      <c r="GF2278" s="8"/>
      <c r="GG2278" s="8"/>
      <c r="GH2278" s="8"/>
      <c r="GI2278" s="8"/>
      <c r="GJ2278" s="8"/>
      <c r="GK2278" s="8"/>
      <c r="GL2278" s="8"/>
      <c r="GM2278" s="8"/>
      <c r="GN2278" s="8"/>
      <c r="GO2278" s="8"/>
      <c r="GP2278" s="8"/>
      <c r="GQ2278" s="8"/>
      <c r="GR2278" s="8"/>
      <c r="GS2278" s="8"/>
      <c r="GT2278" s="8"/>
      <c r="GU2278" s="8"/>
      <c r="GV2278" s="8"/>
      <c r="GW2278" s="8"/>
      <c r="GX2278" s="8"/>
    </row>
    <row r="2279">
      <c r="A2279" s="8" t="str">
        <f>IFERROR(__xludf.DUMMYFUNCTION("""COMPUTED_VALUE"""),"100433120170600750")</f>
        <v>100433120170600750</v>
      </c>
      <c r="B2279" s="9" t="str">
        <f>IFERROR(__xludf.DUMMYFUNCTION("""COMPUTED_VALUE"""),"Australia")</f>
        <v>Australia</v>
      </c>
      <c r="C2279" s="9" t="str">
        <f>IFERROR(__xludf.DUMMYFUNCTION("""COMPUTED_VALUE"""),"south australia")</f>
        <v>south australia</v>
      </c>
      <c r="D2279" s="9" t="str">
        <f>IFERROR(__xludf.DUMMYFUNCTION("""COMPUTED_VALUE"""),"Penfolds, Bin 798 RWT Shiraz, Barossa Valley")</f>
        <v>Penfolds, Bin 798 RWT Shiraz, Barossa Valley</v>
      </c>
      <c r="E2279" s="9">
        <f>IFERROR(__xludf.DUMMYFUNCTION("""COMPUTED_VALUE"""),2017.0)</f>
        <v>2017</v>
      </c>
      <c r="F2279" s="9">
        <f>IFERROR(__xludf.DUMMYFUNCTION("""COMPUTED_VALUE"""),750.0)</f>
        <v>750</v>
      </c>
      <c r="G2279" s="9">
        <f>IFERROR(__xludf.DUMMYFUNCTION("""COMPUTED_VALUE"""),6.0)</f>
        <v>6</v>
      </c>
      <c r="H2279" s="10">
        <f>IFERROR(__xludf.DUMMYFUNCTION("""COMPUTED_VALUE"""),1.0)</f>
        <v>1</v>
      </c>
      <c r="I2279" s="11">
        <f>IFERROR(__xludf.DUMMYFUNCTION("""COMPUTED_VALUE"""),537.0)</f>
        <v>537</v>
      </c>
      <c r="J2279" s="9" t="str">
        <f>IFERROR(__xludf.DUMMYFUNCTION("""COMPUTED_VALUE"""),"UK")</f>
        <v>UK</v>
      </c>
      <c r="K2279" s="8"/>
      <c r="L2279" s="12"/>
      <c r="M2279" s="13"/>
      <c r="N2279" s="13" t="str">
        <f>IFERROR(__xludf.DUMMYFUNCTION("IF(ISBLANK(M2279),"""",M2279*GOOGLEFINANCE(""USDGBP""))"),"")</f>
        <v/>
      </c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  <c r="FG2279" s="8"/>
      <c r="FH2279" s="8"/>
      <c r="FI2279" s="8"/>
      <c r="FJ2279" s="8"/>
      <c r="FK2279" s="8"/>
      <c r="FL2279" s="8"/>
      <c r="FM2279" s="8"/>
      <c r="FN2279" s="8"/>
      <c r="FO2279" s="8"/>
      <c r="FP2279" s="8"/>
      <c r="FQ2279" s="8"/>
      <c r="FR2279" s="8"/>
      <c r="FS2279" s="8"/>
      <c r="FT2279" s="8"/>
      <c r="FU2279" s="8"/>
      <c r="FV2279" s="8"/>
      <c r="FW2279" s="8"/>
      <c r="FX2279" s="8"/>
      <c r="FY2279" s="8"/>
      <c r="FZ2279" s="8"/>
      <c r="GA2279" s="8"/>
      <c r="GB2279" s="8"/>
      <c r="GC2279" s="8"/>
      <c r="GD2279" s="8"/>
      <c r="GE2279" s="8"/>
      <c r="GF2279" s="8"/>
      <c r="GG2279" s="8"/>
      <c r="GH2279" s="8"/>
      <c r="GI2279" s="8"/>
      <c r="GJ2279" s="8"/>
      <c r="GK2279" s="8"/>
      <c r="GL2279" s="8"/>
      <c r="GM2279" s="8"/>
      <c r="GN2279" s="8"/>
      <c r="GO2279" s="8"/>
      <c r="GP2279" s="8"/>
      <c r="GQ2279" s="8"/>
      <c r="GR2279" s="8"/>
      <c r="GS2279" s="8"/>
      <c r="GT2279" s="8"/>
      <c r="GU2279" s="8"/>
      <c r="GV2279" s="8"/>
      <c r="GW2279" s="8"/>
      <c r="GX2279" s="8"/>
    </row>
    <row r="2280">
      <c r="A2280" s="8" t="str">
        <f>IFERROR(__xludf.DUMMYFUNCTION("""COMPUTED_VALUE"""),"100433120190600750")</f>
        <v>100433120190600750</v>
      </c>
      <c r="B2280" s="9" t="str">
        <f>IFERROR(__xludf.DUMMYFUNCTION("""COMPUTED_VALUE"""),"Australia")</f>
        <v>Australia</v>
      </c>
      <c r="C2280" s="9" t="str">
        <f>IFERROR(__xludf.DUMMYFUNCTION("""COMPUTED_VALUE"""),"south australia")</f>
        <v>south australia</v>
      </c>
      <c r="D2280" s="9" t="str">
        <f>IFERROR(__xludf.DUMMYFUNCTION("""COMPUTED_VALUE"""),"Penfolds, Bin 798 RWT Shiraz, Barossa Valley")</f>
        <v>Penfolds, Bin 798 RWT Shiraz, Barossa Valley</v>
      </c>
      <c r="E2280" s="9">
        <f>IFERROR(__xludf.DUMMYFUNCTION("""COMPUTED_VALUE"""),2019.0)</f>
        <v>2019</v>
      </c>
      <c r="F2280" s="9">
        <f>IFERROR(__xludf.DUMMYFUNCTION("""COMPUTED_VALUE"""),750.0)</f>
        <v>750</v>
      </c>
      <c r="G2280" s="9">
        <f>IFERROR(__xludf.DUMMYFUNCTION("""COMPUTED_VALUE"""),6.0)</f>
        <v>6</v>
      </c>
      <c r="H2280" s="10">
        <f>IFERROR(__xludf.DUMMYFUNCTION("""COMPUTED_VALUE"""),2.0)</f>
        <v>2</v>
      </c>
      <c r="I2280" s="11">
        <f>IFERROR(__xludf.DUMMYFUNCTION("""COMPUTED_VALUE"""),610.0)</f>
        <v>610</v>
      </c>
      <c r="J2280" s="9" t="str">
        <f>IFERROR(__xludf.DUMMYFUNCTION("""COMPUTED_VALUE"""),"UK")</f>
        <v>UK</v>
      </c>
      <c r="K2280" s="8"/>
      <c r="L2280" s="12"/>
      <c r="M2280" s="13"/>
      <c r="N2280" s="13" t="str">
        <f>IFERROR(__xludf.DUMMYFUNCTION("IF(ISBLANK(M2280),"""",M2280*GOOGLEFINANCE(""USDGBP""))"),"")</f>
        <v/>
      </c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  <c r="FG2280" s="8"/>
      <c r="FH2280" s="8"/>
      <c r="FI2280" s="8"/>
      <c r="FJ2280" s="8"/>
      <c r="FK2280" s="8"/>
      <c r="FL2280" s="8"/>
      <c r="FM2280" s="8"/>
      <c r="FN2280" s="8"/>
      <c r="FO2280" s="8"/>
      <c r="FP2280" s="8"/>
      <c r="FQ2280" s="8"/>
      <c r="FR2280" s="8"/>
      <c r="FS2280" s="8"/>
      <c r="FT2280" s="8"/>
      <c r="FU2280" s="8"/>
      <c r="FV2280" s="8"/>
      <c r="FW2280" s="8"/>
      <c r="FX2280" s="8"/>
      <c r="FY2280" s="8"/>
      <c r="FZ2280" s="8"/>
      <c r="GA2280" s="8"/>
      <c r="GB2280" s="8"/>
      <c r="GC2280" s="8"/>
      <c r="GD2280" s="8"/>
      <c r="GE2280" s="8"/>
      <c r="GF2280" s="8"/>
      <c r="GG2280" s="8"/>
      <c r="GH2280" s="8"/>
      <c r="GI2280" s="8"/>
      <c r="GJ2280" s="8"/>
      <c r="GK2280" s="8"/>
      <c r="GL2280" s="8"/>
      <c r="GM2280" s="8"/>
      <c r="GN2280" s="8"/>
      <c r="GO2280" s="8"/>
      <c r="GP2280" s="8"/>
      <c r="GQ2280" s="8"/>
      <c r="GR2280" s="8"/>
      <c r="GS2280" s="8"/>
      <c r="GT2280" s="8"/>
      <c r="GU2280" s="8"/>
      <c r="GV2280" s="8"/>
      <c r="GW2280" s="8"/>
      <c r="GX2280" s="8"/>
    </row>
    <row r="2281">
      <c r="A2281" s="8" t="str">
        <f>IFERROR(__xludf.DUMMYFUNCTION("""COMPUTED_VALUE"""),"100428519970600750")</f>
        <v>100428519970600750</v>
      </c>
      <c r="B2281" s="9" t="str">
        <f>IFERROR(__xludf.DUMMYFUNCTION("""COMPUTED_VALUE"""),"Australia")</f>
        <v>Australia</v>
      </c>
      <c r="C2281" s="9" t="str">
        <f>IFERROR(__xludf.DUMMYFUNCTION("""COMPUTED_VALUE"""),"south australia")</f>
        <v>south australia</v>
      </c>
      <c r="D2281" s="9" t="str">
        <f>IFERROR(__xludf.DUMMYFUNCTION("""COMPUTED_VALUE"""),"Penfolds, Grange, South Australia")</f>
        <v>Penfolds, Grange, South Australia</v>
      </c>
      <c r="E2281" s="9">
        <f>IFERROR(__xludf.DUMMYFUNCTION("""COMPUTED_VALUE"""),1997.0)</f>
        <v>1997</v>
      </c>
      <c r="F2281" s="9">
        <f>IFERROR(__xludf.DUMMYFUNCTION("""COMPUTED_VALUE"""),750.0)</f>
        <v>750</v>
      </c>
      <c r="G2281" s="9">
        <f>IFERROR(__xludf.DUMMYFUNCTION("""COMPUTED_VALUE"""),6.0)</f>
        <v>6</v>
      </c>
      <c r="H2281" s="10">
        <f>IFERROR(__xludf.DUMMYFUNCTION("""COMPUTED_VALUE"""),1.0)</f>
        <v>1</v>
      </c>
      <c r="I2281" s="11">
        <f>IFERROR(__xludf.DUMMYFUNCTION("""COMPUTED_VALUE"""),1965.0)</f>
        <v>1965</v>
      </c>
      <c r="J2281" s="9" t="str">
        <f>IFERROR(__xludf.DUMMYFUNCTION("""COMPUTED_VALUE"""),"UK")</f>
        <v>UK</v>
      </c>
      <c r="K2281" s="8"/>
      <c r="L2281" s="12"/>
      <c r="M2281" s="13"/>
      <c r="N2281" s="13" t="str">
        <f>IFERROR(__xludf.DUMMYFUNCTION("IF(ISBLANK(M2281),"""",M2281*GOOGLEFINANCE(""USDGBP""))"),"")</f>
        <v/>
      </c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  <c r="FG2281" s="8"/>
      <c r="FH2281" s="8"/>
      <c r="FI2281" s="8"/>
      <c r="FJ2281" s="8"/>
      <c r="FK2281" s="8"/>
      <c r="FL2281" s="8"/>
      <c r="FM2281" s="8"/>
      <c r="FN2281" s="8"/>
      <c r="FO2281" s="8"/>
      <c r="FP2281" s="8"/>
      <c r="FQ2281" s="8"/>
      <c r="FR2281" s="8"/>
      <c r="FS2281" s="8"/>
      <c r="FT2281" s="8"/>
      <c r="FU2281" s="8"/>
      <c r="FV2281" s="8"/>
      <c r="FW2281" s="8"/>
      <c r="FX2281" s="8"/>
      <c r="FY2281" s="8"/>
      <c r="FZ2281" s="8"/>
      <c r="GA2281" s="8"/>
      <c r="GB2281" s="8"/>
      <c r="GC2281" s="8"/>
      <c r="GD2281" s="8"/>
      <c r="GE2281" s="8"/>
      <c r="GF2281" s="8"/>
      <c r="GG2281" s="8"/>
      <c r="GH2281" s="8"/>
      <c r="GI2281" s="8"/>
      <c r="GJ2281" s="8"/>
      <c r="GK2281" s="8"/>
      <c r="GL2281" s="8"/>
      <c r="GM2281" s="8"/>
      <c r="GN2281" s="8"/>
      <c r="GO2281" s="8"/>
      <c r="GP2281" s="8"/>
      <c r="GQ2281" s="8"/>
      <c r="GR2281" s="8"/>
      <c r="GS2281" s="8"/>
      <c r="GT2281" s="8"/>
      <c r="GU2281" s="8"/>
      <c r="GV2281" s="8"/>
      <c r="GW2281" s="8"/>
      <c r="GX2281" s="8"/>
    </row>
    <row r="2282">
      <c r="A2282" s="8" t="str">
        <f>IFERROR(__xludf.DUMMYFUNCTION("""COMPUTED_VALUE"""),"100428520020600750")</f>
        <v>100428520020600750</v>
      </c>
      <c r="B2282" s="9" t="str">
        <f>IFERROR(__xludf.DUMMYFUNCTION("""COMPUTED_VALUE"""),"Australia")</f>
        <v>Australia</v>
      </c>
      <c r="C2282" s="9" t="str">
        <f>IFERROR(__xludf.DUMMYFUNCTION("""COMPUTED_VALUE"""),"south australia")</f>
        <v>south australia</v>
      </c>
      <c r="D2282" s="9" t="str">
        <f>IFERROR(__xludf.DUMMYFUNCTION("""COMPUTED_VALUE"""),"Penfolds, Grange, South Australia")</f>
        <v>Penfolds, Grange, South Australia</v>
      </c>
      <c r="E2282" s="9">
        <f>IFERROR(__xludf.DUMMYFUNCTION("""COMPUTED_VALUE"""),2002.0)</f>
        <v>2002</v>
      </c>
      <c r="F2282" s="9">
        <f>IFERROR(__xludf.DUMMYFUNCTION("""COMPUTED_VALUE"""),750.0)</f>
        <v>750</v>
      </c>
      <c r="G2282" s="9">
        <f>IFERROR(__xludf.DUMMYFUNCTION("""COMPUTED_VALUE"""),6.0)</f>
        <v>6</v>
      </c>
      <c r="H2282" s="10">
        <f>IFERROR(__xludf.DUMMYFUNCTION("""COMPUTED_VALUE"""),1.0)</f>
        <v>1</v>
      </c>
      <c r="I2282" s="11">
        <f>IFERROR(__xludf.DUMMYFUNCTION("""COMPUTED_VALUE"""),2243.0)</f>
        <v>2243</v>
      </c>
      <c r="J2282" s="9" t="str">
        <f>IFERROR(__xludf.DUMMYFUNCTION("""COMPUTED_VALUE"""),"UK")</f>
        <v>UK</v>
      </c>
      <c r="K2282" s="8"/>
      <c r="L2282" s="12"/>
      <c r="M2282" s="13"/>
      <c r="N2282" s="13" t="str">
        <f>IFERROR(__xludf.DUMMYFUNCTION("IF(ISBLANK(M2282),"""",M2282*GOOGLEFINANCE(""USDGBP""))"),"")</f>
        <v/>
      </c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  <c r="FG2282" s="8"/>
      <c r="FH2282" s="8"/>
      <c r="FI2282" s="8"/>
      <c r="FJ2282" s="8"/>
      <c r="FK2282" s="8"/>
      <c r="FL2282" s="8"/>
      <c r="FM2282" s="8"/>
      <c r="FN2282" s="8"/>
      <c r="FO2282" s="8"/>
      <c r="FP2282" s="8"/>
      <c r="FQ2282" s="8"/>
      <c r="FR2282" s="8"/>
      <c r="FS2282" s="8"/>
      <c r="FT2282" s="8"/>
      <c r="FU2282" s="8"/>
      <c r="FV2282" s="8"/>
      <c r="FW2282" s="8"/>
      <c r="FX2282" s="8"/>
      <c r="FY2282" s="8"/>
      <c r="FZ2282" s="8"/>
      <c r="GA2282" s="8"/>
      <c r="GB2282" s="8"/>
      <c r="GC2282" s="8"/>
      <c r="GD2282" s="8"/>
      <c r="GE2282" s="8"/>
      <c r="GF2282" s="8"/>
      <c r="GG2282" s="8"/>
      <c r="GH2282" s="8"/>
      <c r="GI2282" s="8"/>
      <c r="GJ2282" s="8"/>
      <c r="GK2282" s="8"/>
      <c r="GL2282" s="8"/>
      <c r="GM2282" s="8"/>
      <c r="GN2282" s="8"/>
      <c r="GO2282" s="8"/>
      <c r="GP2282" s="8"/>
      <c r="GQ2282" s="8"/>
      <c r="GR2282" s="8"/>
      <c r="GS2282" s="8"/>
      <c r="GT2282" s="8"/>
      <c r="GU2282" s="8"/>
      <c r="GV2282" s="8"/>
      <c r="GW2282" s="8"/>
      <c r="GX2282" s="8"/>
    </row>
    <row r="2283">
      <c r="A2283" s="8" t="str">
        <f>IFERROR(__xludf.DUMMYFUNCTION("""COMPUTED_VALUE"""),"100428520110600750")</f>
        <v>100428520110600750</v>
      </c>
      <c r="B2283" s="9" t="str">
        <f>IFERROR(__xludf.DUMMYFUNCTION("""COMPUTED_VALUE"""),"Australia")</f>
        <v>Australia</v>
      </c>
      <c r="C2283" s="9" t="str">
        <f>IFERROR(__xludf.DUMMYFUNCTION("""COMPUTED_VALUE"""),"south australia")</f>
        <v>south australia</v>
      </c>
      <c r="D2283" s="9" t="str">
        <f>IFERROR(__xludf.DUMMYFUNCTION("""COMPUTED_VALUE"""),"Penfolds, Grange, South Australia")</f>
        <v>Penfolds, Grange, South Australia</v>
      </c>
      <c r="E2283" s="9">
        <f>IFERROR(__xludf.DUMMYFUNCTION("""COMPUTED_VALUE"""),2011.0)</f>
        <v>2011</v>
      </c>
      <c r="F2283" s="9">
        <f>IFERROR(__xludf.DUMMYFUNCTION("""COMPUTED_VALUE"""),750.0)</f>
        <v>750</v>
      </c>
      <c r="G2283" s="9">
        <f>IFERROR(__xludf.DUMMYFUNCTION("""COMPUTED_VALUE"""),6.0)</f>
        <v>6</v>
      </c>
      <c r="H2283" s="10">
        <f>IFERROR(__xludf.DUMMYFUNCTION("""COMPUTED_VALUE"""),1.0)</f>
        <v>1</v>
      </c>
      <c r="I2283" s="11">
        <f>IFERROR(__xludf.DUMMYFUNCTION("""COMPUTED_VALUE"""),2390.0)</f>
        <v>2390</v>
      </c>
      <c r="J2283" s="9" t="str">
        <f>IFERROR(__xludf.DUMMYFUNCTION("""COMPUTED_VALUE"""),"UK")</f>
        <v>UK</v>
      </c>
      <c r="K2283" s="8"/>
      <c r="L2283" s="12"/>
      <c r="M2283" s="13"/>
      <c r="N2283" s="13" t="str">
        <f>IFERROR(__xludf.DUMMYFUNCTION("IF(ISBLANK(M2283),"""",M2283*GOOGLEFINANCE(""USDGBP""))"),"")</f>
        <v/>
      </c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  <c r="FG2283" s="8"/>
      <c r="FH2283" s="8"/>
      <c r="FI2283" s="8"/>
      <c r="FJ2283" s="8"/>
      <c r="FK2283" s="8"/>
      <c r="FL2283" s="8"/>
      <c r="FM2283" s="8"/>
      <c r="FN2283" s="8"/>
      <c r="FO2283" s="8"/>
      <c r="FP2283" s="8"/>
      <c r="FQ2283" s="8"/>
      <c r="FR2283" s="8"/>
      <c r="FS2283" s="8"/>
      <c r="FT2283" s="8"/>
      <c r="FU2283" s="8"/>
      <c r="FV2283" s="8"/>
      <c r="FW2283" s="8"/>
      <c r="FX2283" s="8"/>
      <c r="FY2283" s="8"/>
      <c r="FZ2283" s="8"/>
      <c r="GA2283" s="8"/>
      <c r="GB2283" s="8"/>
      <c r="GC2283" s="8"/>
      <c r="GD2283" s="8"/>
      <c r="GE2283" s="8"/>
      <c r="GF2283" s="8"/>
      <c r="GG2283" s="8"/>
      <c r="GH2283" s="8"/>
      <c r="GI2283" s="8"/>
      <c r="GJ2283" s="8"/>
      <c r="GK2283" s="8"/>
      <c r="GL2283" s="8"/>
      <c r="GM2283" s="8"/>
      <c r="GN2283" s="8"/>
      <c r="GO2283" s="8"/>
      <c r="GP2283" s="8"/>
      <c r="GQ2283" s="8"/>
      <c r="GR2283" s="8"/>
      <c r="GS2283" s="8"/>
      <c r="GT2283" s="8"/>
      <c r="GU2283" s="8"/>
      <c r="GV2283" s="8"/>
      <c r="GW2283" s="8"/>
      <c r="GX2283" s="8"/>
    </row>
    <row r="2284">
      <c r="A2284" s="8" t="str">
        <f>IFERROR(__xludf.DUMMYFUNCTION("""COMPUTED_VALUE"""),"100428520150600750")</f>
        <v>100428520150600750</v>
      </c>
      <c r="B2284" s="9" t="str">
        <f>IFERROR(__xludf.DUMMYFUNCTION("""COMPUTED_VALUE"""),"Australia")</f>
        <v>Australia</v>
      </c>
      <c r="C2284" s="9" t="str">
        <f>IFERROR(__xludf.DUMMYFUNCTION("""COMPUTED_VALUE"""),"south australia")</f>
        <v>south australia</v>
      </c>
      <c r="D2284" s="9" t="str">
        <f>IFERROR(__xludf.DUMMYFUNCTION("""COMPUTED_VALUE"""),"Penfolds, Grange, South Australia")</f>
        <v>Penfolds, Grange, South Australia</v>
      </c>
      <c r="E2284" s="9">
        <f>IFERROR(__xludf.DUMMYFUNCTION("""COMPUTED_VALUE"""),2015.0)</f>
        <v>2015</v>
      </c>
      <c r="F2284" s="9">
        <f>IFERROR(__xludf.DUMMYFUNCTION("""COMPUTED_VALUE"""),750.0)</f>
        <v>750</v>
      </c>
      <c r="G2284" s="9">
        <f>IFERROR(__xludf.DUMMYFUNCTION("""COMPUTED_VALUE"""),6.0)</f>
        <v>6</v>
      </c>
      <c r="H2284" s="10">
        <f>IFERROR(__xludf.DUMMYFUNCTION("""COMPUTED_VALUE"""),1.0)</f>
        <v>1</v>
      </c>
      <c r="I2284" s="11">
        <f>IFERROR(__xludf.DUMMYFUNCTION("""COMPUTED_VALUE"""),2301.0)</f>
        <v>2301</v>
      </c>
      <c r="J2284" s="9" t="str">
        <f>IFERROR(__xludf.DUMMYFUNCTION("""COMPUTED_VALUE"""),"UK")</f>
        <v>UK</v>
      </c>
      <c r="K2284" s="8"/>
      <c r="L2284" s="12"/>
      <c r="M2284" s="13"/>
      <c r="N2284" s="13" t="str">
        <f>IFERROR(__xludf.DUMMYFUNCTION("IF(ISBLANK(M2284),"""",M2284*GOOGLEFINANCE(""USDGBP""))"),"")</f>
        <v/>
      </c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  <c r="FG2284" s="8"/>
      <c r="FH2284" s="8"/>
      <c r="FI2284" s="8"/>
      <c r="FJ2284" s="8"/>
      <c r="FK2284" s="8"/>
      <c r="FL2284" s="8"/>
      <c r="FM2284" s="8"/>
      <c r="FN2284" s="8"/>
      <c r="FO2284" s="8"/>
      <c r="FP2284" s="8"/>
      <c r="FQ2284" s="8"/>
      <c r="FR2284" s="8"/>
      <c r="FS2284" s="8"/>
      <c r="FT2284" s="8"/>
      <c r="FU2284" s="8"/>
      <c r="FV2284" s="8"/>
      <c r="FW2284" s="8"/>
      <c r="FX2284" s="8"/>
      <c r="FY2284" s="8"/>
      <c r="FZ2284" s="8"/>
      <c r="GA2284" s="8"/>
      <c r="GB2284" s="8"/>
      <c r="GC2284" s="8"/>
      <c r="GD2284" s="8"/>
      <c r="GE2284" s="8"/>
      <c r="GF2284" s="8"/>
      <c r="GG2284" s="8"/>
      <c r="GH2284" s="8"/>
      <c r="GI2284" s="8"/>
      <c r="GJ2284" s="8"/>
      <c r="GK2284" s="8"/>
      <c r="GL2284" s="8"/>
      <c r="GM2284" s="8"/>
      <c r="GN2284" s="8"/>
      <c r="GO2284" s="8"/>
      <c r="GP2284" s="8"/>
      <c r="GQ2284" s="8"/>
      <c r="GR2284" s="8"/>
      <c r="GS2284" s="8"/>
      <c r="GT2284" s="8"/>
      <c r="GU2284" s="8"/>
      <c r="GV2284" s="8"/>
      <c r="GW2284" s="8"/>
      <c r="GX2284" s="8"/>
    </row>
    <row r="2285">
      <c r="A2285" s="8" t="str">
        <f>IFERROR(__xludf.DUMMYFUNCTION("""COMPUTED_VALUE"""),"100428520160600750")</f>
        <v>100428520160600750</v>
      </c>
      <c r="B2285" s="9" t="str">
        <f>IFERROR(__xludf.DUMMYFUNCTION("""COMPUTED_VALUE"""),"Australia")</f>
        <v>Australia</v>
      </c>
      <c r="C2285" s="9" t="str">
        <f>IFERROR(__xludf.DUMMYFUNCTION("""COMPUTED_VALUE"""),"south australia")</f>
        <v>south australia</v>
      </c>
      <c r="D2285" s="9" t="str">
        <f>IFERROR(__xludf.DUMMYFUNCTION("""COMPUTED_VALUE"""),"Penfolds, Grange, South Australia")</f>
        <v>Penfolds, Grange, South Australia</v>
      </c>
      <c r="E2285" s="9">
        <f>IFERROR(__xludf.DUMMYFUNCTION("""COMPUTED_VALUE"""),2016.0)</f>
        <v>2016</v>
      </c>
      <c r="F2285" s="9">
        <f>IFERROR(__xludf.DUMMYFUNCTION("""COMPUTED_VALUE"""),750.0)</f>
        <v>750</v>
      </c>
      <c r="G2285" s="9">
        <f>IFERROR(__xludf.DUMMYFUNCTION("""COMPUTED_VALUE"""),6.0)</f>
        <v>6</v>
      </c>
      <c r="H2285" s="10">
        <f>IFERROR(__xludf.DUMMYFUNCTION("""COMPUTED_VALUE"""),5.0)</f>
        <v>5</v>
      </c>
      <c r="I2285" s="11">
        <f>IFERROR(__xludf.DUMMYFUNCTION("""COMPUTED_VALUE"""),2799.0)</f>
        <v>2799</v>
      </c>
      <c r="J2285" s="9" t="str">
        <f>IFERROR(__xludf.DUMMYFUNCTION("""COMPUTED_VALUE"""),"UK")</f>
        <v>UK</v>
      </c>
      <c r="K2285" s="8"/>
      <c r="L2285" s="12"/>
      <c r="M2285" s="13"/>
      <c r="N2285" s="13" t="str">
        <f>IFERROR(__xludf.DUMMYFUNCTION("IF(ISBLANK(M2285),"""",M2285*GOOGLEFINANCE(""USDGBP""))"),"")</f>
        <v/>
      </c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  <c r="FG2285" s="8"/>
      <c r="FH2285" s="8"/>
      <c r="FI2285" s="8"/>
      <c r="FJ2285" s="8"/>
      <c r="FK2285" s="8"/>
      <c r="FL2285" s="8"/>
      <c r="FM2285" s="8"/>
      <c r="FN2285" s="8"/>
      <c r="FO2285" s="8"/>
      <c r="FP2285" s="8"/>
      <c r="FQ2285" s="8"/>
      <c r="FR2285" s="8"/>
      <c r="FS2285" s="8"/>
      <c r="FT2285" s="8"/>
      <c r="FU2285" s="8"/>
      <c r="FV2285" s="8"/>
      <c r="FW2285" s="8"/>
      <c r="FX2285" s="8"/>
      <c r="FY2285" s="8"/>
      <c r="FZ2285" s="8"/>
      <c r="GA2285" s="8"/>
      <c r="GB2285" s="8"/>
      <c r="GC2285" s="8"/>
      <c r="GD2285" s="8"/>
      <c r="GE2285" s="8"/>
      <c r="GF2285" s="8"/>
      <c r="GG2285" s="8"/>
      <c r="GH2285" s="8"/>
      <c r="GI2285" s="8"/>
      <c r="GJ2285" s="8"/>
      <c r="GK2285" s="8"/>
      <c r="GL2285" s="8"/>
      <c r="GM2285" s="8"/>
      <c r="GN2285" s="8"/>
      <c r="GO2285" s="8"/>
      <c r="GP2285" s="8"/>
      <c r="GQ2285" s="8"/>
      <c r="GR2285" s="8"/>
      <c r="GS2285" s="8"/>
      <c r="GT2285" s="8"/>
      <c r="GU2285" s="8"/>
      <c r="GV2285" s="8"/>
      <c r="GW2285" s="8"/>
      <c r="GX2285" s="8"/>
    </row>
    <row r="2286">
      <c r="A2286" s="8" t="str">
        <f>IFERROR(__xludf.DUMMYFUNCTION("""COMPUTED_VALUE"""),"100428520170600750")</f>
        <v>100428520170600750</v>
      </c>
      <c r="B2286" s="9" t="str">
        <f>IFERROR(__xludf.DUMMYFUNCTION("""COMPUTED_VALUE"""),"Australia")</f>
        <v>Australia</v>
      </c>
      <c r="C2286" s="9" t="str">
        <f>IFERROR(__xludf.DUMMYFUNCTION("""COMPUTED_VALUE"""),"south australia")</f>
        <v>south australia</v>
      </c>
      <c r="D2286" s="9" t="str">
        <f>IFERROR(__xludf.DUMMYFUNCTION("""COMPUTED_VALUE"""),"Penfolds, Grange, South Australia")</f>
        <v>Penfolds, Grange, South Australia</v>
      </c>
      <c r="E2286" s="9">
        <f>IFERROR(__xludf.DUMMYFUNCTION("""COMPUTED_VALUE"""),2017.0)</f>
        <v>2017</v>
      </c>
      <c r="F2286" s="9">
        <f>IFERROR(__xludf.DUMMYFUNCTION("""COMPUTED_VALUE"""),750.0)</f>
        <v>750</v>
      </c>
      <c r="G2286" s="9">
        <f>IFERROR(__xludf.DUMMYFUNCTION("""COMPUTED_VALUE"""),6.0)</f>
        <v>6</v>
      </c>
      <c r="H2286" s="10">
        <f>IFERROR(__xludf.DUMMYFUNCTION("""COMPUTED_VALUE"""),9.0)</f>
        <v>9</v>
      </c>
      <c r="I2286" s="11">
        <f>IFERROR(__xludf.DUMMYFUNCTION("""COMPUTED_VALUE"""),2351.0)</f>
        <v>2351</v>
      </c>
      <c r="J2286" s="9" t="str">
        <f>IFERROR(__xludf.DUMMYFUNCTION("""COMPUTED_VALUE"""),"UK")</f>
        <v>UK</v>
      </c>
      <c r="K2286" s="8"/>
      <c r="L2286" s="12"/>
      <c r="M2286" s="13"/>
      <c r="N2286" s="13" t="str">
        <f>IFERROR(__xludf.DUMMYFUNCTION("IF(ISBLANK(M2286),"""",M2286*GOOGLEFINANCE(""USDGBP""))"),"")</f>
        <v/>
      </c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  <c r="FG2286" s="8"/>
      <c r="FH2286" s="8"/>
      <c r="FI2286" s="8"/>
      <c r="FJ2286" s="8"/>
      <c r="FK2286" s="8"/>
      <c r="FL2286" s="8"/>
      <c r="FM2286" s="8"/>
      <c r="FN2286" s="8"/>
      <c r="FO2286" s="8"/>
      <c r="FP2286" s="8"/>
      <c r="FQ2286" s="8"/>
      <c r="FR2286" s="8"/>
      <c r="FS2286" s="8"/>
      <c r="FT2286" s="8"/>
      <c r="FU2286" s="8"/>
      <c r="FV2286" s="8"/>
      <c r="FW2286" s="8"/>
      <c r="FX2286" s="8"/>
      <c r="FY2286" s="8"/>
      <c r="FZ2286" s="8"/>
      <c r="GA2286" s="8"/>
      <c r="GB2286" s="8"/>
      <c r="GC2286" s="8"/>
      <c r="GD2286" s="8"/>
      <c r="GE2286" s="8"/>
      <c r="GF2286" s="8"/>
      <c r="GG2286" s="8"/>
      <c r="GH2286" s="8"/>
      <c r="GI2286" s="8"/>
      <c r="GJ2286" s="8"/>
      <c r="GK2286" s="8"/>
      <c r="GL2286" s="8"/>
      <c r="GM2286" s="8"/>
      <c r="GN2286" s="8"/>
      <c r="GO2286" s="8"/>
      <c r="GP2286" s="8"/>
      <c r="GQ2286" s="8"/>
      <c r="GR2286" s="8"/>
      <c r="GS2286" s="8"/>
      <c r="GT2286" s="8"/>
      <c r="GU2286" s="8"/>
      <c r="GV2286" s="8"/>
      <c r="GW2286" s="8"/>
      <c r="GX2286" s="8"/>
    </row>
    <row r="2287">
      <c r="A2287" s="8" t="str">
        <f>IFERROR(__xludf.DUMMYFUNCTION("""COMPUTED_VALUE"""),"100431520160600750")</f>
        <v>100431520160600750</v>
      </c>
      <c r="B2287" s="9" t="str">
        <f>IFERROR(__xludf.DUMMYFUNCTION("""COMPUTED_VALUE"""),"Australia")</f>
        <v>Australia</v>
      </c>
      <c r="C2287" s="9" t="str">
        <f>IFERROR(__xludf.DUMMYFUNCTION("""COMPUTED_VALUE"""),"south australia")</f>
        <v>south australia</v>
      </c>
      <c r="D2287" s="9" t="str">
        <f>IFERROR(__xludf.DUMMYFUNCTION("""COMPUTED_VALUE"""),"Penfolds, Magill Estate Shiraz, Adelaide Plains")</f>
        <v>Penfolds, Magill Estate Shiraz, Adelaide Plains</v>
      </c>
      <c r="E2287" s="9">
        <f>IFERROR(__xludf.DUMMYFUNCTION("""COMPUTED_VALUE"""),2016.0)</f>
        <v>2016</v>
      </c>
      <c r="F2287" s="9">
        <f>IFERROR(__xludf.DUMMYFUNCTION("""COMPUTED_VALUE"""),750.0)</f>
        <v>750</v>
      </c>
      <c r="G2287" s="9">
        <f>IFERROR(__xludf.DUMMYFUNCTION("""COMPUTED_VALUE"""),6.0)</f>
        <v>6</v>
      </c>
      <c r="H2287" s="10">
        <f>IFERROR(__xludf.DUMMYFUNCTION("""COMPUTED_VALUE"""),1.0)</f>
        <v>1</v>
      </c>
      <c r="I2287" s="11">
        <f>IFERROR(__xludf.DUMMYFUNCTION("""COMPUTED_VALUE"""),607.0)</f>
        <v>607</v>
      </c>
      <c r="J2287" s="9" t="str">
        <f>IFERROR(__xludf.DUMMYFUNCTION("""COMPUTED_VALUE"""),"UK")</f>
        <v>UK</v>
      </c>
      <c r="K2287" s="8"/>
      <c r="L2287" s="12"/>
      <c r="M2287" s="13"/>
      <c r="N2287" s="13" t="str">
        <f>IFERROR(__xludf.DUMMYFUNCTION("IF(ISBLANK(M2287),"""",M2287*GOOGLEFINANCE(""USDGBP""))"),"")</f>
        <v/>
      </c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  <c r="FG2287" s="8"/>
      <c r="FH2287" s="8"/>
      <c r="FI2287" s="8"/>
      <c r="FJ2287" s="8"/>
      <c r="FK2287" s="8"/>
      <c r="FL2287" s="8"/>
      <c r="FM2287" s="8"/>
      <c r="FN2287" s="8"/>
      <c r="FO2287" s="8"/>
      <c r="FP2287" s="8"/>
      <c r="FQ2287" s="8"/>
      <c r="FR2287" s="8"/>
      <c r="FS2287" s="8"/>
      <c r="FT2287" s="8"/>
      <c r="FU2287" s="8"/>
      <c r="FV2287" s="8"/>
      <c r="FW2287" s="8"/>
      <c r="FX2287" s="8"/>
      <c r="FY2287" s="8"/>
      <c r="FZ2287" s="8"/>
      <c r="GA2287" s="8"/>
      <c r="GB2287" s="8"/>
      <c r="GC2287" s="8"/>
      <c r="GD2287" s="8"/>
      <c r="GE2287" s="8"/>
      <c r="GF2287" s="8"/>
      <c r="GG2287" s="8"/>
      <c r="GH2287" s="8"/>
      <c r="GI2287" s="8"/>
      <c r="GJ2287" s="8"/>
      <c r="GK2287" s="8"/>
      <c r="GL2287" s="8"/>
      <c r="GM2287" s="8"/>
      <c r="GN2287" s="8"/>
      <c r="GO2287" s="8"/>
      <c r="GP2287" s="8"/>
      <c r="GQ2287" s="8"/>
      <c r="GR2287" s="8"/>
      <c r="GS2287" s="8"/>
      <c r="GT2287" s="8"/>
      <c r="GU2287" s="8"/>
      <c r="GV2287" s="8"/>
      <c r="GW2287" s="8"/>
      <c r="GX2287" s="8"/>
    </row>
    <row r="2288">
      <c r="A2288" s="8" t="str">
        <f>IFERROR(__xludf.DUMMYFUNCTION("""COMPUTED_VALUE"""),"100434420140600750")</f>
        <v>100434420140600750</v>
      </c>
      <c r="B2288" s="9" t="str">
        <f>IFERROR(__xludf.DUMMYFUNCTION("""COMPUTED_VALUE"""),"Australia")</f>
        <v>Australia</v>
      </c>
      <c r="C2288" s="9" t="str">
        <f>IFERROR(__xludf.DUMMYFUNCTION("""COMPUTED_VALUE"""),"south australia")</f>
        <v>south australia</v>
      </c>
      <c r="D2288" s="9" t="str">
        <f>IFERROR(__xludf.DUMMYFUNCTION("""COMPUTED_VALUE"""),"Penfolds, St. Henri Shiraz, South Australia")</f>
        <v>Penfolds, St. Henri Shiraz, South Australia</v>
      </c>
      <c r="E2288" s="9">
        <f>IFERROR(__xludf.DUMMYFUNCTION("""COMPUTED_VALUE"""),2014.0)</f>
        <v>2014</v>
      </c>
      <c r="F2288" s="9">
        <f>IFERROR(__xludf.DUMMYFUNCTION("""COMPUTED_VALUE"""),750.0)</f>
        <v>750</v>
      </c>
      <c r="G2288" s="9">
        <f>IFERROR(__xludf.DUMMYFUNCTION("""COMPUTED_VALUE"""),6.0)</f>
        <v>6</v>
      </c>
      <c r="H2288" s="10">
        <f>IFERROR(__xludf.DUMMYFUNCTION("""COMPUTED_VALUE"""),1.0)</f>
        <v>1</v>
      </c>
      <c r="I2288" s="11">
        <f>IFERROR(__xludf.DUMMYFUNCTION("""COMPUTED_VALUE"""),386.0)</f>
        <v>386</v>
      </c>
      <c r="J2288" s="9" t="str">
        <f>IFERROR(__xludf.DUMMYFUNCTION("""COMPUTED_VALUE"""),"UK")</f>
        <v>UK</v>
      </c>
      <c r="K2288" s="8"/>
      <c r="L2288" s="12"/>
      <c r="M2288" s="13"/>
      <c r="N2288" s="13" t="str">
        <f>IFERROR(__xludf.DUMMYFUNCTION("IF(ISBLANK(M2288),"""",M2288*GOOGLEFINANCE(""USDGBP""))"),"")</f>
        <v/>
      </c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  <c r="FG2288" s="8"/>
      <c r="FH2288" s="8"/>
      <c r="FI2288" s="8"/>
      <c r="FJ2288" s="8"/>
      <c r="FK2288" s="8"/>
      <c r="FL2288" s="8"/>
      <c r="FM2288" s="8"/>
      <c r="FN2288" s="8"/>
      <c r="FO2288" s="8"/>
      <c r="FP2288" s="8"/>
      <c r="FQ2288" s="8"/>
      <c r="FR2288" s="8"/>
      <c r="FS2288" s="8"/>
      <c r="FT2288" s="8"/>
      <c r="FU2288" s="8"/>
      <c r="FV2288" s="8"/>
      <c r="FW2288" s="8"/>
      <c r="FX2288" s="8"/>
      <c r="FY2288" s="8"/>
      <c r="FZ2288" s="8"/>
      <c r="GA2288" s="8"/>
      <c r="GB2288" s="8"/>
      <c r="GC2288" s="8"/>
      <c r="GD2288" s="8"/>
      <c r="GE2288" s="8"/>
      <c r="GF2288" s="8"/>
      <c r="GG2288" s="8"/>
      <c r="GH2288" s="8"/>
      <c r="GI2288" s="8"/>
      <c r="GJ2288" s="8"/>
      <c r="GK2288" s="8"/>
      <c r="GL2288" s="8"/>
      <c r="GM2288" s="8"/>
      <c r="GN2288" s="8"/>
      <c r="GO2288" s="8"/>
      <c r="GP2288" s="8"/>
      <c r="GQ2288" s="8"/>
      <c r="GR2288" s="8"/>
      <c r="GS2288" s="8"/>
      <c r="GT2288" s="8"/>
      <c r="GU2288" s="8"/>
      <c r="GV2288" s="8"/>
      <c r="GW2288" s="8"/>
      <c r="GX2288" s="8"/>
    </row>
    <row r="2289">
      <c r="A2289" s="8" t="str">
        <f>IFERROR(__xludf.DUMMYFUNCTION("""COMPUTED_VALUE"""),"100507720150600750")</f>
        <v>100507720150600750</v>
      </c>
      <c r="B2289" s="9" t="str">
        <f>IFERROR(__xludf.DUMMYFUNCTION("""COMPUTED_VALUE"""),"Australia")</f>
        <v>Australia</v>
      </c>
      <c r="C2289" s="9" t="str">
        <f>IFERROR(__xludf.DUMMYFUNCTION("""COMPUTED_VALUE"""),"south australia")</f>
        <v>south australia</v>
      </c>
      <c r="D2289" s="9" t="str">
        <f>IFERROR(__xludf.DUMMYFUNCTION("""COMPUTED_VALUE"""),"Torbreck, RunRig, Barossa Valley")</f>
        <v>Torbreck, RunRig, Barossa Valley</v>
      </c>
      <c r="E2289" s="9">
        <f>IFERROR(__xludf.DUMMYFUNCTION("""COMPUTED_VALUE"""),2015.0)</f>
        <v>2015</v>
      </c>
      <c r="F2289" s="9">
        <f>IFERROR(__xludf.DUMMYFUNCTION("""COMPUTED_VALUE"""),750.0)</f>
        <v>750</v>
      </c>
      <c r="G2289" s="9">
        <f>IFERROR(__xludf.DUMMYFUNCTION("""COMPUTED_VALUE"""),6.0)</f>
        <v>6</v>
      </c>
      <c r="H2289" s="10">
        <f>IFERROR(__xludf.DUMMYFUNCTION("""COMPUTED_VALUE"""),1.0)</f>
        <v>1</v>
      </c>
      <c r="I2289" s="11">
        <f>IFERROR(__xludf.DUMMYFUNCTION("""COMPUTED_VALUE"""),840.0)</f>
        <v>840</v>
      </c>
      <c r="J2289" s="9" t="str">
        <f>IFERROR(__xludf.DUMMYFUNCTION("""COMPUTED_VALUE"""),"UK")</f>
        <v>UK</v>
      </c>
      <c r="K2289" s="8"/>
      <c r="L2289" s="12"/>
      <c r="M2289" s="13"/>
      <c r="N2289" s="13" t="str">
        <f>IFERROR(__xludf.DUMMYFUNCTION("IF(ISBLANK(M2289),"""",M2289*GOOGLEFINANCE(""USDGBP""))"),"")</f>
        <v/>
      </c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  <c r="FG2289" s="8"/>
      <c r="FH2289" s="8"/>
      <c r="FI2289" s="8"/>
      <c r="FJ2289" s="8"/>
      <c r="FK2289" s="8"/>
      <c r="FL2289" s="8"/>
      <c r="FM2289" s="8"/>
      <c r="FN2289" s="8"/>
      <c r="FO2289" s="8"/>
      <c r="FP2289" s="8"/>
      <c r="FQ2289" s="8"/>
      <c r="FR2289" s="8"/>
      <c r="FS2289" s="8"/>
      <c r="FT2289" s="8"/>
      <c r="FU2289" s="8"/>
      <c r="FV2289" s="8"/>
      <c r="FW2289" s="8"/>
      <c r="FX2289" s="8"/>
      <c r="FY2289" s="8"/>
      <c r="FZ2289" s="8"/>
      <c r="GA2289" s="8"/>
      <c r="GB2289" s="8"/>
      <c r="GC2289" s="8"/>
      <c r="GD2289" s="8"/>
      <c r="GE2289" s="8"/>
      <c r="GF2289" s="8"/>
      <c r="GG2289" s="8"/>
      <c r="GH2289" s="8"/>
      <c r="GI2289" s="8"/>
      <c r="GJ2289" s="8"/>
      <c r="GK2289" s="8"/>
      <c r="GL2289" s="8"/>
      <c r="GM2289" s="8"/>
      <c r="GN2289" s="8"/>
      <c r="GO2289" s="8"/>
      <c r="GP2289" s="8"/>
      <c r="GQ2289" s="8"/>
      <c r="GR2289" s="8"/>
      <c r="GS2289" s="8"/>
      <c r="GT2289" s="8"/>
      <c r="GU2289" s="8"/>
      <c r="GV2289" s="8"/>
      <c r="GW2289" s="8"/>
      <c r="GX2289" s="8"/>
    </row>
    <row r="2290">
      <c r="A2290" s="8" t="str">
        <f>IFERROR(__xludf.DUMMYFUNCTION("""COMPUTED_VALUE"""),"100505120150300750")</f>
        <v>100505120150300750</v>
      </c>
      <c r="B2290" s="9" t="str">
        <f>IFERROR(__xludf.DUMMYFUNCTION("""COMPUTED_VALUE"""),"Australia")</f>
        <v>Australia</v>
      </c>
      <c r="C2290" s="9" t="str">
        <f>IFERROR(__xludf.DUMMYFUNCTION("""COMPUTED_VALUE"""),"south australia")</f>
        <v>south australia</v>
      </c>
      <c r="D2290" s="9" t="str">
        <f>IFERROR(__xludf.DUMMYFUNCTION("""COMPUTED_VALUE"""),"Torbreck, The Laird, Barossa Valley")</f>
        <v>Torbreck, The Laird, Barossa Valley</v>
      </c>
      <c r="E2290" s="9">
        <f>IFERROR(__xludf.DUMMYFUNCTION("""COMPUTED_VALUE"""),2015.0)</f>
        <v>2015</v>
      </c>
      <c r="F2290" s="9">
        <f>IFERROR(__xludf.DUMMYFUNCTION("""COMPUTED_VALUE"""),750.0)</f>
        <v>750</v>
      </c>
      <c r="G2290" s="9">
        <f>IFERROR(__xludf.DUMMYFUNCTION("""COMPUTED_VALUE"""),3.0)</f>
        <v>3</v>
      </c>
      <c r="H2290" s="10">
        <f>IFERROR(__xludf.DUMMYFUNCTION("""COMPUTED_VALUE"""),3.0)</f>
        <v>3</v>
      </c>
      <c r="I2290" s="11">
        <f>IFERROR(__xludf.DUMMYFUNCTION("""COMPUTED_VALUE"""),1397.0)</f>
        <v>1397</v>
      </c>
      <c r="J2290" s="9" t="str">
        <f>IFERROR(__xludf.DUMMYFUNCTION("""COMPUTED_VALUE"""),"UK")</f>
        <v>UK</v>
      </c>
      <c r="K2290" s="8"/>
      <c r="L2290" s="12"/>
      <c r="M2290" s="13"/>
      <c r="N2290" s="13" t="str">
        <f>IFERROR(__xludf.DUMMYFUNCTION("IF(ISBLANK(M2290),"""",M2290*GOOGLEFINANCE(""USDGBP""))"),"")</f>
        <v/>
      </c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  <c r="FG2290" s="8"/>
      <c r="FH2290" s="8"/>
      <c r="FI2290" s="8"/>
      <c r="FJ2290" s="8"/>
      <c r="FK2290" s="8"/>
      <c r="FL2290" s="8"/>
      <c r="FM2290" s="8"/>
      <c r="FN2290" s="8"/>
      <c r="FO2290" s="8"/>
      <c r="FP2290" s="8"/>
      <c r="FQ2290" s="8"/>
      <c r="FR2290" s="8"/>
      <c r="FS2290" s="8"/>
      <c r="FT2290" s="8"/>
      <c r="FU2290" s="8"/>
      <c r="FV2290" s="8"/>
      <c r="FW2290" s="8"/>
      <c r="FX2290" s="8"/>
      <c r="FY2290" s="8"/>
      <c r="FZ2290" s="8"/>
      <c r="GA2290" s="8"/>
      <c r="GB2290" s="8"/>
      <c r="GC2290" s="8"/>
      <c r="GD2290" s="8"/>
      <c r="GE2290" s="8"/>
      <c r="GF2290" s="8"/>
      <c r="GG2290" s="8"/>
      <c r="GH2290" s="8"/>
      <c r="GI2290" s="8"/>
      <c r="GJ2290" s="8"/>
      <c r="GK2290" s="8"/>
      <c r="GL2290" s="8"/>
      <c r="GM2290" s="8"/>
      <c r="GN2290" s="8"/>
      <c r="GO2290" s="8"/>
      <c r="GP2290" s="8"/>
      <c r="GQ2290" s="8"/>
      <c r="GR2290" s="8"/>
      <c r="GS2290" s="8"/>
      <c r="GT2290" s="8"/>
      <c r="GU2290" s="8"/>
      <c r="GV2290" s="8"/>
      <c r="GW2290" s="8"/>
      <c r="GX2290" s="8"/>
    </row>
    <row r="2291">
      <c r="A2291" s="8" t="str">
        <f>IFERROR(__xludf.DUMMYFUNCTION("""COMPUTED_VALUE"""),"100505120160300750")</f>
        <v>100505120160300750</v>
      </c>
      <c r="B2291" s="9" t="str">
        <f>IFERROR(__xludf.DUMMYFUNCTION("""COMPUTED_VALUE"""),"Australia")</f>
        <v>Australia</v>
      </c>
      <c r="C2291" s="9" t="str">
        <f>IFERROR(__xludf.DUMMYFUNCTION("""COMPUTED_VALUE"""),"south australia")</f>
        <v>south australia</v>
      </c>
      <c r="D2291" s="9" t="str">
        <f>IFERROR(__xludf.DUMMYFUNCTION("""COMPUTED_VALUE"""),"Torbreck, The Laird, Barossa Valley")</f>
        <v>Torbreck, The Laird, Barossa Valley</v>
      </c>
      <c r="E2291" s="9">
        <f>IFERROR(__xludf.DUMMYFUNCTION("""COMPUTED_VALUE"""),2016.0)</f>
        <v>2016</v>
      </c>
      <c r="F2291" s="9">
        <f>IFERROR(__xludf.DUMMYFUNCTION("""COMPUTED_VALUE"""),750.0)</f>
        <v>750</v>
      </c>
      <c r="G2291" s="9">
        <f>IFERROR(__xludf.DUMMYFUNCTION("""COMPUTED_VALUE"""),3.0)</f>
        <v>3</v>
      </c>
      <c r="H2291" s="10">
        <f>IFERROR(__xludf.DUMMYFUNCTION("""COMPUTED_VALUE"""),1.0)</f>
        <v>1</v>
      </c>
      <c r="I2291" s="11">
        <f>IFERROR(__xludf.DUMMYFUNCTION("""COMPUTED_VALUE"""),1339.0)</f>
        <v>1339</v>
      </c>
      <c r="J2291" s="9" t="str">
        <f>IFERROR(__xludf.DUMMYFUNCTION("""COMPUTED_VALUE"""),"UK")</f>
        <v>UK</v>
      </c>
      <c r="K2291" s="8"/>
      <c r="L2291" s="12"/>
      <c r="M2291" s="13"/>
      <c r="N2291" s="13" t="str">
        <f>IFERROR(__xludf.DUMMYFUNCTION("IF(ISBLANK(M2291),"""",M2291*GOOGLEFINANCE(""USDGBP""))"),"")</f>
        <v/>
      </c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  <c r="FG2291" s="8"/>
      <c r="FH2291" s="8"/>
      <c r="FI2291" s="8"/>
      <c r="FJ2291" s="8"/>
      <c r="FK2291" s="8"/>
      <c r="FL2291" s="8"/>
      <c r="FM2291" s="8"/>
      <c r="FN2291" s="8"/>
      <c r="FO2291" s="8"/>
      <c r="FP2291" s="8"/>
      <c r="FQ2291" s="8"/>
      <c r="FR2291" s="8"/>
      <c r="FS2291" s="8"/>
      <c r="FT2291" s="8"/>
      <c r="FU2291" s="8"/>
      <c r="FV2291" s="8"/>
      <c r="FW2291" s="8"/>
      <c r="FX2291" s="8"/>
      <c r="FY2291" s="8"/>
      <c r="FZ2291" s="8"/>
      <c r="GA2291" s="8"/>
      <c r="GB2291" s="8"/>
      <c r="GC2291" s="8"/>
      <c r="GD2291" s="8"/>
      <c r="GE2291" s="8"/>
      <c r="GF2291" s="8"/>
      <c r="GG2291" s="8"/>
      <c r="GH2291" s="8"/>
      <c r="GI2291" s="8"/>
      <c r="GJ2291" s="8"/>
      <c r="GK2291" s="8"/>
      <c r="GL2291" s="8"/>
      <c r="GM2291" s="8"/>
      <c r="GN2291" s="8"/>
      <c r="GO2291" s="8"/>
      <c r="GP2291" s="8"/>
      <c r="GQ2291" s="8"/>
      <c r="GR2291" s="8"/>
      <c r="GS2291" s="8"/>
      <c r="GT2291" s="8"/>
      <c r="GU2291" s="8"/>
      <c r="GV2291" s="8"/>
      <c r="GW2291" s="8"/>
      <c r="GX2291" s="8"/>
    </row>
    <row r="2292">
      <c r="A2292" s="8" t="str">
        <f>IFERROR(__xludf.DUMMYFUNCTION("""COMPUTED_VALUE"""),"100508020051200750")</f>
        <v>100508020051200750</v>
      </c>
      <c r="B2292" s="9" t="str">
        <f>IFERROR(__xludf.DUMMYFUNCTION("""COMPUTED_VALUE"""),"Australia")</f>
        <v>Australia</v>
      </c>
      <c r="C2292" s="9" t="str">
        <f>IFERROR(__xludf.DUMMYFUNCTION("""COMPUTED_VALUE"""),"south australia")</f>
        <v>south australia</v>
      </c>
      <c r="D2292" s="9" t="str">
        <f>IFERROR(__xludf.DUMMYFUNCTION("""COMPUTED_VALUE"""),"Torbreck, The Steading, Barossa Valley")</f>
        <v>Torbreck, The Steading, Barossa Valley</v>
      </c>
      <c r="E2292" s="9">
        <f>IFERROR(__xludf.DUMMYFUNCTION("""COMPUTED_VALUE"""),2005.0)</f>
        <v>2005</v>
      </c>
      <c r="F2292" s="9">
        <f>IFERROR(__xludf.DUMMYFUNCTION("""COMPUTED_VALUE"""),750.0)</f>
        <v>750</v>
      </c>
      <c r="G2292" s="9">
        <f>IFERROR(__xludf.DUMMYFUNCTION("""COMPUTED_VALUE"""),12.0)</f>
        <v>12</v>
      </c>
      <c r="H2292" s="10">
        <f>IFERROR(__xludf.DUMMYFUNCTION("""COMPUTED_VALUE"""),2.0)</f>
        <v>2</v>
      </c>
      <c r="I2292" s="11">
        <f>IFERROR(__xludf.DUMMYFUNCTION("""COMPUTED_VALUE"""),769.0)</f>
        <v>769</v>
      </c>
      <c r="J2292" s="9" t="str">
        <f>IFERROR(__xludf.DUMMYFUNCTION("""COMPUTED_VALUE"""),"UK")</f>
        <v>UK</v>
      </c>
      <c r="K2292" s="8"/>
      <c r="L2292" s="12"/>
      <c r="M2292" s="13"/>
      <c r="N2292" s="13" t="str">
        <f>IFERROR(__xludf.DUMMYFUNCTION("IF(ISBLANK(M2292),"""",M2292*GOOGLEFINANCE(""USDGBP""))"),"")</f>
        <v/>
      </c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  <c r="FG2292" s="8"/>
      <c r="FH2292" s="8"/>
      <c r="FI2292" s="8"/>
      <c r="FJ2292" s="8"/>
      <c r="FK2292" s="8"/>
      <c r="FL2292" s="8"/>
      <c r="FM2292" s="8"/>
      <c r="FN2292" s="8"/>
      <c r="FO2292" s="8"/>
      <c r="FP2292" s="8"/>
      <c r="FQ2292" s="8"/>
      <c r="FR2292" s="8"/>
      <c r="FS2292" s="8"/>
      <c r="FT2292" s="8"/>
      <c r="FU2292" s="8"/>
      <c r="FV2292" s="8"/>
      <c r="FW2292" s="8"/>
      <c r="FX2292" s="8"/>
      <c r="FY2292" s="8"/>
      <c r="FZ2292" s="8"/>
      <c r="GA2292" s="8"/>
      <c r="GB2292" s="8"/>
      <c r="GC2292" s="8"/>
      <c r="GD2292" s="8"/>
      <c r="GE2292" s="8"/>
      <c r="GF2292" s="8"/>
      <c r="GG2292" s="8"/>
      <c r="GH2292" s="8"/>
      <c r="GI2292" s="8"/>
      <c r="GJ2292" s="8"/>
      <c r="GK2292" s="8"/>
      <c r="GL2292" s="8"/>
      <c r="GM2292" s="8"/>
      <c r="GN2292" s="8"/>
      <c r="GO2292" s="8"/>
      <c r="GP2292" s="8"/>
      <c r="GQ2292" s="8"/>
      <c r="GR2292" s="8"/>
      <c r="GS2292" s="8"/>
      <c r="GT2292" s="8"/>
      <c r="GU2292" s="8"/>
      <c r="GV2292" s="8"/>
      <c r="GW2292" s="8"/>
      <c r="GX2292" s="8"/>
    </row>
    <row r="2293">
      <c r="A2293" s="8" t="str">
        <f>IFERROR(__xludf.DUMMYFUNCTION("""COMPUTED_VALUE"""),"100515220040300750")</f>
        <v>100515220040300750</v>
      </c>
      <c r="B2293" s="9" t="str">
        <f>IFERROR(__xludf.DUMMYFUNCTION("""COMPUTED_VALUE"""),"Australia")</f>
        <v>Australia</v>
      </c>
      <c r="C2293" s="9" t="str">
        <f>IFERROR(__xludf.DUMMYFUNCTION("""COMPUTED_VALUE"""),"south australia")</f>
        <v>south australia</v>
      </c>
      <c r="D2293" s="9" t="str">
        <f>IFERROR(__xludf.DUMMYFUNCTION("""COMPUTED_VALUE"""),"Two Hands, Aphrodite, Barossa Valley")</f>
        <v>Two Hands, Aphrodite, Barossa Valley</v>
      </c>
      <c r="E2293" s="9">
        <f>IFERROR(__xludf.DUMMYFUNCTION("""COMPUTED_VALUE"""),2004.0)</f>
        <v>2004</v>
      </c>
      <c r="F2293" s="9">
        <f>IFERROR(__xludf.DUMMYFUNCTION("""COMPUTED_VALUE"""),750.0)</f>
        <v>750</v>
      </c>
      <c r="G2293" s="9">
        <f>IFERROR(__xludf.DUMMYFUNCTION("""COMPUTED_VALUE"""),3.0)</f>
        <v>3</v>
      </c>
      <c r="H2293" s="10">
        <f>IFERROR(__xludf.DUMMYFUNCTION("""COMPUTED_VALUE"""),1.0)</f>
        <v>1</v>
      </c>
      <c r="I2293" s="11">
        <f>IFERROR(__xludf.DUMMYFUNCTION("""COMPUTED_VALUE"""),554.0)</f>
        <v>554</v>
      </c>
      <c r="J2293" s="9" t="str">
        <f>IFERROR(__xludf.DUMMYFUNCTION("""COMPUTED_VALUE"""),"UK")</f>
        <v>UK</v>
      </c>
      <c r="K2293" s="8"/>
      <c r="L2293" s="12"/>
      <c r="M2293" s="13"/>
      <c r="N2293" s="13" t="str">
        <f>IFERROR(__xludf.DUMMYFUNCTION("IF(ISBLANK(M2293),"""",M2293*GOOGLEFINANCE(""USDGBP""))"),"")</f>
        <v/>
      </c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  <c r="FG2293" s="8"/>
      <c r="FH2293" s="8"/>
      <c r="FI2293" s="8"/>
      <c r="FJ2293" s="8"/>
      <c r="FK2293" s="8"/>
      <c r="FL2293" s="8"/>
      <c r="FM2293" s="8"/>
      <c r="FN2293" s="8"/>
      <c r="FO2293" s="8"/>
      <c r="FP2293" s="8"/>
      <c r="FQ2293" s="8"/>
      <c r="FR2293" s="8"/>
      <c r="FS2293" s="8"/>
      <c r="FT2293" s="8"/>
      <c r="FU2293" s="8"/>
      <c r="FV2293" s="8"/>
      <c r="FW2293" s="8"/>
      <c r="FX2293" s="8"/>
      <c r="FY2293" s="8"/>
      <c r="FZ2293" s="8"/>
      <c r="GA2293" s="8"/>
      <c r="GB2293" s="8"/>
      <c r="GC2293" s="8"/>
      <c r="GD2293" s="8"/>
      <c r="GE2293" s="8"/>
      <c r="GF2293" s="8"/>
      <c r="GG2293" s="8"/>
      <c r="GH2293" s="8"/>
      <c r="GI2293" s="8"/>
      <c r="GJ2293" s="8"/>
      <c r="GK2293" s="8"/>
      <c r="GL2293" s="8"/>
      <c r="GM2293" s="8"/>
      <c r="GN2293" s="8"/>
      <c r="GO2293" s="8"/>
      <c r="GP2293" s="8"/>
      <c r="GQ2293" s="8"/>
      <c r="GR2293" s="8"/>
      <c r="GS2293" s="8"/>
      <c r="GT2293" s="8"/>
      <c r="GU2293" s="8"/>
      <c r="GV2293" s="8"/>
      <c r="GW2293" s="8"/>
      <c r="GX2293" s="8"/>
    </row>
    <row r="2294">
      <c r="A2294" s="8" t="str">
        <f>IFERROR(__xludf.DUMMYFUNCTION("""COMPUTED_VALUE"""),"114245720100600750")</f>
        <v>114245720100600750</v>
      </c>
      <c r="B2294" s="9" t="str">
        <f>IFERROR(__xludf.DUMMYFUNCTION("""COMPUTED_VALUE"""),"Australia")</f>
        <v>Australia</v>
      </c>
      <c r="C2294" s="9" t="str">
        <f>IFERROR(__xludf.DUMMYFUNCTION("""COMPUTED_VALUE"""),"south australia")</f>
        <v>south australia</v>
      </c>
      <c r="D2294" s="9" t="str">
        <f>IFERROR(__xludf.DUMMYFUNCTION("""COMPUTED_VALUE"""),"Two Hands, Coach House Block Shiraz, Barossa Valley")</f>
        <v>Two Hands, Coach House Block Shiraz, Barossa Valley</v>
      </c>
      <c r="E2294" s="9">
        <f>IFERROR(__xludf.DUMMYFUNCTION("""COMPUTED_VALUE"""),2010.0)</f>
        <v>2010</v>
      </c>
      <c r="F2294" s="9">
        <f>IFERROR(__xludf.DUMMYFUNCTION("""COMPUTED_VALUE"""),750.0)</f>
        <v>750</v>
      </c>
      <c r="G2294" s="9">
        <f>IFERROR(__xludf.DUMMYFUNCTION("""COMPUTED_VALUE"""),6.0)</f>
        <v>6</v>
      </c>
      <c r="H2294" s="10">
        <f>IFERROR(__xludf.DUMMYFUNCTION("""COMPUTED_VALUE"""),1.0)</f>
        <v>1</v>
      </c>
      <c r="I2294" s="11">
        <f>IFERROR(__xludf.DUMMYFUNCTION("""COMPUTED_VALUE"""),565.0)</f>
        <v>565</v>
      </c>
      <c r="J2294" s="9" t="str">
        <f>IFERROR(__xludf.DUMMYFUNCTION("""COMPUTED_VALUE"""),"UK")</f>
        <v>UK</v>
      </c>
      <c r="K2294" s="8"/>
      <c r="L2294" s="12"/>
      <c r="M2294" s="13"/>
      <c r="N2294" s="13" t="str">
        <f>IFERROR(__xludf.DUMMYFUNCTION("IF(ISBLANK(M2294),"""",M2294*GOOGLEFINANCE(""USDGBP""))"),"")</f>
        <v/>
      </c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  <c r="FG2294" s="8"/>
      <c r="FH2294" s="8"/>
      <c r="FI2294" s="8"/>
      <c r="FJ2294" s="8"/>
      <c r="FK2294" s="8"/>
      <c r="FL2294" s="8"/>
      <c r="FM2294" s="8"/>
      <c r="FN2294" s="8"/>
      <c r="FO2294" s="8"/>
      <c r="FP2294" s="8"/>
      <c r="FQ2294" s="8"/>
      <c r="FR2294" s="8"/>
      <c r="FS2294" s="8"/>
      <c r="FT2294" s="8"/>
      <c r="FU2294" s="8"/>
      <c r="FV2294" s="8"/>
      <c r="FW2294" s="8"/>
      <c r="FX2294" s="8"/>
      <c r="FY2294" s="8"/>
      <c r="FZ2294" s="8"/>
      <c r="GA2294" s="8"/>
      <c r="GB2294" s="8"/>
      <c r="GC2294" s="8"/>
      <c r="GD2294" s="8"/>
      <c r="GE2294" s="8"/>
      <c r="GF2294" s="8"/>
      <c r="GG2294" s="8"/>
      <c r="GH2294" s="8"/>
      <c r="GI2294" s="8"/>
      <c r="GJ2294" s="8"/>
      <c r="GK2294" s="8"/>
      <c r="GL2294" s="8"/>
      <c r="GM2294" s="8"/>
      <c r="GN2294" s="8"/>
      <c r="GO2294" s="8"/>
      <c r="GP2294" s="8"/>
      <c r="GQ2294" s="8"/>
      <c r="GR2294" s="8"/>
      <c r="GS2294" s="8"/>
      <c r="GT2294" s="8"/>
      <c r="GU2294" s="8"/>
      <c r="GV2294" s="8"/>
      <c r="GW2294" s="8"/>
      <c r="GX2294" s="8"/>
    </row>
    <row r="2295">
      <c r="A2295" s="8" t="str">
        <f>IFERROR(__xludf.DUMMYFUNCTION("""COMPUTED_VALUE"""),"146633720120300750")</f>
        <v>146633720120300750</v>
      </c>
      <c r="B2295" s="9" t="str">
        <f>IFERROR(__xludf.DUMMYFUNCTION("""COMPUTED_VALUE"""),"Australia")</f>
        <v>Australia</v>
      </c>
      <c r="C2295" s="9" t="str">
        <f>IFERROR(__xludf.DUMMYFUNCTION("""COMPUTED_VALUE"""),"south australia")</f>
        <v>south australia</v>
      </c>
      <c r="D2295" s="9" t="str">
        <f>IFERROR(__xludf.DUMMYFUNCTION("""COMPUTED_VALUE"""),"Yalumba, The Caley Cabernet &amp; Shiraz, South Australia")</f>
        <v>Yalumba, The Caley Cabernet &amp; Shiraz, South Australia</v>
      </c>
      <c r="E2295" s="9">
        <f>IFERROR(__xludf.DUMMYFUNCTION("""COMPUTED_VALUE"""),2012.0)</f>
        <v>2012</v>
      </c>
      <c r="F2295" s="9">
        <f>IFERROR(__xludf.DUMMYFUNCTION("""COMPUTED_VALUE"""),750.0)</f>
        <v>750</v>
      </c>
      <c r="G2295" s="9">
        <f>IFERROR(__xludf.DUMMYFUNCTION("""COMPUTED_VALUE"""),3.0)</f>
        <v>3</v>
      </c>
      <c r="H2295" s="10">
        <f>IFERROR(__xludf.DUMMYFUNCTION("""COMPUTED_VALUE"""),3.0)</f>
        <v>3</v>
      </c>
      <c r="I2295" s="11">
        <f>IFERROR(__xludf.DUMMYFUNCTION("""COMPUTED_VALUE"""),490.0)</f>
        <v>490</v>
      </c>
      <c r="J2295" s="9" t="str">
        <f>IFERROR(__xludf.DUMMYFUNCTION("""COMPUTED_VALUE"""),"UK")</f>
        <v>UK</v>
      </c>
      <c r="K2295" s="8"/>
      <c r="L2295" s="12"/>
      <c r="M2295" s="13"/>
      <c r="N2295" s="13" t="str">
        <f>IFERROR(__xludf.DUMMYFUNCTION("IF(ISBLANK(M2295),"""",M2295*GOOGLEFINANCE(""USDGBP""))"),"")</f>
        <v/>
      </c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  <c r="FG2295" s="8"/>
      <c r="FH2295" s="8"/>
      <c r="FI2295" s="8"/>
      <c r="FJ2295" s="8"/>
      <c r="FK2295" s="8"/>
      <c r="FL2295" s="8"/>
      <c r="FM2295" s="8"/>
      <c r="FN2295" s="8"/>
      <c r="FO2295" s="8"/>
      <c r="FP2295" s="8"/>
      <c r="FQ2295" s="8"/>
      <c r="FR2295" s="8"/>
      <c r="FS2295" s="8"/>
      <c r="FT2295" s="8"/>
      <c r="FU2295" s="8"/>
      <c r="FV2295" s="8"/>
      <c r="FW2295" s="8"/>
      <c r="FX2295" s="8"/>
      <c r="FY2295" s="8"/>
      <c r="FZ2295" s="8"/>
      <c r="GA2295" s="8"/>
      <c r="GB2295" s="8"/>
      <c r="GC2295" s="8"/>
      <c r="GD2295" s="8"/>
      <c r="GE2295" s="8"/>
      <c r="GF2295" s="8"/>
      <c r="GG2295" s="8"/>
      <c r="GH2295" s="8"/>
      <c r="GI2295" s="8"/>
      <c r="GJ2295" s="8"/>
      <c r="GK2295" s="8"/>
      <c r="GL2295" s="8"/>
      <c r="GM2295" s="8"/>
      <c r="GN2295" s="8"/>
      <c r="GO2295" s="8"/>
      <c r="GP2295" s="8"/>
      <c r="GQ2295" s="8"/>
      <c r="GR2295" s="8"/>
      <c r="GS2295" s="8"/>
      <c r="GT2295" s="8"/>
      <c r="GU2295" s="8"/>
      <c r="GV2295" s="8"/>
      <c r="GW2295" s="8"/>
      <c r="GX2295" s="8"/>
    </row>
    <row r="2296">
      <c r="A2296" s="8" t="str">
        <f>IFERROR(__xludf.DUMMYFUNCTION("""COMPUTED_VALUE"""),"146633720130300750")</f>
        <v>146633720130300750</v>
      </c>
      <c r="B2296" s="9" t="str">
        <f>IFERROR(__xludf.DUMMYFUNCTION("""COMPUTED_VALUE"""),"Australia")</f>
        <v>Australia</v>
      </c>
      <c r="C2296" s="9" t="str">
        <f>IFERROR(__xludf.DUMMYFUNCTION("""COMPUTED_VALUE"""),"south australia")</f>
        <v>south australia</v>
      </c>
      <c r="D2296" s="9" t="str">
        <f>IFERROR(__xludf.DUMMYFUNCTION("""COMPUTED_VALUE"""),"Yalumba, The Caley Cabernet &amp; Shiraz, South Australia")</f>
        <v>Yalumba, The Caley Cabernet &amp; Shiraz, South Australia</v>
      </c>
      <c r="E2296" s="9">
        <f>IFERROR(__xludf.DUMMYFUNCTION("""COMPUTED_VALUE"""),2013.0)</f>
        <v>2013</v>
      </c>
      <c r="F2296" s="9">
        <f>IFERROR(__xludf.DUMMYFUNCTION("""COMPUTED_VALUE"""),750.0)</f>
        <v>750</v>
      </c>
      <c r="G2296" s="9">
        <f>IFERROR(__xludf.DUMMYFUNCTION("""COMPUTED_VALUE"""),3.0)</f>
        <v>3</v>
      </c>
      <c r="H2296" s="10">
        <f>IFERROR(__xludf.DUMMYFUNCTION("""COMPUTED_VALUE"""),1.0)</f>
        <v>1</v>
      </c>
      <c r="I2296" s="11">
        <f>IFERROR(__xludf.DUMMYFUNCTION("""COMPUTED_VALUE"""),512.0)</f>
        <v>512</v>
      </c>
      <c r="J2296" s="9" t="str">
        <f>IFERROR(__xludf.DUMMYFUNCTION("""COMPUTED_VALUE"""),"UK")</f>
        <v>UK</v>
      </c>
      <c r="K2296" s="8"/>
      <c r="L2296" s="12"/>
      <c r="M2296" s="13"/>
      <c r="N2296" s="13" t="str">
        <f>IFERROR(__xludf.DUMMYFUNCTION("IF(ISBLANK(M2296),"""",M2296*GOOGLEFINANCE(""USDGBP""))"),"")</f>
        <v/>
      </c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  <c r="FG2296" s="8"/>
      <c r="FH2296" s="8"/>
      <c r="FI2296" s="8"/>
      <c r="FJ2296" s="8"/>
      <c r="FK2296" s="8"/>
      <c r="FL2296" s="8"/>
      <c r="FM2296" s="8"/>
      <c r="FN2296" s="8"/>
      <c r="FO2296" s="8"/>
      <c r="FP2296" s="8"/>
      <c r="FQ2296" s="8"/>
      <c r="FR2296" s="8"/>
      <c r="FS2296" s="8"/>
      <c r="FT2296" s="8"/>
      <c r="FU2296" s="8"/>
      <c r="FV2296" s="8"/>
      <c r="FW2296" s="8"/>
      <c r="FX2296" s="8"/>
      <c r="FY2296" s="8"/>
      <c r="FZ2296" s="8"/>
      <c r="GA2296" s="8"/>
      <c r="GB2296" s="8"/>
      <c r="GC2296" s="8"/>
      <c r="GD2296" s="8"/>
      <c r="GE2296" s="8"/>
      <c r="GF2296" s="8"/>
      <c r="GG2296" s="8"/>
      <c r="GH2296" s="8"/>
      <c r="GI2296" s="8"/>
      <c r="GJ2296" s="8"/>
      <c r="GK2296" s="8"/>
      <c r="GL2296" s="8"/>
      <c r="GM2296" s="8"/>
      <c r="GN2296" s="8"/>
      <c r="GO2296" s="8"/>
      <c r="GP2296" s="8"/>
      <c r="GQ2296" s="8"/>
      <c r="GR2296" s="8"/>
      <c r="GS2296" s="8"/>
      <c r="GT2296" s="8"/>
      <c r="GU2296" s="8"/>
      <c r="GV2296" s="8"/>
      <c r="GW2296" s="8"/>
      <c r="GX2296" s="8"/>
    </row>
    <row r="2297">
      <c r="A2297" s="8" t="str">
        <f>IFERROR(__xludf.DUMMYFUNCTION("""COMPUTED_VALUE"""),"109525820160600750")</f>
        <v>109525820160600750</v>
      </c>
      <c r="B2297" s="9" t="str">
        <f>IFERROR(__xludf.DUMMYFUNCTION("""COMPUTED_VALUE"""),"Italy")</f>
        <v>Italy</v>
      </c>
      <c r="C2297" s="9" t="str">
        <f>IFERROR(__xludf.DUMMYFUNCTION("""COMPUTED_VALUE"""),"tuscany")</f>
        <v>tuscany</v>
      </c>
      <c r="D2297" s="9" t="str">
        <f>IFERROR(__xludf.DUMMYFUNCTION("""COMPUTED_VALUE"""),"Altesino, Brunello di Montalcino")</f>
        <v>Altesino, Brunello di Montalcino</v>
      </c>
      <c r="E2297" s="9">
        <f>IFERROR(__xludf.DUMMYFUNCTION("""COMPUTED_VALUE"""),2016.0)</f>
        <v>2016</v>
      </c>
      <c r="F2297" s="9">
        <f>IFERROR(__xludf.DUMMYFUNCTION("""COMPUTED_VALUE"""),750.0)</f>
        <v>750</v>
      </c>
      <c r="G2297" s="9">
        <f>IFERROR(__xludf.DUMMYFUNCTION("""COMPUTED_VALUE"""),6.0)</f>
        <v>6</v>
      </c>
      <c r="H2297" s="10">
        <f>IFERROR(__xludf.DUMMYFUNCTION("""COMPUTED_VALUE"""),1.0)</f>
        <v>1</v>
      </c>
      <c r="I2297" s="11">
        <f>IFERROR(__xludf.DUMMYFUNCTION("""COMPUTED_VALUE"""),196.0)</f>
        <v>196</v>
      </c>
      <c r="J2297" s="9" t="str">
        <f>IFERROR(__xludf.DUMMYFUNCTION("""COMPUTED_VALUE"""),"UK")</f>
        <v>UK</v>
      </c>
      <c r="K2297" s="8"/>
      <c r="L2297" s="12"/>
      <c r="M2297" s="13"/>
      <c r="N2297" s="13" t="str">
        <f>IFERROR(__xludf.DUMMYFUNCTION("IF(ISBLANK(M2297),"""",M2297*GOOGLEFINANCE(""USDGBP""))"),"")</f>
        <v/>
      </c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  <c r="FG2297" s="8"/>
      <c r="FH2297" s="8"/>
      <c r="FI2297" s="8"/>
      <c r="FJ2297" s="8"/>
      <c r="FK2297" s="8"/>
      <c r="FL2297" s="8"/>
      <c r="FM2297" s="8"/>
      <c r="FN2297" s="8"/>
      <c r="FO2297" s="8"/>
      <c r="FP2297" s="8"/>
      <c r="FQ2297" s="8"/>
      <c r="FR2297" s="8"/>
      <c r="FS2297" s="8"/>
      <c r="FT2297" s="8"/>
      <c r="FU2297" s="8"/>
      <c r="FV2297" s="8"/>
      <c r="FW2297" s="8"/>
      <c r="FX2297" s="8"/>
      <c r="FY2297" s="8"/>
      <c r="FZ2297" s="8"/>
      <c r="GA2297" s="8"/>
      <c r="GB2297" s="8"/>
      <c r="GC2297" s="8"/>
      <c r="GD2297" s="8"/>
      <c r="GE2297" s="8"/>
      <c r="GF2297" s="8"/>
      <c r="GG2297" s="8"/>
      <c r="GH2297" s="8"/>
      <c r="GI2297" s="8"/>
      <c r="GJ2297" s="8"/>
      <c r="GK2297" s="8"/>
      <c r="GL2297" s="8"/>
      <c r="GM2297" s="8"/>
      <c r="GN2297" s="8"/>
      <c r="GO2297" s="8"/>
      <c r="GP2297" s="8"/>
      <c r="GQ2297" s="8"/>
      <c r="GR2297" s="8"/>
      <c r="GS2297" s="8"/>
      <c r="GT2297" s="8"/>
      <c r="GU2297" s="8"/>
      <c r="GV2297" s="8"/>
      <c r="GW2297" s="8"/>
      <c r="GX2297" s="8"/>
    </row>
    <row r="2298">
      <c r="A2298" s="8" t="str">
        <f>IFERROR(__xludf.DUMMYFUNCTION("""COMPUTED_VALUE"""),"109527420151200750")</f>
        <v>109527420151200750</v>
      </c>
      <c r="B2298" s="9" t="str">
        <f>IFERROR(__xludf.DUMMYFUNCTION("""COMPUTED_VALUE"""),"Italy")</f>
        <v>Italy</v>
      </c>
      <c r="C2298" s="9" t="str">
        <f>IFERROR(__xludf.DUMMYFUNCTION("""COMPUTED_VALUE"""),"tuscany")</f>
        <v>tuscany</v>
      </c>
      <c r="D2298" s="9" t="str">
        <f>IFERROR(__xludf.DUMMYFUNCTION("""COMPUTED_VALUE"""),"Altesino, Brunello di Montalcino, Riserva")</f>
        <v>Altesino, Brunello di Montalcino, Riserva</v>
      </c>
      <c r="E2298" s="9">
        <f>IFERROR(__xludf.DUMMYFUNCTION("""COMPUTED_VALUE"""),2015.0)</f>
        <v>2015</v>
      </c>
      <c r="F2298" s="9">
        <f>IFERROR(__xludf.DUMMYFUNCTION("""COMPUTED_VALUE"""),750.0)</f>
        <v>750</v>
      </c>
      <c r="G2298" s="9">
        <f>IFERROR(__xludf.DUMMYFUNCTION("""COMPUTED_VALUE"""),12.0)</f>
        <v>12</v>
      </c>
      <c r="H2298" s="10">
        <f>IFERROR(__xludf.DUMMYFUNCTION("""COMPUTED_VALUE"""),4.0)</f>
        <v>4</v>
      </c>
      <c r="I2298" s="11">
        <f>IFERROR(__xludf.DUMMYFUNCTION("""COMPUTED_VALUE"""),828.0)</f>
        <v>828</v>
      </c>
      <c r="J2298" s="9" t="str">
        <f>IFERROR(__xludf.DUMMYFUNCTION("""COMPUTED_VALUE"""),"UK")</f>
        <v>UK</v>
      </c>
      <c r="K2298" s="8"/>
      <c r="L2298" s="12"/>
      <c r="M2298" s="13"/>
      <c r="N2298" s="13" t="str">
        <f>IFERROR(__xludf.DUMMYFUNCTION("IF(ISBLANK(M2298),"""",M2298*GOOGLEFINANCE(""USDGBP""))"),"")</f>
        <v/>
      </c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  <c r="FG2298" s="8"/>
      <c r="FH2298" s="8"/>
      <c r="FI2298" s="8"/>
      <c r="FJ2298" s="8"/>
      <c r="FK2298" s="8"/>
      <c r="FL2298" s="8"/>
      <c r="FM2298" s="8"/>
      <c r="FN2298" s="8"/>
      <c r="FO2298" s="8"/>
      <c r="FP2298" s="8"/>
      <c r="FQ2298" s="8"/>
      <c r="FR2298" s="8"/>
      <c r="FS2298" s="8"/>
      <c r="FT2298" s="8"/>
      <c r="FU2298" s="8"/>
      <c r="FV2298" s="8"/>
      <c r="FW2298" s="8"/>
      <c r="FX2298" s="8"/>
      <c r="FY2298" s="8"/>
      <c r="FZ2298" s="8"/>
      <c r="GA2298" s="8"/>
      <c r="GB2298" s="8"/>
      <c r="GC2298" s="8"/>
      <c r="GD2298" s="8"/>
      <c r="GE2298" s="8"/>
      <c r="GF2298" s="8"/>
      <c r="GG2298" s="8"/>
      <c r="GH2298" s="8"/>
      <c r="GI2298" s="8"/>
      <c r="GJ2298" s="8"/>
      <c r="GK2298" s="8"/>
      <c r="GL2298" s="8"/>
      <c r="GM2298" s="8"/>
      <c r="GN2298" s="8"/>
      <c r="GO2298" s="8"/>
      <c r="GP2298" s="8"/>
      <c r="GQ2298" s="8"/>
      <c r="GR2298" s="8"/>
      <c r="GS2298" s="8"/>
      <c r="GT2298" s="8"/>
      <c r="GU2298" s="8"/>
      <c r="GV2298" s="8"/>
      <c r="GW2298" s="8"/>
      <c r="GX2298" s="8"/>
    </row>
    <row r="2299">
      <c r="A2299" s="8" t="str">
        <f>IFERROR(__xludf.DUMMYFUNCTION("""COMPUTED_VALUE"""),"131333820120600750")</f>
        <v>131333820120600750</v>
      </c>
      <c r="B2299" s="9" t="str">
        <f>IFERROR(__xludf.DUMMYFUNCTION("""COMPUTED_VALUE"""),"Italy")</f>
        <v>Italy</v>
      </c>
      <c r="C2299" s="9" t="str">
        <f>IFERROR(__xludf.DUMMYFUNCTION("""COMPUTED_VALUE"""),"tuscany")</f>
        <v>tuscany</v>
      </c>
      <c r="D2299" s="9" t="str">
        <f>IFERROR(__xludf.DUMMYFUNCTION("""COMPUTED_VALUE"""),"Antinori (Pian Vigne), Brunello di Montalcino, Vigna Ferrovia Riserva")</f>
        <v>Antinori (Pian Vigne), Brunello di Montalcino, Vigna Ferrovia Riserva</v>
      </c>
      <c r="E2299" s="9">
        <f>IFERROR(__xludf.DUMMYFUNCTION("""COMPUTED_VALUE"""),2012.0)</f>
        <v>2012</v>
      </c>
      <c r="F2299" s="9">
        <f>IFERROR(__xludf.DUMMYFUNCTION("""COMPUTED_VALUE"""),750.0)</f>
        <v>750</v>
      </c>
      <c r="G2299" s="9">
        <f>IFERROR(__xludf.DUMMYFUNCTION("""COMPUTED_VALUE"""),6.0)</f>
        <v>6</v>
      </c>
      <c r="H2299" s="10">
        <f>IFERROR(__xludf.DUMMYFUNCTION("""COMPUTED_VALUE"""),1.0)</f>
        <v>1</v>
      </c>
      <c r="I2299" s="11">
        <f>IFERROR(__xludf.DUMMYFUNCTION("""COMPUTED_VALUE"""),448.0)</f>
        <v>448</v>
      </c>
      <c r="J2299" s="9" t="str">
        <f>IFERROR(__xludf.DUMMYFUNCTION("""COMPUTED_VALUE"""),"UK")</f>
        <v>UK</v>
      </c>
      <c r="K2299" s="8"/>
      <c r="L2299" s="12"/>
      <c r="M2299" s="13"/>
      <c r="N2299" s="13" t="str">
        <f>IFERROR(__xludf.DUMMYFUNCTION("IF(ISBLANK(M2299),"""",M2299*GOOGLEFINANCE(""USDGBP""))"),"")</f>
        <v/>
      </c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  <c r="FG2299" s="8"/>
      <c r="FH2299" s="8"/>
      <c r="FI2299" s="8"/>
      <c r="FJ2299" s="8"/>
      <c r="FK2299" s="8"/>
      <c r="FL2299" s="8"/>
      <c r="FM2299" s="8"/>
      <c r="FN2299" s="8"/>
      <c r="FO2299" s="8"/>
      <c r="FP2299" s="8"/>
      <c r="FQ2299" s="8"/>
      <c r="FR2299" s="8"/>
      <c r="FS2299" s="8"/>
      <c r="FT2299" s="8"/>
      <c r="FU2299" s="8"/>
      <c r="FV2299" s="8"/>
      <c r="FW2299" s="8"/>
      <c r="FX2299" s="8"/>
      <c r="FY2299" s="8"/>
      <c r="FZ2299" s="8"/>
      <c r="GA2299" s="8"/>
      <c r="GB2299" s="8"/>
      <c r="GC2299" s="8"/>
      <c r="GD2299" s="8"/>
      <c r="GE2299" s="8"/>
      <c r="GF2299" s="8"/>
      <c r="GG2299" s="8"/>
      <c r="GH2299" s="8"/>
      <c r="GI2299" s="8"/>
      <c r="GJ2299" s="8"/>
      <c r="GK2299" s="8"/>
      <c r="GL2299" s="8"/>
      <c r="GM2299" s="8"/>
      <c r="GN2299" s="8"/>
      <c r="GO2299" s="8"/>
      <c r="GP2299" s="8"/>
      <c r="GQ2299" s="8"/>
      <c r="GR2299" s="8"/>
      <c r="GS2299" s="8"/>
      <c r="GT2299" s="8"/>
      <c r="GU2299" s="8"/>
      <c r="GV2299" s="8"/>
      <c r="GW2299" s="8"/>
      <c r="GX2299" s="8"/>
    </row>
    <row r="2300">
      <c r="A2300" s="8" t="str">
        <f>IFERROR(__xludf.DUMMYFUNCTION("""COMPUTED_VALUE"""),"122690820070600750")</f>
        <v>122690820070600750</v>
      </c>
      <c r="B2300" s="9" t="str">
        <f>IFERROR(__xludf.DUMMYFUNCTION("""COMPUTED_VALUE"""),"Italy")</f>
        <v>Italy</v>
      </c>
      <c r="C2300" s="9" t="str">
        <f>IFERROR(__xludf.DUMMYFUNCTION("""COMPUTED_VALUE"""),"tuscany")</f>
        <v>tuscany</v>
      </c>
      <c r="D2300" s="9" t="str">
        <f>IFERROR(__xludf.DUMMYFUNCTION("""COMPUTED_VALUE"""),"Bibi Graetz, Colore, Toscana")</f>
        <v>Bibi Graetz, Colore, Toscana</v>
      </c>
      <c r="E2300" s="9">
        <f>IFERROR(__xludf.DUMMYFUNCTION("""COMPUTED_VALUE"""),2007.0)</f>
        <v>2007</v>
      </c>
      <c r="F2300" s="9">
        <f>IFERROR(__xludf.DUMMYFUNCTION("""COMPUTED_VALUE"""),750.0)</f>
        <v>750</v>
      </c>
      <c r="G2300" s="9">
        <f>IFERROR(__xludf.DUMMYFUNCTION("""COMPUTED_VALUE"""),6.0)</f>
        <v>6</v>
      </c>
      <c r="H2300" s="10">
        <f>IFERROR(__xludf.DUMMYFUNCTION("""COMPUTED_VALUE"""),1.0)</f>
        <v>1</v>
      </c>
      <c r="I2300" s="11">
        <f>IFERROR(__xludf.DUMMYFUNCTION("""COMPUTED_VALUE"""),3078.0)</f>
        <v>3078</v>
      </c>
      <c r="J2300" s="9" t="str">
        <f>IFERROR(__xludf.DUMMYFUNCTION("""COMPUTED_VALUE"""),"UK")</f>
        <v>UK</v>
      </c>
      <c r="K2300" s="8"/>
      <c r="L2300" s="12"/>
      <c r="M2300" s="13"/>
      <c r="N2300" s="13" t="str">
        <f>IFERROR(__xludf.DUMMYFUNCTION("IF(ISBLANK(M2300),"""",M2300*GOOGLEFINANCE(""USDGBP""))"),"")</f>
        <v/>
      </c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  <c r="FG2300" s="8"/>
      <c r="FH2300" s="8"/>
      <c r="FI2300" s="8"/>
      <c r="FJ2300" s="8"/>
      <c r="FK2300" s="8"/>
      <c r="FL2300" s="8"/>
      <c r="FM2300" s="8"/>
      <c r="FN2300" s="8"/>
      <c r="FO2300" s="8"/>
      <c r="FP2300" s="8"/>
      <c r="FQ2300" s="8"/>
      <c r="FR2300" s="8"/>
      <c r="FS2300" s="8"/>
      <c r="FT2300" s="8"/>
      <c r="FU2300" s="8"/>
      <c r="FV2300" s="8"/>
      <c r="FW2300" s="8"/>
      <c r="FX2300" s="8"/>
      <c r="FY2300" s="8"/>
      <c r="FZ2300" s="8"/>
      <c r="GA2300" s="8"/>
      <c r="GB2300" s="8"/>
      <c r="GC2300" s="8"/>
      <c r="GD2300" s="8"/>
      <c r="GE2300" s="8"/>
      <c r="GF2300" s="8"/>
      <c r="GG2300" s="8"/>
      <c r="GH2300" s="8"/>
      <c r="GI2300" s="8"/>
      <c r="GJ2300" s="8"/>
      <c r="GK2300" s="8"/>
      <c r="GL2300" s="8"/>
      <c r="GM2300" s="8"/>
      <c r="GN2300" s="8"/>
      <c r="GO2300" s="8"/>
      <c r="GP2300" s="8"/>
      <c r="GQ2300" s="8"/>
      <c r="GR2300" s="8"/>
      <c r="GS2300" s="8"/>
      <c r="GT2300" s="8"/>
      <c r="GU2300" s="8"/>
      <c r="GV2300" s="8"/>
      <c r="GW2300" s="8"/>
      <c r="GX2300" s="8"/>
    </row>
    <row r="2301">
      <c r="A2301" s="8" t="str">
        <f>IFERROR(__xludf.DUMMYFUNCTION("""COMPUTED_VALUE"""),"122690820150300750")</f>
        <v>122690820150300750</v>
      </c>
      <c r="B2301" s="9" t="str">
        <f>IFERROR(__xludf.DUMMYFUNCTION("""COMPUTED_VALUE"""),"Italy")</f>
        <v>Italy</v>
      </c>
      <c r="C2301" s="9" t="str">
        <f>IFERROR(__xludf.DUMMYFUNCTION("""COMPUTED_VALUE"""),"tuscany")</f>
        <v>tuscany</v>
      </c>
      <c r="D2301" s="9" t="str">
        <f>IFERROR(__xludf.DUMMYFUNCTION("""COMPUTED_VALUE"""),"Bibi Graetz, Colore, Toscana")</f>
        <v>Bibi Graetz, Colore, Toscana</v>
      </c>
      <c r="E2301" s="9">
        <f>IFERROR(__xludf.DUMMYFUNCTION("""COMPUTED_VALUE"""),2015.0)</f>
        <v>2015</v>
      </c>
      <c r="F2301" s="9">
        <f>IFERROR(__xludf.DUMMYFUNCTION("""COMPUTED_VALUE"""),750.0)</f>
        <v>750</v>
      </c>
      <c r="G2301" s="9">
        <f>IFERROR(__xludf.DUMMYFUNCTION("""COMPUTED_VALUE"""),3.0)</f>
        <v>3</v>
      </c>
      <c r="H2301" s="10">
        <f>IFERROR(__xludf.DUMMYFUNCTION("""COMPUTED_VALUE"""),53.0)</f>
        <v>53</v>
      </c>
      <c r="I2301" s="11">
        <f>IFERROR(__xludf.DUMMYFUNCTION("""COMPUTED_VALUE"""),539.0)</f>
        <v>539</v>
      </c>
      <c r="J2301" s="9" t="str">
        <f>IFERROR(__xludf.DUMMYFUNCTION("""COMPUTED_VALUE"""),"UK")</f>
        <v>UK</v>
      </c>
      <c r="K2301" s="8"/>
      <c r="L2301" s="12"/>
      <c r="M2301" s="13"/>
      <c r="N2301" s="13" t="str">
        <f>IFERROR(__xludf.DUMMYFUNCTION("IF(ISBLANK(M2301),"""",M2301*GOOGLEFINANCE(""USDGBP""))"),"")</f>
        <v/>
      </c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  <c r="FG2301" s="8"/>
      <c r="FH2301" s="8"/>
      <c r="FI2301" s="8"/>
      <c r="FJ2301" s="8"/>
      <c r="FK2301" s="8"/>
      <c r="FL2301" s="8"/>
      <c r="FM2301" s="8"/>
      <c r="FN2301" s="8"/>
      <c r="FO2301" s="8"/>
      <c r="FP2301" s="8"/>
      <c r="FQ2301" s="8"/>
      <c r="FR2301" s="8"/>
      <c r="FS2301" s="8"/>
      <c r="FT2301" s="8"/>
      <c r="FU2301" s="8"/>
      <c r="FV2301" s="8"/>
      <c r="FW2301" s="8"/>
      <c r="FX2301" s="8"/>
      <c r="FY2301" s="8"/>
      <c r="FZ2301" s="8"/>
      <c r="GA2301" s="8"/>
      <c r="GB2301" s="8"/>
      <c r="GC2301" s="8"/>
      <c r="GD2301" s="8"/>
      <c r="GE2301" s="8"/>
      <c r="GF2301" s="8"/>
      <c r="GG2301" s="8"/>
      <c r="GH2301" s="8"/>
      <c r="GI2301" s="8"/>
      <c r="GJ2301" s="8"/>
      <c r="GK2301" s="8"/>
      <c r="GL2301" s="8"/>
      <c r="GM2301" s="8"/>
      <c r="GN2301" s="8"/>
      <c r="GO2301" s="8"/>
      <c r="GP2301" s="8"/>
      <c r="GQ2301" s="8"/>
      <c r="GR2301" s="8"/>
      <c r="GS2301" s="8"/>
      <c r="GT2301" s="8"/>
      <c r="GU2301" s="8"/>
      <c r="GV2301" s="8"/>
      <c r="GW2301" s="8"/>
      <c r="GX2301" s="8"/>
    </row>
    <row r="2302">
      <c r="A2302" s="8" t="str">
        <f>IFERROR(__xludf.DUMMYFUNCTION("""COMPUTED_VALUE"""),"122690820160300750")</f>
        <v>122690820160300750</v>
      </c>
      <c r="B2302" s="9" t="str">
        <f>IFERROR(__xludf.DUMMYFUNCTION("""COMPUTED_VALUE"""),"Italy")</f>
        <v>Italy</v>
      </c>
      <c r="C2302" s="9" t="str">
        <f>IFERROR(__xludf.DUMMYFUNCTION("""COMPUTED_VALUE"""),"tuscany")</f>
        <v>tuscany</v>
      </c>
      <c r="D2302" s="9" t="str">
        <f>IFERROR(__xludf.DUMMYFUNCTION("""COMPUTED_VALUE"""),"Bibi Graetz, Colore, Toscana")</f>
        <v>Bibi Graetz, Colore, Toscana</v>
      </c>
      <c r="E2302" s="9">
        <f>IFERROR(__xludf.DUMMYFUNCTION("""COMPUTED_VALUE"""),2016.0)</f>
        <v>2016</v>
      </c>
      <c r="F2302" s="9">
        <f>IFERROR(__xludf.DUMMYFUNCTION("""COMPUTED_VALUE"""),750.0)</f>
        <v>750</v>
      </c>
      <c r="G2302" s="9">
        <f>IFERROR(__xludf.DUMMYFUNCTION("""COMPUTED_VALUE"""),3.0)</f>
        <v>3</v>
      </c>
      <c r="H2302" s="10">
        <f>IFERROR(__xludf.DUMMYFUNCTION("""COMPUTED_VALUE"""),58.0)</f>
        <v>58</v>
      </c>
      <c r="I2302" s="11">
        <f>IFERROR(__xludf.DUMMYFUNCTION("""COMPUTED_VALUE"""),501.0)</f>
        <v>501</v>
      </c>
      <c r="J2302" s="9" t="str">
        <f>IFERROR(__xludf.DUMMYFUNCTION("""COMPUTED_VALUE"""),"UK")</f>
        <v>UK</v>
      </c>
      <c r="K2302" s="8"/>
      <c r="L2302" s="12"/>
      <c r="M2302" s="13"/>
      <c r="N2302" s="13" t="str">
        <f>IFERROR(__xludf.DUMMYFUNCTION("IF(ISBLANK(M2302),"""",M2302*GOOGLEFINANCE(""USDGBP""))"),"")</f>
        <v/>
      </c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  <c r="FG2302" s="8"/>
      <c r="FH2302" s="8"/>
      <c r="FI2302" s="8"/>
      <c r="FJ2302" s="8"/>
      <c r="FK2302" s="8"/>
      <c r="FL2302" s="8"/>
      <c r="FM2302" s="8"/>
      <c r="FN2302" s="8"/>
      <c r="FO2302" s="8"/>
      <c r="FP2302" s="8"/>
      <c r="FQ2302" s="8"/>
      <c r="FR2302" s="8"/>
      <c r="FS2302" s="8"/>
      <c r="FT2302" s="8"/>
      <c r="FU2302" s="8"/>
      <c r="FV2302" s="8"/>
      <c r="FW2302" s="8"/>
      <c r="FX2302" s="8"/>
      <c r="FY2302" s="8"/>
      <c r="FZ2302" s="8"/>
      <c r="GA2302" s="8"/>
      <c r="GB2302" s="8"/>
      <c r="GC2302" s="8"/>
      <c r="GD2302" s="8"/>
      <c r="GE2302" s="8"/>
      <c r="GF2302" s="8"/>
      <c r="GG2302" s="8"/>
      <c r="GH2302" s="8"/>
      <c r="GI2302" s="8"/>
      <c r="GJ2302" s="8"/>
      <c r="GK2302" s="8"/>
      <c r="GL2302" s="8"/>
      <c r="GM2302" s="8"/>
      <c r="GN2302" s="8"/>
      <c r="GO2302" s="8"/>
      <c r="GP2302" s="8"/>
      <c r="GQ2302" s="8"/>
      <c r="GR2302" s="8"/>
      <c r="GS2302" s="8"/>
      <c r="GT2302" s="8"/>
      <c r="GU2302" s="8"/>
      <c r="GV2302" s="8"/>
      <c r="GW2302" s="8"/>
      <c r="GX2302" s="8"/>
    </row>
    <row r="2303">
      <c r="A2303" s="8" t="str">
        <f>IFERROR(__xludf.DUMMYFUNCTION("""COMPUTED_VALUE"""),"122690820180300750")</f>
        <v>122690820180300750</v>
      </c>
      <c r="B2303" s="9" t="str">
        <f>IFERROR(__xludf.DUMMYFUNCTION("""COMPUTED_VALUE"""),"Italy")</f>
        <v>Italy</v>
      </c>
      <c r="C2303" s="9" t="str">
        <f>IFERROR(__xludf.DUMMYFUNCTION("""COMPUTED_VALUE"""),"tuscany")</f>
        <v>tuscany</v>
      </c>
      <c r="D2303" s="9" t="str">
        <f>IFERROR(__xludf.DUMMYFUNCTION("""COMPUTED_VALUE"""),"Bibi Graetz, Colore, Toscana")</f>
        <v>Bibi Graetz, Colore, Toscana</v>
      </c>
      <c r="E2303" s="9">
        <f>IFERROR(__xludf.DUMMYFUNCTION("""COMPUTED_VALUE"""),2018.0)</f>
        <v>2018</v>
      </c>
      <c r="F2303" s="9">
        <f>IFERROR(__xludf.DUMMYFUNCTION("""COMPUTED_VALUE"""),750.0)</f>
        <v>750</v>
      </c>
      <c r="G2303" s="9">
        <f>IFERROR(__xludf.DUMMYFUNCTION("""COMPUTED_VALUE"""),3.0)</f>
        <v>3</v>
      </c>
      <c r="H2303" s="10">
        <f>IFERROR(__xludf.DUMMYFUNCTION("""COMPUTED_VALUE"""),9.0)</f>
        <v>9</v>
      </c>
      <c r="I2303" s="11">
        <f>IFERROR(__xludf.DUMMYFUNCTION("""COMPUTED_VALUE"""),383.0)</f>
        <v>383</v>
      </c>
      <c r="J2303" s="9" t="str">
        <f>IFERROR(__xludf.DUMMYFUNCTION("""COMPUTED_VALUE"""),"UK")</f>
        <v>UK</v>
      </c>
      <c r="K2303" s="8"/>
      <c r="L2303" s="12"/>
      <c r="M2303" s="13"/>
      <c r="N2303" s="13" t="str">
        <f>IFERROR(__xludf.DUMMYFUNCTION("IF(ISBLANK(M2303),"""",M2303*GOOGLEFINANCE(""USDGBP""))"),"")</f>
        <v/>
      </c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  <c r="FG2303" s="8"/>
      <c r="FH2303" s="8"/>
      <c r="FI2303" s="8"/>
      <c r="FJ2303" s="8"/>
      <c r="FK2303" s="8"/>
      <c r="FL2303" s="8"/>
      <c r="FM2303" s="8"/>
      <c r="FN2303" s="8"/>
      <c r="FO2303" s="8"/>
      <c r="FP2303" s="8"/>
      <c r="FQ2303" s="8"/>
      <c r="FR2303" s="8"/>
      <c r="FS2303" s="8"/>
      <c r="FT2303" s="8"/>
      <c r="FU2303" s="8"/>
      <c r="FV2303" s="8"/>
      <c r="FW2303" s="8"/>
      <c r="FX2303" s="8"/>
      <c r="FY2303" s="8"/>
      <c r="FZ2303" s="8"/>
      <c r="GA2303" s="8"/>
      <c r="GB2303" s="8"/>
      <c r="GC2303" s="8"/>
      <c r="GD2303" s="8"/>
      <c r="GE2303" s="8"/>
      <c r="GF2303" s="8"/>
      <c r="GG2303" s="8"/>
      <c r="GH2303" s="8"/>
      <c r="GI2303" s="8"/>
      <c r="GJ2303" s="8"/>
      <c r="GK2303" s="8"/>
      <c r="GL2303" s="8"/>
      <c r="GM2303" s="8"/>
      <c r="GN2303" s="8"/>
      <c r="GO2303" s="8"/>
      <c r="GP2303" s="8"/>
      <c r="GQ2303" s="8"/>
      <c r="GR2303" s="8"/>
      <c r="GS2303" s="8"/>
      <c r="GT2303" s="8"/>
      <c r="GU2303" s="8"/>
      <c r="GV2303" s="8"/>
      <c r="GW2303" s="8"/>
      <c r="GX2303" s="8"/>
    </row>
    <row r="2304">
      <c r="A2304" s="8" t="str">
        <f>IFERROR(__xludf.DUMMYFUNCTION("""COMPUTED_VALUE"""),"122690820190300750")</f>
        <v>122690820190300750</v>
      </c>
      <c r="B2304" s="9" t="str">
        <f>IFERROR(__xludf.DUMMYFUNCTION("""COMPUTED_VALUE"""),"Italy")</f>
        <v>Italy</v>
      </c>
      <c r="C2304" s="9" t="str">
        <f>IFERROR(__xludf.DUMMYFUNCTION("""COMPUTED_VALUE"""),"tuscany")</f>
        <v>tuscany</v>
      </c>
      <c r="D2304" s="9" t="str">
        <f>IFERROR(__xludf.DUMMYFUNCTION("""COMPUTED_VALUE"""),"Bibi Graetz, Colore, Toscana")</f>
        <v>Bibi Graetz, Colore, Toscana</v>
      </c>
      <c r="E2304" s="9">
        <f>IFERROR(__xludf.DUMMYFUNCTION("""COMPUTED_VALUE"""),2019.0)</f>
        <v>2019</v>
      </c>
      <c r="F2304" s="9">
        <f>IFERROR(__xludf.DUMMYFUNCTION("""COMPUTED_VALUE"""),750.0)</f>
        <v>750</v>
      </c>
      <c r="G2304" s="9">
        <f>IFERROR(__xludf.DUMMYFUNCTION("""COMPUTED_VALUE"""),3.0)</f>
        <v>3</v>
      </c>
      <c r="H2304" s="10">
        <f>IFERROR(__xludf.DUMMYFUNCTION("""COMPUTED_VALUE"""),11.0)</f>
        <v>11</v>
      </c>
      <c r="I2304" s="11">
        <f>IFERROR(__xludf.DUMMYFUNCTION("""COMPUTED_VALUE"""),389.0)</f>
        <v>389</v>
      </c>
      <c r="J2304" s="9" t="str">
        <f>IFERROR(__xludf.DUMMYFUNCTION("""COMPUTED_VALUE"""),"UK")</f>
        <v>UK</v>
      </c>
      <c r="K2304" s="8"/>
      <c r="L2304" s="12"/>
      <c r="M2304" s="13"/>
      <c r="N2304" s="13" t="str">
        <f>IFERROR(__xludf.DUMMYFUNCTION("IF(ISBLANK(M2304),"""",M2304*GOOGLEFINANCE(""USDGBP""))"),"")</f>
        <v/>
      </c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  <c r="FG2304" s="8"/>
      <c r="FH2304" s="8"/>
      <c r="FI2304" s="8"/>
      <c r="FJ2304" s="8"/>
      <c r="FK2304" s="8"/>
      <c r="FL2304" s="8"/>
      <c r="FM2304" s="8"/>
      <c r="FN2304" s="8"/>
      <c r="FO2304" s="8"/>
      <c r="FP2304" s="8"/>
      <c r="FQ2304" s="8"/>
      <c r="FR2304" s="8"/>
      <c r="FS2304" s="8"/>
      <c r="FT2304" s="8"/>
      <c r="FU2304" s="8"/>
      <c r="FV2304" s="8"/>
      <c r="FW2304" s="8"/>
      <c r="FX2304" s="8"/>
      <c r="FY2304" s="8"/>
      <c r="FZ2304" s="8"/>
      <c r="GA2304" s="8"/>
      <c r="GB2304" s="8"/>
      <c r="GC2304" s="8"/>
      <c r="GD2304" s="8"/>
      <c r="GE2304" s="8"/>
      <c r="GF2304" s="8"/>
      <c r="GG2304" s="8"/>
      <c r="GH2304" s="8"/>
      <c r="GI2304" s="8"/>
      <c r="GJ2304" s="8"/>
      <c r="GK2304" s="8"/>
      <c r="GL2304" s="8"/>
      <c r="GM2304" s="8"/>
      <c r="GN2304" s="8"/>
      <c r="GO2304" s="8"/>
      <c r="GP2304" s="8"/>
      <c r="GQ2304" s="8"/>
      <c r="GR2304" s="8"/>
      <c r="GS2304" s="8"/>
      <c r="GT2304" s="8"/>
      <c r="GU2304" s="8"/>
      <c r="GV2304" s="8"/>
      <c r="GW2304" s="8"/>
      <c r="GX2304" s="8"/>
    </row>
    <row r="2305">
      <c r="A2305" s="8" t="str">
        <f>IFERROR(__xludf.DUMMYFUNCTION("""COMPUTED_VALUE"""),"110012120110600750")</f>
        <v>110012120110600750</v>
      </c>
      <c r="B2305" s="9" t="str">
        <f>IFERROR(__xludf.DUMMYFUNCTION("""COMPUTED_VALUE"""),"Italy")</f>
        <v>Italy</v>
      </c>
      <c r="C2305" s="9" t="str">
        <f>IFERROR(__xludf.DUMMYFUNCTION("""COMPUTED_VALUE"""),"tuscany")</f>
        <v>tuscany</v>
      </c>
      <c r="D2305" s="9" t="str">
        <f>IFERROR(__xludf.DUMMYFUNCTION("""COMPUTED_VALUE"""),"Bibi Graetz, Testamatta Rosso, Toscana")</f>
        <v>Bibi Graetz, Testamatta Rosso, Toscana</v>
      </c>
      <c r="E2305" s="9">
        <f>IFERROR(__xludf.DUMMYFUNCTION("""COMPUTED_VALUE"""),2011.0)</f>
        <v>2011</v>
      </c>
      <c r="F2305" s="9">
        <f>IFERROR(__xludf.DUMMYFUNCTION("""COMPUTED_VALUE"""),750.0)</f>
        <v>750</v>
      </c>
      <c r="G2305" s="9">
        <f>IFERROR(__xludf.DUMMYFUNCTION("""COMPUTED_VALUE"""),6.0)</f>
        <v>6</v>
      </c>
      <c r="H2305" s="10">
        <f>IFERROR(__xludf.DUMMYFUNCTION("""COMPUTED_VALUE"""),4.0)</f>
        <v>4</v>
      </c>
      <c r="I2305" s="11">
        <f>IFERROR(__xludf.DUMMYFUNCTION("""COMPUTED_VALUE"""),1646.0)</f>
        <v>1646</v>
      </c>
      <c r="J2305" s="9" t="str">
        <f>IFERROR(__xludf.DUMMYFUNCTION("""COMPUTED_VALUE"""),"UK")</f>
        <v>UK</v>
      </c>
      <c r="K2305" s="8"/>
      <c r="L2305" s="12"/>
      <c r="M2305" s="13"/>
      <c r="N2305" s="13" t="str">
        <f>IFERROR(__xludf.DUMMYFUNCTION("IF(ISBLANK(M2305),"""",M2305*GOOGLEFINANCE(""USDGBP""))"),"")</f>
        <v/>
      </c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  <c r="FG2305" s="8"/>
      <c r="FH2305" s="8"/>
      <c r="FI2305" s="8"/>
      <c r="FJ2305" s="8"/>
      <c r="FK2305" s="8"/>
      <c r="FL2305" s="8"/>
      <c r="FM2305" s="8"/>
      <c r="FN2305" s="8"/>
      <c r="FO2305" s="8"/>
      <c r="FP2305" s="8"/>
      <c r="FQ2305" s="8"/>
      <c r="FR2305" s="8"/>
      <c r="FS2305" s="8"/>
      <c r="FT2305" s="8"/>
      <c r="FU2305" s="8"/>
      <c r="FV2305" s="8"/>
      <c r="FW2305" s="8"/>
      <c r="FX2305" s="8"/>
      <c r="FY2305" s="8"/>
      <c r="FZ2305" s="8"/>
      <c r="GA2305" s="8"/>
      <c r="GB2305" s="8"/>
      <c r="GC2305" s="8"/>
      <c r="GD2305" s="8"/>
      <c r="GE2305" s="8"/>
      <c r="GF2305" s="8"/>
      <c r="GG2305" s="8"/>
      <c r="GH2305" s="8"/>
      <c r="GI2305" s="8"/>
      <c r="GJ2305" s="8"/>
      <c r="GK2305" s="8"/>
      <c r="GL2305" s="8"/>
      <c r="GM2305" s="8"/>
      <c r="GN2305" s="8"/>
      <c r="GO2305" s="8"/>
      <c r="GP2305" s="8"/>
      <c r="GQ2305" s="8"/>
      <c r="GR2305" s="8"/>
      <c r="GS2305" s="8"/>
      <c r="GT2305" s="8"/>
      <c r="GU2305" s="8"/>
      <c r="GV2305" s="8"/>
      <c r="GW2305" s="8"/>
      <c r="GX2305" s="8"/>
    </row>
    <row r="2306">
      <c r="A2306" s="8" t="str">
        <f>IFERROR(__xludf.DUMMYFUNCTION("""COMPUTED_VALUE"""),"110012120150600750")</f>
        <v>110012120150600750</v>
      </c>
      <c r="B2306" s="9" t="str">
        <f>IFERROR(__xludf.DUMMYFUNCTION("""COMPUTED_VALUE"""),"Italy")</f>
        <v>Italy</v>
      </c>
      <c r="C2306" s="9" t="str">
        <f>IFERROR(__xludf.DUMMYFUNCTION("""COMPUTED_VALUE"""),"tuscany")</f>
        <v>tuscany</v>
      </c>
      <c r="D2306" s="9" t="str">
        <f>IFERROR(__xludf.DUMMYFUNCTION("""COMPUTED_VALUE"""),"Bibi Graetz, Testamatta Rosso, Toscana")</f>
        <v>Bibi Graetz, Testamatta Rosso, Toscana</v>
      </c>
      <c r="E2306" s="9">
        <f>IFERROR(__xludf.DUMMYFUNCTION("""COMPUTED_VALUE"""),2015.0)</f>
        <v>2015</v>
      </c>
      <c r="F2306" s="9">
        <f>IFERROR(__xludf.DUMMYFUNCTION("""COMPUTED_VALUE"""),750.0)</f>
        <v>750</v>
      </c>
      <c r="G2306" s="9">
        <f>IFERROR(__xludf.DUMMYFUNCTION("""COMPUTED_VALUE"""),6.0)</f>
        <v>6</v>
      </c>
      <c r="H2306" s="10">
        <f>IFERROR(__xludf.DUMMYFUNCTION("""COMPUTED_VALUE"""),4.0)</f>
        <v>4</v>
      </c>
      <c r="I2306" s="11">
        <f>IFERROR(__xludf.DUMMYFUNCTION("""COMPUTED_VALUE"""),375.0)</f>
        <v>375</v>
      </c>
      <c r="J2306" s="9" t="str">
        <f>IFERROR(__xludf.DUMMYFUNCTION("""COMPUTED_VALUE"""),"UK")</f>
        <v>UK</v>
      </c>
      <c r="K2306" s="8"/>
      <c r="L2306" s="12"/>
      <c r="M2306" s="13"/>
      <c r="N2306" s="13" t="str">
        <f>IFERROR(__xludf.DUMMYFUNCTION("IF(ISBLANK(M2306),"""",M2306*GOOGLEFINANCE(""USDGBP""))"),"")</f>
        <v/>
      </c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  <c r="FG2306" s="8"/>
      <c r="FH2306" s="8"/>
      <c r="FI2306" s="8"/>
      <c r="FJ2306" s="8"/>
      <c r="FK2306" s="8"/>
      <c r="FL2306" s="8"/>
      <c r="FM2306" s="8"/>
      <c r="FN2306" s="8"/>
      <c r="FO2306" s="8"/>
      <c r="FP2306" s="8"/>
      <c r="FQ2306" s="8"/>
      <c r="FR2306" s="8"/>
      <c r="FS2306" s="8"/>
      <c r="FT2306" s="8"/>
      <c r="FU2306" s="8"/>
      <c r="FV2306" s="8"/>
      <c r="FW2306" s="8"/>
      <c r="FX2306" s="8"/>
      <c r="FY2306" s="8"/>
      <c r="FZ2306" s="8"/>
      <c r="GA2306" s="8"/>
      <c r="GB2306" s="8"/>
      <c r="GC2306" s="8"/>
      <c r="GD2306" s="8"/>
      <c r="GE2306" s="8"/>
      <c r="GF2306" s="8"/>
      <c r="GG2306" s="8"/>
      <c r="GH2306" s="8"/>
      <c r="GI2306" s="8"/>
      <c r="GJ2306" s="8"/>
      <c r="GK2306" s="8"/>
      <c r="GL2306" s="8"/>
      <c r="GM2306" s="8"/>
      <c r="GN2306" s="8"/>
      <c r="GO2306" s="8"/>
      <c r="GP2306" s="8"/>
      <c r="GQ2306" s="8"/>
      <c r="GR2306" s="8"/>
      <c r="GS2306" s="8"/>
      <c r="GT2306" s="8"/>
      <c r="GU2306" s="8"/>
      <c r="GV2306" s="8"/>
      <c r="GW2306" s="8"/>
      <c r="GX2306" s="8"/>
    </row>
    <row r="2307">
      <c r="A2307" s="8" t="str">
        <f>IFERROR(__xludf.DUMMYFUNCTION("""COMPUTED_VALUE"""),"110012120180600750")</f>
        <v>110012120180600750</v>
      </c>
      <c r="B2307" s="9" t="str">
        <f>IFERROR(__xludf.DUMMYFUNCTION("""COMPUTED_VALUE"""),"Italy")</f>
        <v>Italy</v>
      </c>
      <c r="C2307" s="9" t="str">
        <f>IFERROR(__xludf.DUMMYFUNCTION("""COMPUTED_VALUE"""),"tuscany")</f>
        <v>tuscany</v>
      </c>
      <c r="D2307" s="9" t="str">
        <f>IFERROR(__xludf.DUMMYFUNCTION("""COMPUTED_VALUE"""),"Bibi Graetz, Testamatta Rosso, Toscana")</f>
        <v>Bibi Graetz, Testamatta Rosso, Toscana</v>
      </c>
      <c r="E2307" s="9">
        <f>IFERROR(__xludf.DUMMYFUNCTION("""COMPUTED_VALUE"""),2018.0)</f>
        <v>2018</v>
      </c>
      <c r="F2307" s="9">
        <f>IFERROR(__xludf.DUMMYFUNCTION("""COMPUTED_VALUE"""),750.0)</f>
        <v>750</v>
      </c>
      <c r="G2307" s="9">
        <f>IFERROR(__xludf.DUMMYFUNCTION("""COMPUTED_VALUE"""),6.0)</f>
        <v>6</v>
      </c>
      <c r="H2307" s="10">
        <f>IFERROR(__xludf.DUMMYFUNCTION("""COMPUTED_VALUE"""),1.0)</f>
        <v>1</v>
      </c>
      <c r="I2307" s="11">
        <f>IFERROR(__xludf.DUMMYFUNCTION("""COMPUTED_VALUE"""),325.0)</f>
        <v>325</v>
      </c>
      <c r="J2307" s="9" t="str">
        <f>IFERROR(__xludf.DUMMYFUNCTION("""COMPUTED_VALUE"""),"UK")</f>
        <v>UK</v>
      </c>
      <c r="K2307" s="8"/>
      <c r="L2307" s="12"/>
      <c r="M2307" s="13"/>
      <c r="N2307" s="13" t="str">
        <f>IFERROR(__xludf.DUMMYFUNCTION("IF(ISBLANK(M2307),"""",M2307*GOOGLEFINANCE(""USDGBP""))"),"")</f>
        <v/>
      </c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  <c r="FG2307" s="8"/>
      <c r="FH2307" s="8"/>
      <c r="FI2307" s="8"/>
      <c r="FJ2307" s="8"/>
      <c r="FK2307" s="8"/>
      <c r="FL2307" s="8"/>
      <c r="FM2307" s="8"/>
      <c r="FN2307" s="8"/>
      <c r="FO2307" s="8"/>
      <c r="FP2307" s="8"/>
      <c r="FQ2307" s="8"/>
      <c r="FR2307" s="8"/>
      <c r="FS2307" s="8"/>
      <c r="FT2307" s="8"/>
      <c r="FU2307" s="8"/>
      <c r="FV2307" s="8"/>
      <c r="FW2307" s="8"/>
      <c r="FX2307" s="8"/>
      <c r="FY2307" s="8"/>
      <c r="FZ2307" s="8"/>
      <c r="GA2307" s="8"/>
      <c r="GB2307" s="8"/>
      <c r="GC2307" s="8"/>
      <c r="GD2307" s="8"/>
      <c r="GE2307" s="8"/>
      <c r="GF2307" s="8"/>
      <c r="GG2307" s="8"/>
      <c r="GH2307" s="8"/>
      <c r="GI2307" s="8"/>
      <c r="GJ2307" s="8"/>
      <c r="GK2307" s="8"/>
      <c r="GL2307" s="8"/>
      <c r="GM2307" s="8"/>
      <c r="GN2307" s="8"/>
      <c r="GO2307" s="8"/>
      <c r="GP2307" s="8"/>
      <c r="GQ2307" s="8"/>
      <c r="GR2307" s="8"/>
      <c r="GS2307" s="8"/>
      <c r="GT2307" s="8"/>
      <c r="GU2307" s="8"/>
      <c r="GV2307" s="8"/>
      <c r="GW2307" s="8"/>
      <c r="GX2307" s="8"/>
    </row>
    <row r="2308">
      <c r="A2308" s="8" t="str">
        <f>IFERROR(__xludf.DUMMYFUNCTION("""COMPUTED_VALUE"""),"117468720100600750")</f>
        <v>117468720100600750</v>
      </c>
      <c r="B2308" s="9" t="str">
        <f>IFERROR(__xludf.DUMMYFUNCTION("""COMPUTED_VALUE"""),"Italy")</f>
        <v>Italy</v>
      </c>
      <c r="C2308" s="9" t="str">
        <f>IFERROR(__xludf.DUMMYFUNCTION("""COMPUTED_VALUE"""),"tuscany")</f>
        <v>tuscany</v>
      </c>
      <c r="D2308" s="9" t="str">
        <f>IFERROR(__xludf.DUMMYFUNCTION("""COMPUTED_VALUE"""),"Biondi-Santi, Brunello di Montalcino, Riserva")</f>
        <v>Biondi-Santi, Brunello di Montalcino, Riserva</v>
      </c>
      <c r="E2308" s="9">
        <f>IFERROR(__xludf.DUMMYFUNCTION("""COMPUTED_VALUE"""),2010.0)</f>
        <v>2010</v>
      </c>
      <c r="F2308" s="9">
        <f>IFERROR(__xludf.DUMMYFUNCTION("""COMPUTED_VALUE"""),750.0)</f>
        <v>750</v>
      </c>
      <c r="G2308" s="9">
        <f>IFERROR(__xludf.DUMMYFUNCTION("""COMPUTED_VALUE"""),6.0)</f>
        <v>6</v>
      </c>
      <c r="H2308" s="10">
        <f>IFERROR(__xludf.DUMMYFUNCTION("""COMPUTED_VALUE"""),2.0)</f>
        <v>2</v>
      </c>
      <c r="I2308" s="11">
        <f>IFERROR(__xludf.DUMMYFUNCTION("""COMPUTED_VALUE"""),2266.0)</f>
        <v>2266</v>
      </c>
      <c r="J2308" s="9" t="str">
        <f>IFERROR(__xludf.DUMMYFUNCTION("""COMPUTED_VALUE"""),"UK")</f>
        <v>UK</v>
      </c>
      <c r="K2308" s="8"/>
      <c r="L2308" s="12"/>
      <c r="M2308" s="13"/>
      <c r="N2308" s="13" t="str">
        <f>IFERROR(__xludf.DUMMYFUNCTION("IF(ISBLANK(M2308),"""",M2308*GOOGLEFINANCE(""USDGBP""))"),"")</f>
        <v/>
      </c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  <c r="FG2308" s="8"/>
      <c r="FH2308" s="8"/>
      <c r="FI2308" s="8"/>
      <c r="FJ2308" s="8"/>
      <c r="FK2308" s="8"/>
      <c r="FL2308" s="8"/>
      <c r="FM2308" s="8"/>
      <c r="FN2308" s="8"/>
      <c r="FO2308" s="8"/>
      <c r="FP2308" s="8"/>
      <c r="FQ2308" s="8"/>
      <c r="FR2308" s="8"/>
      <c r="FS2308" s="8"/>
      <c r="FT2308" s="8"/>
      <c r="FU2308" s="8"/>
      <c r="FV2308" s="8"/>
      <c r="FW2308" s="8"/>
      <c r="FX2308" s="8"/>
      <c r="FY2308" s="8"/>
      <c r="FZ2308" s="8"/>
      <c r="GA2308" s="8"/>
      <c r="GB2308" s="8"/>
      <c r="GC2308" s="8"/>
      <c r="GD2308" s="8"/>
      <c r="GE2308" s="8"/>
      <c r="GF2308" s="8"/>
      <c r="GG2308" s="8"/>
      <c r="GH2308" s="8"/>
      <c r="GI2308" s="8"/>
      <c r="GJ2308" s="8"/>
      <c r="GK2308" s="8"/>
      <c r="GL2308" s="8"/>
      <c r="GM2308" s="8"/>
      <c r="GN2308" s="8"/>
      <c r="GO2308" s="8"/>
      <c r="GP2308" s="8"/>
      <c r="GQ2308" s="8"/>
      <c r="GR2308" s="8"/>
      <c r="GS2308" s="8"/>
      <c r="GT2308" s="8"/>
      <c r="GU2308" s="8"/>
      <c r="GV2308" s="8"/>
      <c r="GW2308" s="8"/>
      <c r="GX2308" s="8"/>
    </row>
    <row r="2309">
      <c r="A2309" s="8" t="str">
        <f>IFERROR(__xludf.DUMMYFUNCTION("""COMPUTED_VALUE"""),"109968920160600750")</f>
        <v>109968920160600750</v>
      </c>
      <c r="B2309" s="9" t="str">
        <f>IFERROR(__xludf.DUMMYFUNCTION("""COMPUTED_VALUE"""),"Italy")</f>
        <v>Italy</v>
      </c>
      <c r="C2309" s="9" t="str">
        <f>IFERROR(__xludf.DUMMYFUNCTION("""COMPUTED_VALUE"""),"tuscany")</f>
        <v>tuscany</v>
      </c>
      <c r="D2309" s="9" t="str">
        <f>IFERROR(__xludf.DUMMYFUNCTION("""COMPUTED_VALUE"""),"Ca'Marcanda (Gaja), Camarcanda, Bolgheri DOC")</f>
        <v>Ca'Marcanda (Gaja), Camarcanda, Bolgheri DOC</v>
      </c>
      <c r="E2309" s="9">
        <f>IFERROR(__xludf.DUMMYFUNCTION("""COMPUTED_VALUE"""),2016.0)</f>
        <v>2016</v>
      </c>
      <c r="F2309" s="9">
        <f>IFERROR(__xludf.DUMMYFUNCTION("""COMPUTED_VALUE"""),750.0)</f>
        <v>750</v>
      </c>
      <c r="G2309" s="9">
        <f>IFERROR(__xludf.DUMMYFUNCTION("""COMPUTED_VALUE"""),6.0)</f>
        <v>6</v>
      </c>
      <c r="H2309" s="10">
        <f>IFERROR(__xludf.DUMMYFUNCTION("""COMPUTED_VALUE"""),1.0)</f>
        <v>1</v>
      </c>
      <c r="I2309" s="11">
        <f>IFERROR(__xludf.DUMMYFUNCTION("""COMPUTED_VALUE"""),579.0)</f>
        <v>579</v>
      </c>
      <c r="J2309" s="9" t="str">
        <f>IFERROR(__xludf.DUMMYFUNCTION("""COMPUTED_VALUE"""),"UK")</f>
        <v>UK</v>
      </c>
      <c r="K2309" s="8"/>
      <c r="L2309" s="12"/>
      <c r="M2309" s="13"/>
      <c r="N2309" s="13" t="str">
        <f>IFERROR(__xludf.DUMMYFUNCTION("IF(ISBLANK(M2309),"""",M2309*GOOGLEFINANCE(""USDGBP""))"),"")</f>
        <v/>
      </c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  <c r="FG2309" s="8"/>
      <c r="FH2309" s="8"/>
      <c r="FI2309" s="8"/>
      <c r="FJ2309" s="8"/>
      <c r="FK2309" s="8"/>
      <c r="FL2309" s="8"/>
      <c r="FM2309" s="8"/>
      <c r="FN2309" s="8"/>
      <c r="FO2309" s="8"/>
      <c r="FP2309" s="8"/>
      <c r="FQ2309" s="8"/>
      <c r="FR2309" s="8"/>
      <c r="FS2309" s="8"/>
      <c r="FT2309" s="8"/>
      <c r="FU2309" s="8"/>
      <c r="FV2309" s="8"/>
      <c r="FW2309" s="8"/>
      <c r="FX2309" s="8"/>
      <c r="FY2309" s="8"/>
      <c r="FZ2309" s="8"/>
      <c r="GA2309" s="8"/>
      <c r="GB2309" s="8"/>
      <c r="GC2309" s="8"/>
      <c r="GD2309" s="8"/>
      <c r="GE2309" s="8"/>
      <c r="GF2309" s="8"/>
      <c r="GG2309" s="8"/>
      <c r="GH2309" s="8"/>
      <c r="GI2309" s="8"/>
      <c r="GJ2309" s="8"/>
      <c r="GK2309" s="8"/>
      <c r="GL2309" s="8"/>
      <c r="GM2309" s="8"/>
      <c r="GN2309" s="8"/>
      <c r="GO2309" s="8"/>
      <c r="GP2309" s="8"/>
      <c r="GQ2309" s="8"/>
      <c r="GR2309" s="8"/>
      <c r="GS2309" s="8"/>
      <c r="GT2309" s="8"/>
      <c r="GU2309" s="8"/>
      <c r="GV2309" s="8"/>
      <c r="GW2309" s="8"/>
      <c r="GX2309" s="8"/>
    </row>
    <row r="2310">
      <c r="A2310" s="8" t="str">
        <f>IFERROR(__xludf.DUMMYFUNCTION("""COMPUTED_VALUE"""),"109968920170600750")</f>
        <v>109968920170600750</v>
      </c>
      <c r="B2310" s="9" t="str">
        <f>IFERROR(__xludf.DUMMYFUNCTION("""COMPUTED_VALUE"""),"Italy")</f>
        <v>Italy</v>
      </c>
      <c r="C2310" s="9" t="str">
        <f>IFERROR(__xludf.DUMMYFUNCTION("""COMPUTED_VALUE"""),"tuscany")</f>
        <v>tuscany</v>
      </c>
      <c r="D2310" s="9" t="str">
        <f>IFERROR(__xludf.DUMMYFUNCTION("""COMPUTED_VALUE"""),"Ca'Marcanda (Gaja), Camarcanda, Bolgheri DOC")</f>
        <v>Ca'Marcanda (Gaja), Camarcanda, Bolgheri DOC</v>
      </c>
      <c r="E2310" s="9">
        <f>IFERROR(__xludf.DUMMYFUNCTION("""COMPUTED_VALUE"""),2017.0)</f>
        <v>2017</v>
      </c>
      <c r="F2310" s="9">
        <f>IFERROR(__xludf.DUMMYFUNCTION("""COMPUTED_VALUE"""),750.0)</f>
        <v>750</v>
      </c>
      <c r="G2310" s="9">
        <f>IFERROR(__xludf.DUMMYFUNCTION("""COMPUTED_VALUE"""),6.0)</f>
        <v>6</v>
      </c>
      <c r="H2310" s="10">
        <f>IFERROR(__xludf.DUMMYFUNCTION("""COMPUTED_VALUE"""),1.0)</f>
        <v>1</v>
      </c>
      <c r="I2310" s="11">
        <f>IFERROR(__xludf.DUMMYFUNCTION("""COMPUTED_VALUE"""),364.0)</f>
        <v>364</v>
      </c>
      <c r="J2310" s="9" t="str">
        <f>IFERROR(__xludf.DUMMYFUNCTION("""COMPUTED_VALUE"""),"UK")</f>
        <v>UK</v>
      </c>
      <c r="K2310" s="8"/>
      <c r="L2310" s="12"/>
      <c r="M2310" s="13"/>
      <c r="N2310" s="13" t="str">
        <f>IFERROR(__xludf.DUMMYFUNCTION("IF(ISBLANK(M2310),"""",M2310*GOOGLEFINANCE(""USDGBP""))"),"")</f>
        <v/>
      </c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  <c r="FG2310" s="8"/>
      <c r="FH2310" s="8"/>
      <c r="FI2310" s="8"/>
      <c r="FJ2310" s="8"/>
      <c r="FK2310" s="8"/>
      <c r="FL2310" s="8"/>
      <c r="FM2310" s="8"/>
      <c r="FN2310" s="8"/>
      <c r="FO2310" s="8"/>
      <c r="FP2310" s="8"/>
      <c r="FQ2310" s="8"/>
      <c r="FR2310" s="8"/>
      <c r="FS2310" s="8"/>
      <c r="FT2310" s="8"/>
      <c r="FU2310" s="8"/>
      <c r="FV2310" s="8"/>
      <c r="FW2310" s="8"/>
      <c r="FX2310" s="8"/>
      <c r="FY2310" s="8"/>
      <c r="FZ2310" s="8"/>
      <c r="GA2310" s="8"/>
      <c r="GB2310" s="8"/>
      <c r="GC2310" s="8"/>
      <c r="GD2310" s="8"/>
      <c r="GE2310" s="8"/>
      <c r="GF2310" s="8"/>
      <c r="GG2310" s="8"/>
      <c r="GH2310" s="8"/>
      <c r="GI2310" s="8"/>
      <c r="GJ2310" s="8"/>
      <c r="GK2310" s="8"/>
      <c r="GL2310" s="8"/>
      <c r="GM2310" s="8"/>
      <c r="GN2310" s="8"/>
      <c r="GO2310" s="8"/>
      <c r="GP2310" s="8"/>
      <c r="GQ2310" s="8"/>
      <c r="GR2310" s="8"/>
      <c r="GS2310" s="8"/>
      <c r="GT2310" s="8"/>
      <c r="GU2310" s="8"/>
      <c r="GV2310" s="8"/>
      <c r="GW2310" s="8"/>
      <c r="GX2310" s="8"/>
    </row>
    <row r="2311">
      <c r="A2311" s="8" t="str">
        <f>IFERROR(__xludf.DUMMYFUNCTION("""COMPUTED_VALUE"""),"109968920190600750")</f>
        <v>109968920190600750</v>
      </c>
      <c r="B2311" s="9" t="str">
        <f>IFERROR(__xludf.DUMMYFUNCTION("""COMPUTED_VALUE"""),"Italy")</f>
        <v>Italy</v>
      </c>
      <c r="C2311" s="9" t="str">
        <f>IFERROR(__xludf.DUMMYFUNCTION("""COMPUTED_VALUE"""),"tuscany")</f>
        <v>tuscany</v>
      </c>
      <c r="D2311" s="9" t="str">
        <f>IFERROR(__xludf.DUMMYFUNCTION("""COMPUTED_VALUE"""),"Ca'Marcanda (Gaja), Camarcanda, Bolgheri DOC")</f>
        <v>Ca'Marcanda (Gaja), Camarcanda, Bolgheri DOC</v>
      </c>
      <c r="E2311" s="9">
        <f>IFERROR(__xludf.DUMMYFUNCTION("""COMPUTED_VALUE"""),2019.0)</f>
        <v>2019</v>
      </c>
      <c r="F2311" s="9">
        <f>IFERROR(__xludf.DUMMYFUNCTION("""COMPUTED_VALUE"""),750.0)</f>
        <v>750</v>
      </c>
      <c r="G2311" s="9">
        <f>IFERROR(__xludf.DUMMYFUNCTION("""COMPUTED_VALUE"""),6.0)</f>
        <v>6</v>
      </c>
      <c r="H2311" s="10">
        <f>IFERROR(__xludf.DUMMYFUNCTION("""COMPUTED_VALUE"""),3.0)</f>
        <v>3</v>
      </c>
      <c r="I2311" s="11">
        <f>IFERROR(__xludf.DUMMYFUNCTION("""COMPUTED_VALUE"""),691.0)</f>
        <v>691</v>
      </c>
      <c r="J2311" s="9" t="str">
        <f>IFERROR(__xludf.DUMMYFUNCTION("""COMPUTED_VALUE"""),"UK")</f>
        <v>UK</v>
      </c>
      <c r="K2311" s="8"/>
      <c r="L2311" s="12"/>
      <c r="M2311" s="13"/>
      <c r="N2311" s="13" t="str">
        <f>IFERROR(__xludf.DUMMYFUNCTION("IF(ISBLANK(M2311),"""",M2311*GOOGLEFINANCE(""USDGBP""))"),"")</f>
        <v/>
      </c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  <c r="FG2311" s="8"/>
      <c r="FH2311" s="8"/>
      <c r="FI2311" s="8"/>
      <c r="FJ2311" s="8"/>
      <c r="FK2311" s="8"/>
      <c r="FL2311" s="8"/>
      <c r="FM2311" s="8"/>
      <c r="FN2311" s="8"/>
      <c r="FO2311" s="8"/>
      <c r="FP2311" s="8"/>
      <c r="FQ2311" s="8"/>
      <c r="FR2311" s="8"/>
      <c r="FS2311" s="8"/>
      <c r="FT2311" s="8"/>
      <c r="FU2311" s="8"/>
      <c r="FV2311" s="8"/>
      <c r="FW2311" s="8"/>
      <c r="FX2311" s="8"/>
      <c r="FY2311" s="8"/>
      <c r="FZ2311" s="8"/>
      <c r="GA2311" s="8"/>
      <c r="GB2311" s="8"/>
      <c r="GC2311" s="8"/>
      <c r="GD2311" s="8"/>
      <c r="GE2311" s="8"/>
      <c r="GF2311" s="8"/>
      <c r="GG2311" s="8"/>
      <c r="GH2311" s="8"/>
      <c r="GI2311" s="8"/>
      <c r="GJ2311" s="8"/>
      <c r="GK2311" s="8"/>
      <c r="GL2311" s="8"/>
      <c r="GM2311" s="8"/>
      <c r="GN2311" s="8"/>
      <c r="GO2311" s="8"/>
      <c r="GP2311" s="8"/>
      <c r="GQ2311" s="8"/>
      <c r="GR2311" s="8"/>
      <c r="GS2311" s="8"/>
      <c r="GT2311" s="8"/>
      <c r="GU2311" s="8"/>
      <c r="GV2311" s="8"/>
      <c r="GW2311" s="8"/>
      <c r="GX2311" s="8"/>
    </row>
    <row r="2312">
      <c r="A2312" s="8" t="str">
        <f>IFERROR(__xludf.DUMMYFUNCTION("""COMPUTED_VALUE"""),"109709220040600750")</f>
        <v>109709220040600750</v>
      </c>
      <c r="B2312" s="9" t="str">
        <f>IFERROR(__xludf.DUMMYFUNCTION("""COMPUTED_VALUE"""),"Italy")</f>
        <v>Italy</v>
      </c>
      <c r="C2312" s="9" t="str">
        <f>IFERROR(__xludf.DUMMYFUNCTION("""COMPUTED_VALUE"""),"tuscany")</f>
        <v>tuscany</v>
      </c>
      <c r="D2312" s="9" t="str">
        <f>IFERROR(__xludf.DUMMYFUNCTION("""COMPUTED_VALUE"""),"Casanova di Neri, Brunello di Montalcino, Cerretalto")</f>
        <v>Casanova di Neri, Brunello di Montalcino, Cerretalto</v>
      </c>
      <c r="E2312" s="9">
        <f>IFERROR(__xludf.DUMMYFUNCTION("""COMPUTED_VALUE"""),2004.0)</f>
        <v>2004</v>
      </c>
      <c r="F2312" s="9">
        <f>IFERROR(__xludf.DUMMYFUNCTION("""COMPUTED_VALUE"""),750.0)</f>
        <v>750</v>
      </c>
      <c r="G2312" s="9">
        <f>IFERROR(__xludf.DUMMYFUNCTION("""COMPUTED_VALUE"""),6.0)</f>
        <v>6</v>
      </c>
      <c r="H2312" s="10">
        <f>IFERROR(__xludf.DUMMYFUNCTION("""COMPUTED_VALUE"""),1.0)</f>
        <v>1</v>
      </c>
      <c r="I2312" s="11">
        <f>IFERROR(__xludf.DUMMYFUNCTION("""COMPUTED_VALUE"""),1291.0)</f>
        <v>1291</v>
      </c>
      <c r="J2312" s="9" t="str">
        <f>IFERROR(__xludf.DUMMYFUNCTION("""COMPUTED_VALUE"""),"UK")</f>
        <v>UK</v>
      </c>
      <c r="K2312" s="8"/>
      <c r="L2312" s="12"/>
      <c r="M2312" s="13"/>
      <c r="N2312" s="13" t="str">
        <f>IFERROR(__xludf.DUMMYFUNCTION("IF(ISBLANK(M2312),"""",M2312*GOOGLEFINANCE(""USDGBP""))"),"")</f>
        <v/>
      </c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  <c r="FG2312" s="8"/>
      <c r="FH2312" s="8"/>
      <c r="FI2312" s="8"/>
      <c r="FJ2312" s="8"/>
      <c r="FK2312" s="8"/>
      <c r="FL2312" s="8"/>
      <c r="FM2312" s="8"/>
      <c r="FN2312" s="8"/>
      <c r="FO2312" s="8"/>
      <c r="FP2312" s="8"/>
      <c r="FQ2312" s="8"/>
      <c r="FR2312" s="8"/>
      <c r="FS2312" s="8"/>
      <c r="FT2312" s="8"/>
      <c r="FU2312" s="8"/>
      <c r="FV2312" s="8"/>
      <c r="FW2312" s="8"/>
      <c r="FX2312" s="8"/>
      <c r="FY2312" s="8"/>
      <c r="FZ2312" s="8"/>
      <c r="GA2312" s="8"/>
      <c r="GB2312" s="8"/>
      <c r="GC2312" s="8"/>
      <c r="GD2312" s="8"/>
      <c r="GE2312" s="8"/>
      <c r="GF2312" s="8"/>
      <c r="GG2312" s="8"/>
      <c r="GH2312" s="8"/>
      <c r="GI2312" s="8"/>
      <c r="GJ2312" s="8"/>
      <c r="GK2312" s="8"/>
      <c r="GL2312" s="8"/>
      <c r="GM2312" s="8"/>
      <c r="GN2312" s="8"/>
      <c r="GO2312" s="8"/>
      <c r="GP2312" s="8"/>
      <c r="GQ2312" s="8"/>
      <c r="GR2312" s="8"/>
      <c r="GS2312" s="8"/>
      <c r="GT2312" s="8"/>
      <c r="GU2312" s="8"/>
      <c r="GV2312" s="8"/>
      <c r="GW2312" s="8"/>
      <c r="GX2312" s="8"/>
    </row>
    <row r="2313">
      <c r="A2313" s="8" t="str">
        <f>IFERROR(__xludf.DUMMYFUNCTION("""COMPUTED_VALUE"""),"109709220120300750")</f>
        <v>109709220120300750</v>
      </c>
      <c r="B2313" s="9" t="str">
        <f>IFERROR(__xludf.DUMMYFUNCTION("""COMPUTED_VALUE"""),"Italy")</f>
        <v>Italy</v>
      </c>
      <c r="C2313" s="9" t="str">
        <f>IFERROR(__xludf.DUMMYFUNCTION("""COMPUTED_VALUE"""),"tuscany")</f>
        <v>tuscany</v>
      </c>
      <c r="D2313" s="9" t="str">
        <f>IFERROR(__xludf.DUMMYFUNCTION("""COMPUTED_VALUE"""),"Casanova di Neri, Brunello di Montalcino, Cerretalto")</f>
        <v>Casanova di Neri, Brunello di Montalcino, Cerretalto</v>
      </c>
      <c r="E2313" s="9">
        <f>IFERROR(__xludf.DUMMYFUNCTION("""COMPUTED_VALUE"""),2012.0)</f>
        <v>2012</v>
      </c>
      <c r="F2313" s="9">
        <f>IFERROR(__xludf.DUMMYFUNCTION("""COMPUTED_VALUE"""),750.0)</f>
        <v>750</v>
      </c>
      <c r="G2313" s="9">
        <f>IFERROR(__xludf.DUMMYFUNCTION("""COMPUTED_VALUE"""),3.0)</f>
        <v>3</v>
      </c>
      <c r="H2313" s="10">
        <f>IFERROR(__xludf.DUMMYFUNCTION("""COMPUTED_VALUE"""),1.0)</f>
        <v>1</v>
      </c>
      <c r="I2313" s="11">
        <f>IFERROR(__xludf.DUMMYFUNCTION("""COMPUTED_VALUE"""),688.0)</f>
        <v>688</v>
      </c>
      <c r="J2313" s="9" t="str">
        <f>IFERROR(__xludf.DUMMYFUNCTION("""COMPUTED_VALUE"""),"UK")</f>
        <v>UK</v>
      </c>
      <c r="K2313" s="8"/>
      <c r="L2313" s="12"/>
      <c r="M2313" s="13"/>
      <c r="N2313" s="13" t="str">
        <f>IFERROR(__xludf.DUMMYFUNCTION("IF(ISBLANK(M2313),"""",M2313*GOOGLEFINANCE(""USDGBP""))"),"")</f>
        <v/>
      </c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  <c r="FG2313" s="8"/>
      <c r="FH2313" s="8"/>
      <c r="FI2313" s="8"/>
      <c r="FJ2313" s="8"/>
      <c r="FK2313" s="8"/>
      <c r="FL2313" s="8"/>
      <c r="FM2313" s="8"/>
      <c r="FN2313" s="8"/>
      <c r="FO2313" s="8"/>
      <c r="FP2313" s="8"/>
      <c r="FQ2313" s="8"/>
      <c r="FR2313" s="8"/>
      <c r="FS2313" s="8"/>
      <c r="FT2313" s="8"/>
      <c r="FU2313" s="8"/>
      <c r="FV2313" s="8"/>
      <c r="FW2313" s="8"/>
      <c r="FX2313" s="8"/>
      <c r="FY2313" s="8"/>
      <c r="FZ2313" s="8"/>
      <c r="GA2313" s="8"/>
      <c r="GB2313" s="8"/>
      <c r="GC2313" s="8"/>
      <c r="GD2313" s="8"/>
      <c r="GE2313" s="8"/>
      <c r="GF2313" s="8"/>
      <c r="GG2313" s="8"/>
      <c r="GH2313" s="8"/>
      <c r="GI2313" s="8"/>
      <c r="GJ2313" s="8"/>
      <c r="GK2313" s="8"/>
      <c r="GL2313" s="8"/>
      <c r="GM2313" s="8"/>
      <c r="GN2313" s="8"/>
      <c r="GO2313" s="8"/>
      <c r="GP2313" s="8"/>
      <c r="GQ2313" s="8"/>
      <c r="GR2313" s="8"/>
      <c r="GS2313" s="8"/>
      <c r="GT2313" s="8"/>
      <c r="GU2313" s="8"/>
      <c r="GV2313" s="8"/>
      <c r="GW2313" s="8"/>
      <c r="GX2313" s="8"/>
    </row>
    <row r="2314">
      <c r="A2314" s="8" t="str">
        <f>IFERROR(__xludf.DUMMYFUNCTION("""COMPUTED_VALUE"""),"109709220150300750")</f>
        <v>109709220150300750</v>
      </c>
      <c r="B2314" s="9" t="str">
        <f>IFERROR(__xludf.DUMMYFUNCTION("""COMPUTED_VALUE"""),"Italy")</f>
        <v>Italy</v>
      </c>
      <c r="C2314" s="9" t="str">
        <f>IFERROR(__xludf.DUMMYFUNCTION("""COMPUTED_VALUE"""),"tuscany")</f>
        <v>tuscany</v>
      </c>
      <c r="D2314" s="9" t="str">
        <f>IFERROR(__xludf.DUMMYFUNCTION("""COMPUTED_VALUE"""),"Casanova di Neri, Brunello di Montalcino, Cerretalto")</f>
        <v>Casanova di Neri, Brunello di Montalcino, Cerretalto</v>
      </c>
      <c r="E2314" s="9">
        <f>IFERROR(__xludf.DUMMYFUNCTION("""COMPUTED_VALUE"""),2015.0)</f>
        <v>2015</v>
      </c>
      <c r="F2314" s="9">
        <f>IFERROR(__xludf.DUMMYFUNCTION("""COMPUTED_VALUE"""),750.0)</f>
        <v>750</v>
      </c>
      <c r="G2314" s="9">
        <f>IFERROR(__xludf.DUMMYFUNCTION("""COMPUTED_VALUE"""),3.0)</f>
        <v>3</v>
      </c>
      <c r="H2314" s="10">
        <f>IFERROR(__xludf.DUMMYFUNCTION("""COMPUTED_VALUE"""),18.0)</f>
        <v>18</v>
      </c>
      <c r="I2314" s="11">
        <f>IFERROR(__xludf.DUMMYFUNCTION("""COMPUTED_VALUE"""),780.0)</f>
        <v>780</v>
      </c>
      <c r="J2314" s="9" t="str">
        <f>IFERROR(__xludf.DUMMYFUNCTION("""COMPUTED_VALUE"""),"UK")</f>
        <v>UK</v>
      </c>
      <c r="K2314" s="8"/>
      <c r="L2314" s="12"/>
      <c r="M2314" s="13"/>
      <c r="N2314" s="13" t="str">
        <f>IFERROR(__xludf.DUMMYFUNCTION("IF(ISBLANK(M2314),"""",M2314*GOOGLEFINANCE(""USDGBP""))"),"")</f>
        <v/>
      </c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  <c r="FG2314" s="8"/>
      <c r="FH2314" s="8"/>
      <c r="FI2314" s="8"/>
      <c r="FJ2314" s="8"/>
      <c r="FK2314" s="8"/>
      <c r="FL2314" s="8"/>
      <c r="FM2314" s="8"/>
      <c r="FN2314" s="8"/>
      <c r="FO2314" s="8"/>
      <c r="FP2314" s="8"/>
      <c r="FQ2314" s="8"/>
      <c r="FR2314" s="8"/>
      <c r="FS2314" s="8"/>
      <c r="FT2314" s="8"/>
      <c r="FU2314" s="8"/>
      <c r="FV2314" s="8"/>
      <c r="FW2314" s="8"/>
      <c r="FX2314" s="8"/>
      <c r="FY2314" s="8"/>
      <c r="FZ2314" s="8"/>
      <c r="GA2314" s="8"/>
      <c r="GB2314" s="8"/>
      <c r="GC2314" s="8"/>
      <c r="GD2314" s="8"/>
      <c r="GE2314" s="8"/>
      <c r="GF2314" s="8"/>
      <c r="GG2314" s="8"/>
      <c r="GH2314" s="8"/>
      <c r="GI2314" s="8"/>
      <c r="GJ2314" s="8"/>
      <c r="GK2314" s="8"/>
      <c r="GL2314" s="8"/>
      <c r="GM2314" s="8"/>
      <c r="GN2314" s="8"/>
      <c r="GO2314" s="8"/>
      <c r="GP2314" s="8"/>
      <c r="GQ2314" s="8"/>
      <c r="GR2314" s="8"/>
      <c r="GS2314" s="8"/>
      <c r="GT2314" s="8"/>
      <c r="GU2314" s="8"/>
      <c r="GV2314" s="8"/>
      <c r="GW2314" s="8"/>
      <c r="GX2314" s="8"/>
    </row>
    <row r="2315">
      <c r="A2315" s="8" t="str">
        <f>IFERROR(__xludf.DUMMYFUNCTION("""COMPUTED_VALUE"""),"109711920120600750")</f>
        <v>109711920120600750</v>
      </c>
      <c r="B2315" s="9" t="str">
        <f>IFERROR(__xludf.DUMMYFUNCTION("""COMPUTED_VALUE"""),"Italy")</f>
        <v>Italy</v>
      </c>
      <c r="C2315" s="9" t="str">
        <f>IFERROR(__xludf.DUMMYFUNCTION("""COMPUTED_VALUE"""),"tuscany")</f>
        <v>tuscany</v>
      </c>
      <c r="D2315" s="9" t="str">
        <f>IFERROR(__xludf.DUMMYFUNCTION("""COMPUTED_VALUE"""),"Casanova di Neri, Brunello di Montalcino, Tenuta Nuova")</f>
        <v>Casanova di Neri, Brunello di Montalcino, Tenuta Nuova</v>
      </c>
      <c r="E2315" s="9">
        <f>IFERROR(__xludf.DUMMYFUNCTION("""COMPUTED_VALUE"""),2012.0)</f>
        <v>2012</v>
      </c>
      <c r="F2315" s="9">
        <f>IFERROR(__xludf.DUMMYFUNCTION("""COMPUTED_VALUE"""),750.0)</f>
        <v>750</v>
      </c>
      <c r="G2315" s="9">
        <f>IFERROR(__xludf.DUMMYFUNCTION("""COMPUTED_VALUE"""),6.0)</f>
        <v>6</v>
      </c>
      <c r="H2315" s="10">
        <f>IFERROR(__xludf.DUMMYFUNCTION("""COMPUTED_VALUE"""),3.0)</f>
        <v>3</v>
      </c>
      <c r="I2315" s="11">
        <f>IFERROR(__xludf.DUMMYFUNCTION("""COMPUTED_VALUE"""),537.0)</f>
        <v>537</v>
      </c>
      <c r="J2315" s="9" t="str">
        <f>IFERROR(__xludf.DUMMYFUNCTION("""COMPUTED_VALUE"""),"UK")</f>
        <v>UK</v>
      </c>
      <c r="K2315" s="8"/>
      <c r="L2315" s="12"/>
      <c r="M2315" s="13"/>
      <c r="N2315" s="13" t="str">
        <f>IFERROR(__xludf.DUMMYFUNCTION("IF(ISBLANK(M2315),"""",M2315*GOOGLEFINANCE(""USDGBP""))"),"")</f>
        <v/>
      </c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  <c r="FG2315" s="8"/>
      <c r="FH2315" s="8"/>
      <c r="FI2315" s="8"/>
      <c r="FJ2315" s="8"/>
      <c r="FK2315" s="8"/>
      <c r="FL2315" s="8"/>
      <c r="FM2315" s="8"/>
      <c r="FN2315" s="8"/>
      <c r="FO2315" s="8"/>
      <c r="FP2315" s="8"/>
      <c r="FQ2315" s="8"/>
      <c r="FR2315" s="8"/>
      <c r="FS2315" s="8"/>
      <c r="FT2315" s="8"/>
      <c r="FU2315" s="8"/>
      <c r="FV2315" s="8"/>
      <c r="FW2315" s="8"/>
      <c r="FX2315" s="8"/>
      <c r="FY2315" s="8"/>
      <c r="FZ2315" s="8"/>
      <c r="GA2315" s="8"/>
      <c r="GB2315" s="8"/>
      <c r="GC2315" s="8"/>
      <c r="GD2315" s="8"/>
      <c r="GE2315" s="8"/>
      <c r="GF2315" s="8"/>
      <c r="GG2315" s="8"/>
      <c r="GH2315" s="8"/>
      <c r="GI2315" s="8"/>
      <c r="GJ2315" s="8"/>
      <c r="GK2315" s="8"/>
      <c r="GL2315" s="8"/>
      <c r="GM2315" s="8"/>
      <c r="GN2315" s="8"/>
      <c r="GO2315" s="8"/>
      <c r="GP2315" s="8"/>
      <c r="GQ2315" s="8"/>
      <c r="GR2315" s="8"/>
      <c r="GS2315" s="8"/>
      <c r="GT2315" s="8"/>
      <c r="GU2315" s="8"/>
      <c r="GV2315" s="8"/>
      <c r="GW2315" s="8"/>
      <c r="GX2315" s="8"/>
    </row>
    <row r="2316">
      <c r="A2316" s="8" t="str">
        <f>IFERROR(__xludf.DUMMYFUNCTION("""COMPUTED_VALUE"""),"109711920150600750")</f>
        <v>109711920150600750</v>
      </c>
      <c r="B2316" s="9" t="str">
        <f>IFERROR(__xludf.DUMMYFUNCTION("""COMPUTED_VALUE"""),"Italy")</f>
        <v>Italy</v>
      </c>
      <c r="C2316" s="9" t="str">
        <f>IFERROR(__xludf.DUMMYFUNCTION("""COMPUTED_VALUE"""),"tuscany")</f>
        <v>tuscany</v>
      </c>
      <c r="D2316" s="9" t="str">
        <f>IFERROR(__xludf.DUMMYFUNCTION("""COMPUTED_VALUE"""),"Casanova di Neri, Brunello di Montalcino, Tenuta Nuova")</f>
        <v>Casanova di Neri, Brunello di Montalcino, Tenuta Nuova</v>
      </c>
      <c r="E2316" s="9">
        <f>IFERROR(__xludf.DUMMYFUNCTION("""COMPUTED_VALUE"""),2015.0)</f>
        <v>2015</v>
      </c>
      <c r="F2316" s="9">
        <f>IFERROR(__xludf.DUMMYFUNCTION("""COMPUTED_VALUE"""),750.0)</f>
        <v>750</v>
      </c>
      <c r="G2316" s="9">
        <f>IFERROR(__xludf.DUMMYFUNCTION("""COMPUTED_VALUE"""),6.0)</f>
        <v>6</v>
      </c>
      <c r="H2316" s="10">
        <f>IFERROR(__xludf.DUMMYFUNCTION("""COMPUTED_VALUE"""),2.0)</f>
        <v>2</v>
      </c>
      <c r="I2316" s="11">
        <f>IFERROR(__xludf.DUMMYFUNCTION("""COMPUTED_VALUE"""),438.0)</f>
        <v>438</v>
      </c>
      <c r="J2316" s="9" t="str">
        <f>IFERROR(__xludf.DUMMYFUNCTION("""COMPUTED_VALUE"""),"UK")</f>
        <v>UK</v>
      </c>
      <c r="K2316" s="8"/>
      <c r="L2316" s="12"/>
      <c r="M2316" s="13"/>
      <c r="N2316" s="13" t="str">
        <f>IFERROR(__xludf.DUMMYFUNCTION("IF(ISBLANK(M2316),"""",M2316*GOOGLEFINANCE(""USDGBP""))"),"")</f>
        <v/>
      </c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  <c r="FG2316" s="8"/>
      <c r="FH2316" s="8"/>
      <c r="FI2316" s="8"/>
      <c r="FJ2316" s="8"/>
      <c r="FK2316" s="8"/>
      <c r="FL2316" s="8"/>
      <c r="FM2316" s="8"/>
      <c r="FN2316" s="8"/>
      <c r="FO2316" s="8"/>
      <c r="FP2316" s="8"/>
      <c r="FQ2316" s="8"/>
      <c r="FR2316" s="8"/>
      <c r="FS2316" s="8"/>
      <c r="FT2316" s="8"/>
      <c r="FU2316" s="8"/>
      <c r="FV2316" s="8"/>
      <c r="FW2316" s="8"/>
      <c r="FX2316" s="8"/>
      <c r="FY2316" s="8"/>
      <c r="FZ2316" s="8"/>
      <c r="GA2316" s="8"/>
      <c r="GB2316" s="8"/>
      <c r="GC2316" s="8"/>
      <c r="GD2316" s="8"/>
      <c r="GE2316" s="8"/>
      <c r="GF2316" s="8"/>
      <c r="GG2316" s="8"/>
      <c r="GH2316" s="8"/>
      <c r="GI2316" s="8"/>
      <c r="GJ2316" s="8"/>
      <c r="GK2316" s="8"/>
      <c r="GL2316" s="8"/>
      <c r="GM2316" s="8"/>
      <c r="GN2316" s="8"/>
      <c r="GO2316" s="8"/>
      <c r="GP2316" s="8"/>
      <c r="GQ2316" s="8"/>
      <c r="GR2316" s="8"/>
      <c r="GS2316" s="8"/>
      <c r="GT2316" s="8"/>
      <c r="GU2316" s="8"/>
      <c r="GV2316" s="8"/>
      <c r="GW2316" s="8"/>
      <c r="GX2316" s="8"/>
    </row>
    <row r="2317">
      <c r="A2317" s="8" t="str">
        <f>IFERROR(__xludf.DUMMYFUNCTION("""COMPUTED_VALUE"""),"109736620100600750")</f>
        <v>109736620100600750</v>
      </c>
      <c r="B2317" s="9" t="str">
        <f>IFERROR(__xludf.DUMMYFUNCTION("""COMPUTED_VALUE"""),"Italy")</f>
        <v>Italy</v>
      </c>
      <c r="C2317" s="9" t="str">
        <f>IFERROR(__xludf.DUMMYFUNCTION("""COMPUTED_VALUE"""),"tuscany")</f>
        <v>tuscany</v>
      </c>
      <c r="D2317" s="9" t="str">
        <f>IFERROR(__xludf.DUMMYFUNCTION("""COMPUTED_VALUE"""),"Castello di Ama, Apparita, Toscana")</f>
        <v>Castello di Ama, Apparita, Toscana</v>
      </c>
      <c r="E2317" s="9">
        <f>IFERROR(__xludf.DUMMYFUNCTION("""COMPUTED_VALUE"""),2010.0)</f>
        <v>2010</v>
      </c>
      <c r="F2317" s="9">
        <f>IFERROR(__xludf.DUMMYFUNCTION("""COMPUTED_VALUE"""),750.0)</f>
        <v>750</v>
      </c>
      <c r="G2317" s="9">
        <f>IFERROR(__xludf.DUMMYFUNCTION("""COMPUTED_VALUE"""),6.0)</f>
        <v>6</v>
      </c>
      <c r="H2317" s="10">
        <f>IFERROR(__xludf.DUMMYFUNCTION("""COMPUTED_VALUE"""),2.0)</f>
        <v>2</v>
      </c>
      <c r="I2317" s="11">
        <f>IFERROR(__xludf.DUMMYFUNCTION("""COMPUTED_VALUE"""),1023.0)</f>
        <v>1023</v>
      </c>
      <c r="J2317" s="9" t="str">
        <f>IFERROR(__xludf.DUMMYFUNCTION("""COMPUTED_VALUE"""),"UK")</f>
        <v>UK</v>
      </c>
      <c r="K2317" s="8"/>
      <c r="L2317" s="12"/>
      <c r="M2317" s="13"/>
      <c r="N2317" s="13" t="str">
        <f>IFERROR(__xludf.DUMMYFUNCTION("IF(ISBLANK(M2317),"""",M2317*GOOGLEFINANCE(""USDGBP""))"),"")</f>
        <v/>
      </c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  <c r="FG2317" s="8"/>
      <c r="FH2317" s="8"/>
      <c r="FI2317" s="8"/>
      <c r="FJ2317" s="8"/>
      <c r="FK2317" s="8"/>
      <c r="FL2317" s="8"/>
      <c r="FM2317" s="8"/>
      <c r="FN2317" s="8"/>
      <c r="FO2317" s="8"/>
      <c r="FP2317" s="8"/>
      <c r="FQ2317" s="8"/>
      <c r="FR2317" s="8"/>
      <c r="FS2317" s="8"/>
      <c r="FT2317" s="8"/>
      <c r="FU2317" s="8"/>
      <c r="FV2317" s="8"/>
      <c r="FW2317" s="8"/>
      <c r="FX2317" s="8"/>
      <c r="FY2317" s="8"/>
      <c r="FZ2317" s="8"/>
      <c r="GA2317" s="8"/>
      <c r="GB2317" s="8"/>
      <c r="GC2317" s="8"/>
      <c r="GD2317" s="8"/>
      <c r="GE2317" s="8"/>
      <c r="GF2317" s="8"/>
      <c r="GG2317" s="8"/>
      <c r="GH2317" s="8"/>
      <c r="GI2317" s="8"/>
      <c r="GJ2317" s="8"/>
      <c r="GK2317" s="8"/>
      <c r="GL2317" s="8"/>
      <c r="GM2317" s="8"/>
      <c r="GN2317" s="8"/>
      <c r="GO2317" s="8"/>
      <c r="GP2317" s="8"/>
      <c r="GQ2317" s="8"/>
      <c r="GR2317" s="8"/>
      <c r="GS2317" s="8"/>
      <c r="GT2317" s="8"/>
      <c r="GU2317" s="8"/>
      <c r="GV2317" s="8"/>
      <c r="GW2317" s="8"/>
      <c r="GX2317" s="8"/>
    </row>
    <row r="2318">
      <c r="A2318" s="8" t="str">
        <f>IFERROR(__xludf.DUMMYFUNCTION("""COMPUTED_VALUE"""),"109736620110600750")</f>
        <v>109736620110600750</v>
      </c>
      <c r="B2318" s="9" t="str">
        <f>IFERROR(__xludf.DUMMYFUNCTION("""COMPUTED_VALUE"""),"Italy")</f>
        <v>Italy</v>
      </c>
      <c r="C2318" s="9" t="str">
        <f>IFERROR(__xludf.DUMMYFUNCTION("""COMPUTED_VALUE"""),"tuscany")</f>
        <v>tuscany</v>
      </c>
      <c r="D2318" s="9" t="str">
        <f>IFERROR(__xludf.DUMMYFUNCTION("""COMPUTED_VALUE"""),"Castello di Ama, Apparita, Toscana")</f>
        <v>Castello di Ama, Apparita, Toscana</v>
      </c>
      <c r="E2318" s="9">
        <f>IFERROR(__xludf.DUMMYFUNCTION("""COMPUTED_VALUE"""),2011.0)</f>
        <v>2011</v>
      </c>
      <c r="F2318" s="9">
        <f>IFERROR(__xludf.DUMMYFUNCTION("""COMPUTED_VALUE"""),750.0)</f>
        <v>750</v>
      </c>
      <c r="G2318" s="9">
        <f>IFERROR(__xludf.DUMMYFUNCTION("""COMPUTED_VALUE"""),6.0)</f>
        <v>6</v>
      </c>
      <c r="H2318" s="10">
        <f>IFERROR(__xludf.DUMMYFUNCTION("""COMPUTED_VALUE"""),1.0)</f>
        <v>1</v>
      </c>
      <c r="I2318" s="11">
        <f>IFERROR(__xludf.DUMMYFUNCTION("""COMPUTED_VALUE"""),897.0)</f>
        <v>897</v>
      </c>
      <c r="J2318" s="9" t="str">
        <f>IFERROR(__xludf.DUMMYFUNCTION("""COMPUTED_VALUE"""),"UK")</f>
        <v>UK</v>
      </c>
      <c r="K2318" s="8"/>
      <c r="L2318" s="12"/>
      <c r="M2318" s="13"/>
      <c r="N2318" s="13" t="str">
        <f>IFERROR(__xludf.DUMMYFUNCTION("IF(ISBLANK(M2318),"""",M2318*GOOGLEFINANCE(""USDGBP""))"),"")</f>
        <v/>
      </c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  <c r="FG2318" s="8"/>
      <c r="FH2318" s="8"/>
      <c r="FI2318" s="8"/>
      <c r="FJ2318" s="8"/>
      <c r="FK2318" s="8"/>
      <c r="FL2318" s="8"/>
      <c r="FM2318" s="8"/>
      <c r="FN2318" s="8"/>
      <c r="FO2318" s="8"/>
      <c r="FP2318" s="8"/>
      <c r="FQ2318" s="8"/>
      <c r="FR2318" s="8"/>
      <c r="FS2318" s="8"/>
      <c r="FT2318" s="8"/>
      <c r="FU2318" s="8"/>
      <c r="FV2318" s="8"/>
      <c r="FW2318" s="8"/>
      <c r="FX2318" s="8"/>
      <c r="FY2318" s="8"/>
      <c r="FZ2318" s="8"/>
      <c r="GA2318" s="8"/>
      <c r="GB2318" s="8"/>
      <c r="GC2318" s="8"/>
      <c r="GD2318" s="8"/>
      <c r="GE2318" s="8"/>
      <c r="GF2318" s="8"/>
      <c r="GG2318" s="8"/>
      <c r="GH2318" s="8"/>
      <c r="GI2318" s="8"/>
      <c r="GJ2318" s="8"/>
      <c r="GK2318" s="8"/>
      <c r="GL2318" s="8"/>
      <c r="GM2318" s="8"/>
      <c r="GN2318" s="8"/>
      <c r="GO2318" s="8"/>
      <c r="GP2318" s="8"/>
      <c r="GQ2318" s="8"/>
      <c r="GR2318" s="8"/>
      <c r="GS2318" s="8"/>
      <c r="GT2318" s="8"/>
      <c r="GU2318" s="8"/>
      <c r="GV2318" s="8"/>
      <c r="GW2318" s="8"/>
      <c r="GX2318" s="8"/>
    </row>
    <row r="2319">
      <c r="A2319" s="8" t="str">
        <f>IFERROR(__xludf.DUMMYFUNCTION("""COMPUTED_VALUE"""),"109736620130600750")</f>
        <v>109736620130600750</v>
      </c>
      <c r="B2319" s="9" t="str">
        <f>IFERROR(__xludf.DUMMYFUNCTION("""COMPUTED_VALUE"""),"Italy")</f>
        <v>Italy</v>
      </c>
      <c r="C2319" s="9" t="str">
        <f>IFERROR(__xludf.DUMMYFUNCTION("""COMPUTED_VALUE"""),"tuscany")</f>
        <v>tuscany</v>
      </c>
      <c r="D2319" s="9" t="str">
        <f>IFERROR(__xludf.DUMMYFUNCTION("""COMPUTED_VALUE"""),"Castello di Ama, Apparita, Toscana")</f>
        <v>Castello di Ama, Apparita, Toscana</v>
      </c>
      <c r="E2319" s="9">
        <f>IFERROR(__xludf.DUMMYFUNCTION("""COMPUTED_VALUE"""),2013.0)</f>
        <v>2013</v>
      </c>
      <c r="F2319" s="9">
        <f>IFERROR(__xludf.DUMMYFUNCTION("""COMPUTED_VALUE"""),750.0)</f>
        <v>750</v>
      </c>
      <c r="G2319" s="9">
        <f>IFERROR(__xludf.DUMMYFUNCTION("""COMPUTED_VALUE"""),6.0)</f>
        <v>6</v>
      </c>
      <c r="H2319" s="10">
        <f>IFERROR(__xludf.DUMMYFUNCTION("""COMPUTED_VALUE"""),1.0)</f>
        <v>1</v>
      </c>
      <c r="I2319" s="11">
        <f>IFERROR(__xludf.DUMMYFUNCTION("""COMPUTED_VALUE"""),657.0)</f>
        <v>657</v>
      </c>
      <c r="J2319" s="9" t="str">
        <f>IFERROR(__xludf.DUMMYFUNCTION("""COMPUTED_VALUE"""),"UK")</f>
        <v>UK</v>
      </c>
      <c r="K2319" s="8"/>
      <c r="L2319" s="12"/>
      <c r="M2319" s="13"/>
      <c r="N2319" s="13" t="str">
        <f>IFERROR(__xludf.DUMMYFUNCTION("IF(ISBLANK(M2319),"""",M2319*GOOGLEFINANCE(""USDGBP""))"),"")</f>
        <v/>
      </c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  <c r="FG2319" s="8"/>
      <c r="FH2319" s="8"/>
      <c r="FI2319" s="8"/>
      <c r="FJ2319" s="8"/>
      <c r="FK2319" s="8"/>
      <c r="FL2319" s="8"/>
      <c r="FM2319" s="8"/>
      <c r="FN2319" s="8"/>
      <c r="FO2319" s="8"/>
      <c r="FP2319" s="8"/>
      <c r="FQ2319" s="8"/>
      <c r="FR2319" s="8"/>
      <c r="FS2319" s="8"/>
      <c r="FT2319" s="8"/>
      <c r="FU2319" s="8"/>
      <c r="FV2319" s="8"/>
      <c r="FW2319" s="8"/>
      <c r="FX2319" s="8"/>
      <c r="FY2319" s="8"/>
      <c r="FZ2319" s="8"/>
      <c r="GA2319" s="8"/>
      <c r="GB2319" s="8"/>
      <c r="GC2319" s="8"/>
      <c r="GD2319" s="8"/>
      <c r="GE2319" s="8"/>
      <c r="GF2319" s="8"/>
      <c r="GG2319" s="8"/>
      <c r="GH2319" s="8"/>
      <c r="GI2319" s="8"/>
      <c r="GJ2319" s="8"/>
      <c r="GK2319" s="8"/>
      <c r="GL2319" s="8"/>
      <c r="GM2319" s="8"/>
      <c r="GN2319" s="8"/>
      <c r="GO2319" s="8"/>
      <c r="GP2319" s="8"/>
      <c r="GQ2319" s="8"/>
      <c r="GR2319" s="8"/>
      <c r="GS2319" s="8"/>
      <c r="GT2319" s="8"/>
      <c r="GU2319" s="8"/>
      <c r="GV2319" s="8"/>
      <c r="GW2319" s="8"/>
      <c r="GX2319" s="8"/>
    </row>
    <row r="2320">
      <c r="A2320" s="8" t="str">
        <f>IFERROR(__xludf.DUMMYFUNCTION("""COMPUTED_VALUE"""),"109736620150600750")</f>
        <v>109736620150600750</v>
      </c>
      <c r="B2320" s="9" t="str">
        <f>IFERROR(__xludf.DUMMYFUNCTION("""COMPUTED_VALUE"""),"Italy")</f>
        <v>Italy</v>
      </c>
      <c r="C2320" s="9" t="str">
        <f>IFERROR(__xludf.DUMMYFUNCTION("""COMPUTED_VALUE"""),"tuscany")</f>
        <v>tuscany</v>
      </c>
      <c r="D2320" s="9" t="str">
        <f>IFERROR(__xludf.DUMMYFUNCTION("""COMPUTED_VALUE"""),"Castello di Ama, Apparita, Toscana")</f>
        <v>Castello di Ama, Apparita, Toscana</v>
      </c>
      <c r="E2320" s="9">
        <f>IFERROR(__xludf.DUMMYFUNCTION("""COMPUTED_VALUE"""),2015.0)</f>
        <v>2015</v>
      </c>
      <c r="F2320" s="9">
        <f>IFERROR(__xludf.DUMMYFUNCTION("""COMPUTED_VALUE"""),750.0)</f>
        <v>750</v>
      </c>
      <c r="G2320" s="9">
        <f>IFERROR(__xludf.DUMMYFUNCTION("""COMPUTED_VALUE"""),6.0)</f>
        <v>6</v>
      </c>
      <c r="H2320" s="10">
        <f>IFERROR(__xludf.DUMMYFUNCTION("""COMPUTED_VALUE"""),2.0)</f>
        <v>2</v>
      </c>
      <c r="I2320" s="11">
        <f>IFERROR(__xludf.DUMMYFUNCTION("""COMPUTED_VALUE"""),1008.0)</f>
        <v>1008</v>
      </c>
      <c r="J2320" s="9" t="str">
        <f>IFERROR(__xludf.DUMMYFUNCTION("""COMPUTED_VALUE"""),"UK")</f>
        <v>UK</v>
      </c>
      <c r="K2320" s="8"/>
      <c r="L2320" s="12"/>
      <c r="M2320" s="13"/>
      <c r="N2320" s="13" t="str">
        <f>IFERROR(__xludf.DUMMYFUNCTION("IF(ISBLANK(M2320),"""",M2320*GOOGLEFINANCE(""USDGBP""))"),"")</f>
        <v/>
      </c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  <c r="FG2320" s="8"/>
      <c r="FH2320" s="8"/>
      <c r="FI2320" s="8"/>
      <c r="FJ2320" s="8"/>
      <c r="FK2320" s="8"/>
      <c r="FL2320" s="8"/>
      <c r="FM2320" s="8"/>
      <c r="FN2320" s="8"/>
      <c r="FO2320" s="8"/>
      <c r="FP2320" s="8"/>
      <c r="FQ2320" s="8"/>
      <c r="FR2320" s="8"/>
      <c r="FS2320" s="8"/>
      <c r="FT2320" s="8"/>
      <c r="FU2320" s="8"/>
      <c r="FV2320" s="8"/>
      <c r="FW2320" s="8"/>
      <c r="FX2320" s="8"/>
      <c r="FY2320" s="8"/>
      <c r="FZ2320" s="8"/>
      <c r="GA2320" s="8"/>
      <c r="GB2320" s="8"/>
      <c r="GC2320" s="8"/>
      <c r="GD2320" s="8"/>
      <c r="GE2320" s="8"/>
      <c r="GF2320" s="8"/>
      <c r="GG2320" s="8"/>
      <c r="GH2320" s="8"/>
      <c r="GI2320" s="8"/>
      <c r="GJ2320" s="8"/>
      <c r="GK2320" s="8"/>
      <c r="GL2320" s="8"/>
      <c r="GM2320" s="8"/>
      <c r="GN2320" s="8"/>
      <c r="GO2320" s="8"/>
      <c r="GP2320" s="8"/>
      <c r="GQ2320" s="8"/>
      <c r="GR2320" s="8"/>
      <c r="GS2320" s="8"/>
      <c r="GT2320" s="8"/>
      <c r="GU2320" s="8"/>
      <c r="GV2320" s="8"/>
      <c r="GW2320" s="8"/>
      <c r="GX2320" s="8"/>
    </row>
    <row r="2321">
      <c r="A2321" s="8" t="str">
        <f>IFERROR(__xludf.DUMMYFUNCTION("""COMPUTED_VALUE"""),"109736620160600750")</f>
        <v>109736620160600750</v>
      </c>
      <c r="B2321" s="9" t="str">
        <f>IFERROR(__xludf.DUMMYFUNCTION("""COMPUTED_VALUE"""),"Italy")</f>
        <v>Italy</v>
      </c>
      <c r="C2321" s="9" t="str">
        <f>IFERROR(__xludf.DUMMYFUNCTION("""COMPUTED_VALUE"""),"tuscany")</f>
        <v>tuscany</v>
      </c>
      <c r="D2321" s="9" t="str">
        <f>IFERROR(__xludf.DUMMYFUNCTION("""COMPUTED_VALUE"""),"Castello di Ama, Apparita, Toscana")</f>
        <v>Castello di Ama, Apparita, Toscana</v>
      </c>
      <c r="E2321" s="9">
        <f>IFERROR(__xludf.DUMMYFUNCTION("""COMPUTED_VALUE"""),2016.0)</f>
        <v>2016</v>
      </c>
      <c r="F2321" s="9">
        <f>IFERROR(__xludf.DUMMYFUNCTION("""COMPUTED_VALUE"""),750.0)</f>
        <v>750</v>
      </c>
      <c r="G2321" s="9">
        <f>IFERROR(__xludf.DUMMYFUNCTION("""COMPUTED_VALUE"""),6.0)</f>
        <v>6</v>
      </c>
      <c r="H2321" s="10">
        <f>IFERROR(__xludf.DUMMYFUNCTION("""COMPUTED_VALUE"""),1.0)</f>
        <v>1</v>
      </c>
      <c r="I2321" s="11">
        <f>IFERROR(__xludf.DUMMYFUNCTION("""COMPUTED_VALUE"""),963.0)</f>
        <v>963</v>
      </c>
      <c r="J2321" s="9" t="str">
        <f>IFERROR(__xludf.DUMMYFUNCTION("""COMPUTED_VALUE"""),"UK")</f>
        <v>UK</v>
      </c>
      <c r="K2321" s="8"/>
      <c r="L2321" s="12"/>
      <c r="M2321" s="13"/>
      <c r="N2321" s="13" t="str">
        <f>IFERROR(__xludf.DUMMYFUNCTION("IF(ISBLANK(M2321),"""",M2321*GOOGLEFINANCE(""USDGBP""))"),"")</f>
        <v/>
      </c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  <c r="FG2321" s="8"/>
      <c r="FH2321" s="8"/>
      <c r="FI2321" s="8"/>
      <c r="FJ2321" s="8"/>
      <c r="FK2321" s="8"/>
      <c r="FL2321" s="8"/>
      <c r="FM2321" s="8"/>
      <c r="FN2321" s="8"/>
      <c r="FO2321" s="8"/>
      <c r="FP2321" s="8"/>
      <c r="FQ2321" s="8"/>
      <c r="FR2321" s="8"/>
      <c r="FS2321" s="8"/>
      <c r="FT2321" s="8"/>
      <c r="FU2321" s="8"/>
      <c r="FV2321" s="8"/>
      <c r="FW2321" s="8"/>
      <c r="FX2321" s="8"/>
      <c r="FY2321" s="8"/>
      <c r="FZ2321" s="8"/>
      <c r="GA2321" s="8"/>
      <c r="GB2321" s="8"/>
      <c r="GC2321" s="8"/>
      <c r="GD2321" s="8"/>
      <c r="GE2321" s="8"/>
      <c r="GF2321" s="8"/>
      <c r="GG2321" s="8"/>
      <c r="GH2321" s="8"/>
      <c r="GI2321" s="8"/>
      <c r="GJ2321" s="8"/>
      <c r="GK2321" s="8"/>
      <c r="GL2321" s="8"/>
      <c r="GM2321" s="8"/>
      <c r="GN2321" s="8"/>
      <c r="GO2321" s="8"/>
      <c r="GP2321" s="8"/>
      <c r="GQ2321" s="8"/>
      <c r="GR2321" s="8"/>
      <c r="GS2321" s="8"/>
      <c r="GT2321" s="8"/>
      <c r="GU2321" s="8"/>
      <c r="GV2321" s="8"/>
      <c r="GW2321" s="8"/>
      <c r="GX2321" s="8"/>
    </row>
    <row r="2322">
      <c r="A2322" s="8" t="str">
        <f>IFERROR(__xludf.DUMMYFUNCTION("""COMPUTED_VALUE"""),"109756820120600750")</f>
        <v>109756820120600750</v>
      </c>
      <c r="B2322" s="9" t="str">
        <f>IFERROR(__xludf.DUMMYFUNCTION("""COMPUTED_VALUE"""),"Italy")</f>
        <v>Italy</v>
      </c>
      <c r="C2322" s="9" t="str">
        <f>IFERROR(__xludf.DUMMYFUNCTION("""COMPUTED_VALUE"""),"tuscany")</f>
        <v>tuscany</v>
      </c>
      <c r="D2322" s="9" t="str">
        <f>IFERROR(__xludf.DUMMYFUNCTION("""COMPUTED_VALUE"""),"Cerbaiona, Brunello di Montalcino")</f>
        <v>Cerbaiona, Brunello di Montalcino</v>
      </c>
      <c r="E2322" s="9">
        <f>IFERROR(__xludf.DUMMYFUNCTION("""COMPUTED_VALUE"""),2012.0)</f>
        <v>2012</v>
      </c>
      <c r="F2322" s="9">
        <f>IFERROR(__xludf.DUMMYFUNCTION("""COMPUTED_VALUE"""),750.0)</f>
        <v>750</v>
      </c>
      <c r="G2322" s="9">
        <f>IFERROR(__xludf.DUMMYFUNCTION("""COMPUTED_VALUE"""),6.0)</f>
        <v>6</v>
      </c>
      <c r="H2322" s="10">
        <f>IFERROR(__xludf.DUMMYFUNCTION("""COMPUTED_VALUE"""),2.0)</f>
        <v>2</v>
      </c>
      <c r="I2322" s="11">
        <f>IFERROR(__xludf.DUMMYFUNCTION("""COMPUTED_VALUE"""),585.0)</f>
        <v>585</v>
      </c>
      <c r="J2322" s="9" t="str">
        <f>IFERROR(__xludf.DUMMYFUNCTION("""COMPUTED_VALUE"""),"UK")</f>
        <v>UK</v>
      </c>
      <c r="K2322" s="8"/>
      <c r="L2322" s="12"/>
      <c r="M2322" s="13"/>
      <c r="N2322" s="13" t="str">
        <f>IFERROR(__xludf.DUMMYFUNCTION("IF(ISBLANK(M2322),"""",M2322*GOOGLEFINANCE(""USDGBP""))"),"")</f>
        <v/>
      </c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  <c r="FG2322" s="8"/>
      <c r="FH2322" s="8"/>
      <c r="FI2322" s="8"/>
      <c r="FJ2322" s="8"/>
      <c r="FK2322" s="8"/>
      <c r="FL2322" s="8"/>
      <c r="FM2322" s="8"/>
      <c r="FN2322" s="8"/>
      <c r="FO2322" s="8"/>
      <c r="FP2322" s="8"/>
      <c r="FQ2322" s="8"/>
      <c r="FR2322" s="8"/>
      <c r="FS2322" s="8"/>
      <c r="FT2322" s="8"/>
      <c r="FU2322" s="8"/>
      <c r="FV2322" s="8"/>
      <c r="FW2322" s="8"/>
      <c r="FX2322" s="8"/>
      <c r="FY2322" s="8"/>
      <c r="FZ2322" s="8"/>
      <c r="GA2322" s="8"/>
      <c r="GB2322" s="8"/>
      <c r="GC2322" s="8"/>
      <c r="GD2322" s="8"/>
      <c r="GE2322" s="8"/>
      <c r="GF2322" s="8"/>
      <c r="GG2322" s="8"/>
      <c r="GH2322" s="8"/>
      <c r="GI2322" s="8"/>
      <c r="GJ2322" s="8"/>
      <c r="GK2322" s="8"/>
      <c r="GL2322" s="8"/>
      <c r="GM2322" s="8"/>
      <c r="GN2322" s="8"/>
      <c r="GO2322" s="8"/>
      <c r="GP2322" s="8"/>
      <c r="GQ2322" s="8"/>
      <c r="GR2322" s="8"/>
      <c r="GS2322" s="8"/>
      <c r="GT2322" s="8"/>
      <c r="GU2322" s="8"/>
      <c r="GV2322" s="8"/>
      <c r="GW2322" s="8"/>
      <c r="GX2322" s="8"/>
    </row>
    <row r="2323">
      <c r="A2323" s="8" t="str">
        <f>IFERROR(__xludf.DUMMYFUNCTION("""COMPUTED_VALUE"""),"109756820130600750")</f>
        <v>109756820130600750</v>
      </c>
      <c r="B2323" s="9" t="str">
        <f>IFERROR(__xludf.DUMMYFUNCTION("""COMPUTED_VALUE"""),"Italy")</f>
        <v>Italy</v>
      </c>
      <c r="C2323" s="9" t="str">
        <f>IFERROR(__xludf.DUMMYFUNCTION("""COMPUTED_VALUE"""),"tuscany")</f>
        <v>tuscany</v>
      </c>
      <c r="D2323" s="9" t="str">
        <f>IFERROR(__xludf.DUMMYFUNCTION("""COMPUTED_VALUE"""),"Cerbaiona, Brunello di Montalcino")</f>
        <v>Cerbaiona, Brunello di Montalcino</v>
      </c>
      <c r="E2323" s="9">
        <f>IFERROR(__xludf.DUMMYFUNCTION("""COMPUTED_VALUE"""),2013.0)</f>
        <v>2013</v>
      </c>
      <c r="F2323" s="9">
        <f>IFERROR(__xludf.DUMMYFUNCTION("""COMPUTED_VALUE"""),750.0)</f>
        <v>750</v>
      </c>
      <c r="G2323" s="9">
        <f>IFERROR(__xludf.DUMMYFUNCTION("""COMPUTED_VALUE"""),6.0)</f>
        <v>6</v>
      </c>
      <c r="H2323" s="10">
        <f>IFERROR(__xludf.DUMMYFUNCTION("""COMPUTED_VALUE"""),1.0)</f>
        <v>1</v>
      </c>
      <c r="I2323" s="11">
        <f>IFERROR(__xludf.DUMMYFUNCTION("""COMPUTED_VALUE"""),730.0)</f>
        <v>730</v>
      </c>
      <c r="J2323" s="9" t="str">
        <f>IFERROR(__xludf.DUMMYFUNCTION("""COMPUTED_VALUE"""),"UK")</f>
        <v>UK</v>
      </c>
      <c r="K2323" s="8"/>
      <c r="L2323" s="12"/>
      <c r="M2323" s="13"/>
      <c r="N2323" s="13" t="str">
        <f>IFERROR(__xludf.DUMMYFUNCTION("IF(ISBLANK(M2323),"""",M2323*GOOGLEFINANCE(""USDGBP""))"),"")</f>
        <v/>
      </c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  <c r="FG2323" s="8"/>
      <c r="FH2323" s="8"/>
      <c r="FI2323" s="8"/>
      <c r="FJ2323" s="8"/>
      <c r="FK2323" s="8"/>
      <c r="FL2323" s="8"/>
      <c r="FM2323" s="8"/>
      <c r="FN2323" s="8"/>
      <c r="FO2323" s="8"/>
      <c r="FP2323" s="8"/>
      <c r="FQ2323" s="8"/>
      <c r="FR2323" s="8"/>
      <c r="FS2323" s="8"/>
      <c r="FT2323" s="8"/>
      <c r="FU2323" s="8"/>
      <c r="FV2323" s="8"/>
      <c r="FW2323" s="8"/>
      <c r="FX2323" s="8"/>
      <c r="FY2323" s="8"/>
      <c r="FZ2323" s="8"/>
      <c r="GA2323" s="8"/>
      <c r="GB2323" s="8"/>
      <c r="GC2323" s="8"/>
      <c r="GD2323" s="8"/>
      <c r="GE2323" s="8"/>
      <c r="GF2323" s="8"/>
      <c r="GG2323" s="8"/>
      <c r="GH2323" s="8"/>
      <c r="GI2323" s="8"/>
      <c r="GJ2323" s="8"/>
      <c r="GK2323" s="8"/>
      <c r="GL2323" s="8"/>
      <c r="GM2323" s="8"/>
      <c r="GN2323" s="8"/>
      <c r="GO2323" s="8"/>
      <c r="GP2323" s="8"/>
      <c r="GQ2323" s="8"/>
      <c r="GR2323" s="8"/>
      <c r="GS2323" s="8"/>
      <c r="GT2323" s="8"/>
      <c r="GU2323" s="8"/>
      <c r="GV2323" s="8"/>
      <c r="GW2323" s="8"/>
      <c r="GX2323" s="8"/>
    </row>
    <row r="2324">
      <c r="A2324" s="8" t="str">
        <f>IFERROR(__xludf.DUMMYFUNCTION("""COMPUTED_VALUE"""),"109850720120600750")</f>
        <v>109850720120600750</v>
      </c>
      <c r="B2324" s="9" t="str">
        <f>IFERROR(__xludf.DUMMYFUNCTION("""COMPUTED_VALUE"""),"Italy")</f>
        <v>Italy</v>
      </c>
      <c r="C2324" s="9" t="str">
        <f>IFERROR(__xludf.DUMMYFUNCTION("""COMPUTED_VALUE"""),"tuscany")</f>
        <v>tuscany</v>
      </c>
      <c r="D2324" s="9" t="str">
        <f>IFERROR(__xludf.DUMMYFUNCTION("""COMPUTED_VALUE"""),"Conti Costanti, Brunello di Montalcino, Riserva")</f>
        <v>Conti Costanti, Brunello di Montalcino, Riserva</v>
      </c>
      <c r="E2324" s="9">
        <f>IFERROR(__xludf.DUMMYFUNCTION("""COMPUTED_VALUE"""),2012.0)</f>
        <v>2012</v>
      </c>
      <c r="F2324" s="9">
        <f>IFERROR(__xludf.DUMMYFUNCTION("""COMPUTED_VALUE"""),750.0)</f>
        <v>750</v>
      </c>
      <c r="G2324" s="9">
        <f>IFERROR(__xludf.DUMMYFUNCTION("""COMPUTED_VALUE"""),6.0)</f>
        <v>6</v>
      </c>
      <c r="H2324" s="10">
        <f>IFERROR(__xludf.DUMMYFUNCTION("""COMPUTED_VALUE"""),4.0)</f>
        <v>4</v>
      </c>
      <c r="I2324" s="11">
        <f>IFERROR(__xludf.DUMMYFUNCTION("""COMPUTED_VALUE"""),912.0)</f>
        <v>912</v>
      </c>
      <c r="J2324" s="9" t="str">
        <f>IFERROR(__xludf.DUMMYFUNCTION("""COMPUTED_VALUE"""),"UK")</f>
        <v>UK</v>
      </c>
      <c r="K2324" s="8"/>
      <c r="L2324" s="12"/>
      <c r="M2324" s="13"/>
      <c r="N2324" s="13" t="str">
        <f>IFERROR(__xludf.DUMMYFUNCTION("IF(ISBLANK(M2324),"""",M2324*GOOGLEFINANCE(""USDGBP""))"),"")</f>
        <v/>
      </c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  <c r="FG2324" s="8"/>
      <c r="FH2324" s="8"/>
      <c r="FI2324" s="8"/>
      <c r="FJ2324" s="8"/>
      <c r="FK2324" s="8"/>
      <c r="FL2324" s="8"/>
      <c r="FM2324" s="8"/>
      <c r="FN2324" s="8"/>
      <c r="FO2324" s="8"/>
      <c r="FP2324" s="8"/>
      <c r="FQ2324" s="8"/>
      <c r="FR2324" s="8"/>
      <c r="FS2324" s="8"/>
      <c r="FT2324" s="8"/>
      <c r="FU2324" s="8"/>
      <c r="FV2324" s="8"/>
      <c r="FW2324" s="8"/>
      <c r="FX2324" s="8"/>
      <c r="FY2324" s="8"/>
      <c r="FZ2324" s="8"/>
      <c r="GA2324" s="8"/>
      <c r="GB2324" s="8"/>
      <c r="GC2324" s="8"/>
      <c r="GD2324" s="8"/>
      <c r="GE2324" s="8"/>
      <c r="GF2324" s="8"/>
      <c r="GG2324" s="8"/>
      <c r="GH2324" s="8"/>
      <c r="GI2324" s="8"/>
      <c r="GJ2324" s="8"/>
      <c r="GK2324" s="8"/>
      <c r="GL2324" s="8"/>
      <c r="GM2324" s="8"/>
      <c r="GN2324" s="8"/>
      <c r="GO2324" s="8"/>
      <c r="GP2324" s="8"/>
      <c r="GQ2324" s="8"/>
      <c r="GR2324" s="8"/>
      <c r="GS2324" s="8"/>
      <c r="GT2324" s="8"/>
      <c r="GU2324" s="8"/>
      <c r="GV2324" s="8"/>
      <c r="GW2324" s="8"/>
      <c r="GX2324" s="8"/>
    </row>
    <row r="2325">
      <c r="A2325" s="8" t="str">
        <f>IFERROR(__xludf.DUMMYFUNCTION("""COMPUTED_VALUE"""),"109850720150300750")</f>
        <v>109850720150300750</v>
      </c>
      <c r="B2325" s="9" t="str">
        <f>IFERROR(__xludf.DUMMYFUNCTION("""COMPUTED_VALUE"""),"Italy")</f>
        <v>Italy</v>
      </c>
      <c r="C2325" s="9" t="str">
        <f>IFERROR(__xludf.DUMMYFUNCTION("""COMPUTED_VALUE"""),"tuscany")</f>
        <v>tuscany</v>
      </c>
      <c r="D2325" s="9" t="str">
        <f>IFERROR(__xludf.DUMMYFUNCTION("""COMPUTED_VALUE"""),"Conti Costanti, Brunello di Montalcino, Riserva")</f>
        <v>Conti Costanti, Brunello di Montalcino, Riserva</v>
      </c>
      <c r="E2325" s="9">
        <f>IFERROR(__xludf.DUMMYFUNCTION("""COMPUTED_VALUE"""),2015.0)</f>
        <v>2015</v>
      </c>
      <c r="F2325" s="9">
        <f>IFERROR(__xludf.DUMMYFUNCTION("""COMPUTED_VALUE"""),750.0)</f>
        <v>750</v>
      </c>
      <c r="G2325" s="9">
        <f>IFERROR(__xludf.DUMMYFUNCTION("""COMPUTED_VALUE"""),3.0)</f>
        <v>3</v>
      </c>
      <c r="H2325" s="10">
        <f>IFERROR(__xludf.DUMMYFUNCTION("""COMPUTED_VALUE"""),2.0)</f>
        <v>2</v>
      </c>
      <c r="I2325" s="11">
        <f>IFERROR(__xludf.DUMMYFUNCTION("""COMPUTED_VALUE"""),389.0)</f>
        <v>389</v>
      </c>
      <c r="J2325" s="9" t="str">
        <f>IFERROR(__xludf.DUMMYFUNCTION("""COMPUTED_VALUE"""),"UK")</f>
        <v>UK</v>
      </c>
      <c r="K2325" s="8"/>
      <c r="L2325" s="12"/>
      <c r="M2325" s="13"/>
      <c r="N2325" s="13" t="str">
        <f>IFERROR(__xludf.DUMMYFUNCTION("IF(ISBLANK(M2325),"""",M2325*GOOGLEFINANCE(""USDGBP""))"),"")</f>
        <v/>
      </c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  <c r="FG2325" s="8"/>
      <c r="FH2325" s="8"/>
      <c r="FI2325" s="8"/>
      <c r="FJ2325" s="8"/>
      <c r="FK2325" s="8"/>
      <c r="FL2325" s="8"/>
      <c r="FM2325" s="8"/>
      <c r="FN2325" s="8"/>
      <c r="FO2325" s="8"/>
      <c r="FP2325" s="8"/>
      <c r="FQ2325" s="8"/>
      <c r="FR2325" s="8"/>
      <c r="FS2325" s="8"/>
      <c r="FT2325" s="8"/>
      <c r="FU2325" s="8"/>
      <c r="FV2325" s="8"/>
      <c r="FW2325" s="8"/>
      <c r="FX2325" s="8"/>
      <c r="FY2325" s="8"/>
      <c r="FZ2325" s="8"/>
      <c r="GA2325" s="8"/>
      <c r="GB2325" s="8"/>
      <c r="GC2325" s="8"/>
      <c r="GD2325" s="8"/>
      <c r="GE2325" s="8"/>
      <c r="GF2325" s="8"/>
      <c r="GG2325" s="8"/>
      <c r="GH2325" s="8"/>
      <c r="GI2325" s="8"/>
      <c r="GJ2325" s="8"/>
      <c r="GK2325" s="8"/>
      <c r="GL2325" s="8"/>
      <c r="GM2325" s="8"/>
      <c r="GN2325" s="8"/>
      <c r="GO2325" s="8"/>
      <c r="GP2325" s="8"/>
      <c r="GQ2325" s="8"/>
      <c r="GR2325" s="8"/>
      <c r="GS2325" s="8"/>
      <c r="GT2325" s="8"/>
      <c r="GU2325" s="8"/>
      <c r="GV2325" s="8"/>
      <c r="GW2325" s="8"/>
      <c r="GX2325" s="8"/>
    </row>
    <row r="2326">
      <c r="A2326" s="8" t="str">
        <f>IFERROR(__xludf.DUMMYFUNCTION("""COMPUTED_VALUE"""),"109850720150600750")</f>
        <v>109850720150600750</v>
      </c>
      <c r="B2326" s="9" t="str">
        <f>IFERROR(__xludf.DUMMYFUNCTION("""COMPUTED_VALUE"""),"Italy")</f>
        <v>Italy</v>
      </c>
      <c r="C2326" s="9" t="str">
        <f>IFERROR(__xludf.DUMMYFUNCTION("""COMPUTED_VALUE"""),"tuscany")</f>
        <v>tuscany</v>
      </c>
      <c r="D2326" s="9" t="str">
        <f>IFERROR(__xludf.DUMMYFUNCTION("""COMPUTED_VALUE"""),"Conti Costanti, Brunello di Montalcino, Riserva")</f>
        <v>Conti Costanti, Brunello di Montalcino, Riserva</v>
      </c>
      <c r="E2326" s="9">
        <f>IFERROR(__xludf.DUMMYFUNCTION("""COMPUTED_VALUE"""),2015.0)</f>
        <v>2015</v>
      </c>
      <c r="F2326" s="9">
        <f>IFERROR(__xludf.DUMMYFUNCTION("""COMPUTED_VALUE"""),750.0)</f>
        <v>750</v>
      </c>
      <c r="G2326" s="9">
        <f>IFERROR(__xludf.DUMMYFUNCTION("""COMPUTED_VALUE"""),6.0)</f>
        <v>6</v>
      </c>
      <c r="H2326" s="10">
        <f>IFERROR(__xludf.DUMMYFUNCTION("""COMPUTED_VALUE"""),4.0)</f>
        <v>4</v>
      </c>
      <c r="I2326" s="11">
        <f>IFERROR(__xludf.DUMMYFUNCTION("""COMPUTED_VALUE"""),764.0)</f>
        <v>764</v>
      </c>
      <c r="J2326" s="9" t="str">
        <f>IFERROR(__xludf.DUMMYFUNCTION("""COMPUTED_VALUE"""),"UK")</f>
        <v>UK</v>
      </c>
      <c r="K2326" s="8"/>
      <c r="L2326" s="12"/>
      <c r="M2326" s="13"/>
      <c r="N2326" s="13" t="str">
        <f>IFERROR(__xludf.DUMMYFUNCTION("IF(ISBLANK(M2326),"""",M2326*GOOGLEFINANCE(""USDGBP""))"),"")</f>
        <v/>
      </c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  <c r="FG2326" s="8"/>
      <c r="FH2326" s="8"/>
      <c r="FI2326" s="8"/>
      <c r="FJ2326" s="8"/>
      <c r="FK2326" s="8"/>
      <c r="FL2326" s="8"/>
      <c r="FM2326" s="8"/>
      <c r="FN2326" s="8"/>
      <c r="FO2326" s="8"/>
      <c r="FP2326" s="8"/>
      <c r="FQ2326" s="8"/>
      <c r="FR2326" s="8"/>
      <c r="FS2326" s="8"/>
      <c r="FT2326" s="8"/>
      <c r="FU2326" s="8"/>
      <c r="FV2326" s="8"/>
      <c r="FW2326" s="8"/>
      <c r="FX2326" s="8"/>
      <c r="FY2326" s="8"/>
      <c r="FZ2326" s="8"/>
      <c r="GA2326" s="8"/>
      <c r="GB2326" s="8"/>
      <c r="GC2326" s="8"/>
      <c r="GD2326" s="8"/>
      <c r="GE2326" s="8"/>
      <c r="GF2326" s="8"/>
      <c r="GG2326" s="8"/>
      <c r="GH2326" s="8"/>
      <c r="GI2326" s="8"/>
      <c r="GJ2326" s="8"/>
      <c r="GK2326" s="8"/>
      <c r="GL2326" s="8"/>
      <c r="GM2326" s="8"/>
      <c r="GN2326" s="8"/>
      <c r="GO2326" s="8"/>
      <c r="GP2326" s="8"/>
      <c r="GQ2326" s="8"/>
      <c r="GR2326" s="8"/>
      <c r="GS2326" s="8"/>
      <c r="GT2326" s="8"/>
      <c r="GU2326" s="8"/>
      <c r="GV2326" s="8"/>
      <c r="GW2326" s="8"/>
      <c r="GX2326" s="8"/>
    </row>
    <row r="2327">
      <c r="A2327" s="8" t="str">
        <f>IFERROR(__xludf.DUMMYFUNCTION("""COMPUTED_VALUE"""),"109850720160300750")</f>
        <v>109850720160300750</v>
      </c>
      <c r="B2327" s="9" t="str">
        <f>IFERROR(__xludf.DUMMYFUNCTION("""COMPUTED_VALUE"""),"Italy")</f>
        <v>Italy</v>
      </c>
      <c r="C2327" s="9" t="str">
        <f>IFERROR(__xludf.DUMMYFUNCTION("""COMPUTED_VALUE"""),"tuscany")</f>
        <v>tuscany</v>
      </c>
      <c r="D2327" s="9" t="str">
        <f>IFERROR(__xludf.DUMMYFUNCTION("""COMPUTED_VALUE"""),"Conti Costanti, Brunello di Montalcino, Riserva")</f>
        <v>Conti Costanti, Brunello di Montalcino, Riserva</v>
      </c>
      <c r="E2327" s="9">
        <f>IFERROR(__xludf.DUMMYFUNCTION("""COMPUTED_VALUE"""),2016.0)</f>
        <v>2016</v>
      </c>
      <c r="F2327" s="9">
        <f>IFERROR(__xludf.DUMMYFUNCTION("""COMPUTED_VALUE"""),750.0)</f>
        <v>750</v>
      </c>
      <c r="G2327" s="9">
        <f>IFERROR(__xludf.DUMMYFUNCTION("""COMPUTED_VALUE"""),3.0)</f>
        <v>3</v>
      </c>
      <c r="H2327" s="10">
        <f>IFERROR(__xludf.DUMMYFUNCTION("""COMPUTED_VALUE"""),3.0)</f>
        <v>3</v>
      </c>
      <c r="I2327" s="11">
        <f>IFERROR(__xludf.DUMMYFUNCTION("""COMPUTED_VALUE"""),459.0)</f>
        <v>459</v>
      </c>
      <c r="J2327" s="9" t="str">
        <f>IFERROR(__xludf.DUMMYFUNCTION("""COMPUTED_VALUE"""),"UK")</f>
        <v>UK</v>
      </c>
      <c r="K2327" s="8"/>
      <c r="L2327" s="12"/>
      <c r="M2327" s="13"/>
      <c r="N2327" s="13" t="str">
        <f>IFERROR(__xludf.DUMMYFUNCTION("IF(ISBLANK(M2327),"""",M2327*GOOGLEFINANCE(""USDGBP""))"),"")</f>
        <v/>
      </c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  <c r="FG2327" s="8"/>
      <c r="FH2327" s="8"/>
      <c r="FI2327" s="8"/>
      <c r="FJ2327" s="8"/>
      <c r="FK2327" s="8"/>
      <c r="FL2327" s="8"/>
      <c r="FM2327" s="8"/>
      <c r="FN2327" s="8"/>
      <c r="FO2327" s="8"/>
      <c r="FP2327" s="8"/>
      <c r="FQ2327" s="8"/>
      <c r="FR2327" s="8"/>
      <c r="FS2327" s="8"/>
      <c r="FT2327" s="8"/>
      <c r="FU2327" s="8"/>
      <c r="FV2327" s="8"/>
      <c r="FW2327" s="8"/>
      <c r="FX2327" s="8"/>
      <c r="FY2327" s="8"/>
      <c r="FZ2327" s="8"/>
      <c r="GA2327" s="8"/>
      <c r="GB2327" s="8"/>
      <c r="GC2327" s="8"/>
      <c r="GD2327" s="8"/>
      <c r="GE2327" s="8"/>
      <c r="GF2327" s="8"/>
      <c r="GG2327" s="8"/>
      <c r="GH2327" s="8"/>
      <c r="GI2327" s="8"/>
      <c r="GJ2327" s="8"/>
      <c r="GK2327" s="8"/>
      <c r="GL2327" s="8"/>
      <c r="GM2327" s="8"/>
      <c r="GN2327" s="8"/>
      <c r="GO2327" s="8"/>
      <c r="GP2327" s="8"/>
      <c r="GQ2327" s="8"/>
      <c r="GR2327" s="8"/>
      <c r="GS2327" s="8"/>
      <c r="GT2327" s="8"/>
      <c r="GU2327" s="8"/>
      <c r="GV2327" s="8"/>
      <c r="GW2327" s="8"/>
      <c r="GX2327" s="8"/>
    </row>
    <row r="2328">
      <c r="A2328" s="8" t="str">
        <f>IFERROR(__xludf.DUMMYFUNCTION("""COMPUTED_VALUE"""),"109850720160600750")</f>
        <v>109850720160600750</v>
      </c>
      <c r="B2328" s="9" t="str">
        <f>IFERROR(__xludf.DUMMYFUNCTION("""COMPUTED_VALUE"""),"Italy")</f>
        <v>Italy</v>
      </c>
      <c r="C2328" s="9" t="str">
        <f>IFERROR(__xludf.DUMMYFUNCTION("""COMPUTED_VALUE"""),"tuscany")</f>
        <v>tuscany</v>
      </c>
      <c r="D2328" s="9" t="str">
        <f>IFERROR(__xludf.DUMMYFUNCTION("""COMPUTED_VALUE"""),"Conti Costanti, Brunello di Montalcino, Riserva")</f>
        <v>Conti Costanti, Brunello di Montalcino, Riserva</v>
      </c>
      <c r="E2328" s="9">
        <f>IFERROR(__xludf.DUMMYFUNCTION("""COMPUTED_VALUE"""),2016.0)</f>
        <v>2016</v>
      </c>
      <c r="F2328" s="9">
        <f>IFERROR(__xludf.DUMMYFUNCTION("""COMPUTED_VALUE"""),750.0)</f>
        <v>750</v>
      </c>
      <c r="G2328" s="9">
        <f>IFERROR(__xludf.DUMMYFUNCTION("""COMPUTED_VALUE"""),6.0)</f>
        <v>6</v>
      </c>
      <c r="H2328" s="10">
        <f>IFERROR(__xludf.DUMMYFUNCTION("""COMPUTED_VALUE"""),2.0)</f>
        <v>2</v>
      </c>
      <c r="I2328" s="11">
        <f>IFERROR(__xludf.DUMMYFUNCTION("""COMPUTED_VALUE"""),918.0)</f>
        <v>918</v>
      </c>
      <c r="J2328" s="9" t="str">
        <f>IFERROR(__xludf.DUMMYFUNCTION("""COMPUTED_VALUE"""),"UK")</f>
        <v>UK</v>
      </c>
      <c r="K2328" s="8"/>
      <c r="L2328" s="12"/>
      <c r="M2328" s="13"/>
      <c r="N2328" s="13" t="str">
        <f>IFERROR(__xludf.DUMMYFUNCTION("IF(ISBLANK(M2328),"""",M2328*GOOGLEFINANCE(""USDGBP""))"),"")</f>
        <v/>
      </c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  <c r="FG2328" s="8"/>
      <c r="FH2328" s="8"/>
      <c r="FI2328" s="8"/>
      <c r="FJ2328" s="8"/>
      <c r="FK2328" s="8"/>
      <c r="FL2328" s="8"/>
      <c r="FM2328" s="8"/>
      <c r="FN2328" s="8"/>
      <c r="FO2328" s="8"/>
      <c r="FP2328" s="8"/>
      <c r="FQ2328" s="8"/>
      <c r="FR2328" s="8"/>
      <c r="FS2328" s="8"/>
      <c r="FT2328" s="8"/>
      <c r="FU2328" s="8"/>
      <c r="FV2328" s="8"/>
      <c r="FW2328" s="8"/>
      <c r="FX2328" s="8"/>
      <c r="FY2328" s="8"/>
      <c r="FZ2328" s="8"/>
      <c r="GA2328" s="8"/>
      <c r="GB2328" s="8"/>
      <c r="GC2328" s="8"/>
      <c r="GD2328" s="8"/>
      <c r="GE2328" s="8"/>
      <c r="GF2328" s="8"/>
      <c r="GG2328" s="8"/>
      <c r="GH2328" s="8"/>
      <c r="GI2328" s="8"/>
      <c r="GJ2328" s="8"/>
      <c r="GK2328" s="8"/>
      <c r="GL2328" s="8"/>
      <c r="GM2328" s="8"/>
      <c r="GN2328" s="8"/>
      <c r="GO2328" s="8"/>
      <c r="GP2328" s="8"/>
      <c r="GQ2328" s="8"/>
      <c r="GR2328" s="8"/>
      <c r="GS2328" s="8"/>
      <c r="GT2328" s="8"/>
      <c r="GU2328" s="8"/>
      <c r="GV2328" s="8"/>
      <c r="GW2328" s="8"/>
      <c r="GX2328" s="8"/>
    </row>
    <row r="2329">
      <c r="A2329" s="8" t="str">
        <f>IFERROR(__xludf.DUMMYFUNCTION("""COMPUTED_VALUE"""),"110371520070600750")</f>
        <v>110371520070600750</v>
      </c>
      <c r="B2329" s="9" t="str">
        <f>IFERROR(__xludf.DUMMYFUNCTION("""COMPUTED_VALUE"""),"Italy")</f>
        <v>Italy</v>
      </c>
      <c r="C2329" s="9" t="str">
        <f>IFERROR(__xludf.DUMMYFUNCTION("""COMPUTED_VALUE"""),"tuscany")</f>
        <v>tuscany</v>
      </c>
      <c r="D2329" s="9" t="str">
        <f>IFERROR(__xludf.DUMMYFUNCTION("""COMPUTED_VALUE"""),"Fattoria Le Pupille, Saffredi, Toscana IGT")</f>
        <v>Fattoria Le Pupille, Saffredi, Toscana IGT</v>
      </c>
      <c r="E2329" s="9">
        <f>IFERROR(__xludf.DUMMYFUNCTION("""COMPUTED_VALUE"""),2007.0)</f>
        <v>2007</v>
      </c>
      <c r="F2329" s="9">
        <f>IFERROR(__xludf.DUMMYFUNCTION("""COMPUTED_VALUE"""),750.0)</f>
        <v>750</v>
      </c>
      <c r="G2329" s="9">
        <f>IFERROR(__xludf.DUMMYFUNCTION("""COMPUTED_VALUE"""),6.0)</f>
        <v>6</v>
      </c>
      <c r="H2329" s="10">
        <f>IFERROR(__xludf.DUMMYFUNCTION("""COMPUTED_VALUE"""),1.0)</f>
        <v>1</v>
      </c>
      <c r="I2329" s="11">
        <f>IFERROR(__xludf.DUMMYFUNCTION("""COMPUTED_VALUE"""),420.0)</f>
        <v>420</v>
      </c>
      <c r="J2329" s="9" t="str">
        <f>IFERROR(__xludf.DUMMYFUNCTION("""COMPUTED_VALUE"""),"UK")</f>
        <v>UK</v>
      </c>
      <c r="K2329" s="8"/>
      <c r="L2329" s="12"/>
      <c r="M2329" s="13"/>
      <c r="N2329" s="13" t="str">
        <f>IFERROR(__xludf.DUMMYFUNCTION("IF(ISBLANK(M2329),"""",M2329*GOOGLEFINANCE(""USDGBP""))"),"")</f>
        <v/>
      </c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  <c r="FG2329" s="8"/>
      <c r="FH2329" s="8"/>
      <c r="FI2329" s="8"/>
      <c r="FJ2329" s="8"/>
      <c r="FK2329" s="8"/>
      <c r="FL2329" s="8"/>
      <c r="FM2329" s="8"/>
      <c r="FN2329" s="8"/>
      <c r="FO2329" s="8"/>
      <c r="FP2329" s="8"/>
      <c r="FQ2329" s="8"/>
      <c r="FR2329" s="8"/>
      <c r="FS2329" s="8"/>
      <c r="FT2329" s="8"/>
      <c r="FU2329" s="8"/>
      <c r="FV2329" s="8"/>
      <c r="FW2329" s="8"/>
      <c r="FX2329" s="8"/>
      <c r="FY2329" s="8"/>
      <c r="FZ2329" s="8"/>
      <c r="GA2329" s="8"/>
      <c r="GB2329" s="8"/>
      <c r="GC2329" s="8"/>
      <c r="GD2329" s="8"/>
      <c r="GE2329" s="8"/>
      <c r="GF2329" s="8"/>
      <c r="GG2329" s="8"/>
      <c r="GH2329" s="8"/>
      <c r="GI2329" s="8"/>
      <c r="GJ2329" s="8"/>
      <c r="GK2329" s="8"/>
      <c r="GL2329" s="8"/>
      <c r="GM2329" s="8"/>
      <c r="GN2329" s="8"/>
      <c r="GO2329" s="8"/>
      <c r="GP2329" s="8"/>
      <c r="GQ2329" s="8"/>
      <c r="GR2329" s="8"/>
      <c r="GS2329" s="8"/>
      <c r="GT2329" s="8"/>
      <c r="GU2329" s="8"/>
      <c r="GV2329" s="8"/>
      <c r="GW2329" s="8"/>
      <c r="GX2329" s="8"/>
    </row>
    <row r="2330">
      <c r="A2330" s="8" t="str">
        <f>IFERROR(__xludf.DUMMYFUNCTION("""COMPUTED_VALUE"""),"110371520120600750")</f>
        <v>110371520120600750</v>
      </c>
      <c r="B2330" s="9" t="str">
        <f>IFERROR(__xludf.DUMMYFUNCTION("""COMPUTED_VALUE"""),"Italy")</f>
        <v>Italy</v>
      </c>
      <c r="C2330" s="9" t="str">
        <f>IFERROR(__xludf.DUMMYFUNCTION("""COMPUTED_VALUE"""),"tuscany")</f>
        <v>tuscany</v>
      </c>
      <c r="D2330" s="9" t="str">
        <f>IFERROR(__xludf.DUMMYFUNCTION("""COMPUTED_VALUE"""),"Fattoria Le Pupille, Saffredi, Toscana IGT")</f>
        <v>Fattoria Le Pupille, Saffredi, Toscana IGT</v>
      </c>
      <c r="E2330" s="9">
        <f>IFERROR(__xludf.DUMMYFUNCTION("""COMPUTED_VALUE"""),2012.0)</f>
        <v>2012</v>
      </c>
      <c r="F2330" s="9">
        <f>IFERROR(__xludf.DUMMYFUNCTION("""COMPUTED_VALUE"""),750.0)</f>
        <v>750</v>
      </c>
      <c r="G2330" s="9">
        <f>IFERROR(__xludf.DUMMYFUNCTION("""COMPUTED_VALUE"""),6.0)</f>
        <v>6</v>
      </c>
      <c r="H2330" s="10">
        <f>IFERROR(__xludf.DUMMYFUNCTION("""COMPUTED_VALUE"""),1.0)</f>
        <v>1</v>
      </c>
      <c r="I2330" s="11">
        <f>IFERROR(__xludf.DUMMYFUNCTION("""COMPUTED_VALUE"""),376.0)</f>
        <v>376</v>
      </c>
      <c r="J2330" s="9" t="str">
        <f>IFERROR(__xludf.DUMMYFUNCTION("""COMPUTED_VALUE"""),"UK")</f>
        <v>UK</v>
      </c>
      <c r="K2330" s="8"/>
      <c r="L2330" s="12"/>
      <c r="M2330" s="13"/>
      <c r="N2330" s="13" t="str">
        <f>IFERROR(__xludf.DUMMYFUNCTION("IF(ISBLANK(M2330),"""",M2330*GOOGLEFINANCE(""USDGBP""))"),"")</f>
        <v/>
      </c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  <c r="FG2330" s="8"/>
      <c r="FH2330" s="8"/>
      <c r="FI2330" s="8"/>
      <c r="FJ2330" s="8"/>
      <c r="FK2330" s="8"/>
      <c r="FL2330" s="8"/>
      <c r="FM2330" s="8"/>
      <c r="FN2330" s="8"/>
      <c r="FO2330" s="8"/>
      <c r="FP2330" s="8"/>
      <c r="FQ2330" s="8"/>
      <c r="FR2330" s="8"/>
      <c r="FS2330" s="8"/>
      <c r="FT2330" s="8"/>
      <c r="FU2330" s="8"/>
      <c r="FV2330" s="8"/>
      <c r="FW2330" s="8"/>
      <c r="FX2330" s="8"/>
      <c r="FY2330" s="8"/>
      <c r="FZ2330" s="8"/>
      <c r="GA2330" s="8"/>
      <c r="GB2330" s="8"/>
      <c r="GC2330" s="8"/>
      <c r="GD2330" s="8"/>
      <c r="GE2330" s="8"/>
      <c r="GF2330" s="8"/>
      <c r="GG2330" s="8"/>
      <c r="GH2330" s="8"/>
      <c r="GI2330" s="8"/>
      <c r="GJ2330" s="8"/>
      <c r="GK2330" s="8"/>
      <c r="GL2330" s="8"/>
      <c r="GM2330" s="8"/>
      <c r="GN2330" s="8"/>
      <c r="GO2330" s="8"/>
      <c r="GP2330" s="8"/>
      <c r="GQ2330" s="8"/>
      <c r="GR2330" s="8"/>
      <c r="GS2330" s="8"/>
      <c r="GT2330" s="8"/>
      <c r="GU2330" s="8"/>
      <c r="GV2330" s="8"/>
      <c r="GW2330" s="8"/>
      <c r="GX2330" s="8"/>
    </row>
    <row r="2331">
      <c r="A2331" s="8" t="str">
        <f>IFERROR(__xludf.DUMMYFUNCTION("""COMPUTED_VALUE"""),"110371520160600750")</f>
        <v>110371520160600750</v>
      </c>
      <c r="B2331" s="9" t="str">
        <f>IFERROR(__xludf.DUMMYFUNCTION("""COMPUTED_VALUE"""),"Italy")</f>
        <v>Italy</v>
      </c>
      <c r="C2331" s="9" t="str">
        <f>IFERROR(__xludf.DUMMYFUNCTION("""COMPUTED_VALUE"""),"tuscany")</f>
        <v>tuscany</v>
      </c>
      <c r="D2331" s="9" t="str">
        <f>IFERROR(__xludf.DUMMYFUNCTION("""COMPUTED_VALUE"""),"Fattoria Le Pupille, Saffredi, Toscana IGT")</f>
        <v>Fattoria Le Pupille, Saffredi, Toscana IGT</v>
      </c>
      <c r="E2331" s="9">
        <f>IFERROR(__xludf.DUMMYFUNCTION("""COMPUTED_VALUE"""),2016.0)</f>
        <v>2016</v>
      </c>
      <c r="F2331" s="9">
        <f>IFERROR(__xludf.DUMMYFUNCTION("""COMPUTED_VALUE"""),750.0)</f>
        <v>750</v>
      </c>
      <c r="G2331" s="9">
        <f>IFERROR(__xludf.DUMMYFUNCTION("""COMPUTED_VALUE"""),6.0)</f>
        <v>6</v>
      </c>
      <c r="H2331" s="10">
        <f>IFERROR(__xludf.DUMMYFUNCTION("""COMPUTED_VALUE"""),2.0)</f>
        <v>2</v>
      </c>
      <c r="I2331" s="11">
        <f>IFERROR(__xludf.DUMMYFUNCTION("""COMPUTED_VALUE"""),456.0)</f>
        <v>456</v>
      </c>
      <c r="J2331" s="9" t="str">
        <f>IFERROR(__xludf.DUMMYFUNCTION("""COMPUTED_VALUE"""),"UK")</f>
        <v>UK</v>
      </c>
      <c r="K2331" s="8"/>
      <c r="L2331" s="12"/>
      <c r="M2331" s="13"/>
      <c r="N2331" s="13" t="str">
        <f>IFERROR(__xludf.DUMMYFUNCTION("IF(ISBLANK(M2331),"""",M2331*GOOGLEFINANCE(""USDGBP""))"),"")</f>
        <v/>
      </c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  <c r="FG2331" s="8"/>
      <c r="FH2331" s="8"/>
      <c r="FI2331" s="8"/>
      <c r="FJ2331" s="8"/>
      <c r="FK2331" s="8"/>
      <c r="FL2331" s="8"/>
      <c r="FM2331" s="8"/>
      <c r="FN2331" s="8"/>
      <c r="FO2331" s="8"/>
      <c r="FP2331" s="8"/>
      <c r="FQ2331" s="8"/>
      <c r="FR2331" s="8"/>
      <c r="FS2331" s="8"/>
      <c r="FT2331" s="8"/>
      <c r="FU2331" s="8"/>
      <c r="FV2331" s="8"/>
      <c r="FW2331" s="8"/>
      <c r="FX2331" s="8"/>
      <c r="FY2331" s="8"/>
      <c r="FZ2331" s="8"/>
      <c r="GA2331" s="8"/>
      <c r="GB2331" s="8"/>
      <c r="GC2331" s="8"/>
      <c r="GD2331" s="8"/>
      <c r="GE2331" s="8"/>
      <c r="GF2331" s="8"/>
      <c r="GG2331" s="8"/>
      <c r="GH2331" s="8"/>
      <c r="GI2331" s="8"/>
      <c r="GJ2331" s="8"/>
      <c r="GK2331" s="8"/>
      <c r="GL2331" s="8"/>
      <c r="GM2331" s="8"/>
      <c r="GN2331" s="8"/>
      <c r="GO2331" s="8"/>
      <c r="GP2331" s="8"/>
      <c r="GQ2331" s="8"/>
      <c r="GR2331" s="8"/>
      <c r="GS2331" s="8"/>
      <c r="GT2331" s="8"/>
      <c r="GU2331" s="8"/>
      <c r="GV2331" s="8"/>
      <c r="GW2331" s="8"/>
      <c r="GX2331" s="8"/>
    </row>
    <row r="2332">
      <c r="A2332" s="8" t="str">
        <f>IFERROR(__xludf.DUMMYFUNCTION("""COMPUTED_VALUE"""),"110371520180600750")</f>
        <v>110371520180600750</v>
      </c>
      <c r="B2332" s="9" t="str">
        <f>IFERROR(__xludf.DUMMYFUNCTION("""COMPUTED_VALUE"""),"Italy")</f>
        <v>Italy</v>
      </c>
      <c r="C2332" s="9" t="str">
        <f>IFERROR(__xludf.DUMMYFUNCTION("""COMPUTED_VALUE"""),"tuscany")</f>
        <v>tuscany</v>
      </c>
      <c r="D2332" s="9" t="str">
        <f>IFERROR(__xludf.DUMMYFUNCTION("""COMPUTED_VALUE"""),"Fattoria Le Pupille, Saffredi, Toscana IGT")</f>
        <v>Fattoria Le Pupille, Saffredi, Toscana IGT</v>
      </c>
      <c r="E2332" s="9">
        <f>IFERROR(__xludf.DUMMYFUNCTION("""COMPUTED_VALUE"""),2018.0)</f>
        <v>2018</v>
      </c>
      <c r="F2332" s="9">
        <f>IFERROR(__xludf.DUMMYFUNCTION("""COMPUTED_VALUE"""),750.0)</f>
        <v>750</v>
      </c>
      <c r="G2332" s="9">
        <f>IFERROR(__xludf.DUMMYFUNCTION("""COMPUTED_VALUE"""),6.0)</f>
        <v>6</v>
      </c>
      <c r="H2332" s="10">
        <f>IFERROR(__xludf.DUMMYFUNCTION("""COMPUTED_VALUE"""),9.0)</f>
        <v>9</v>
      </c>
      <c r="I2332" s="11">
        <f>IFERROR(__xludf.DUMMYFUNCTION("""COMPUTED_VALUE"""),364.0)</f>
        <v>364</v>
      </c>
      <c r="J2332" s="9" t="str">
        <f>IFERROR(__xludf.DUMMYFUNCTION("""COMPUTED_VALUE"""),"UK")</f>
        <v>UK</v>
      </c>
      <c r="K2332" s="8"/>
      <c r="L2332" s="12"/>
      <c r="M2332" s="13"/>
      <c r="N2332" s="13" t="str">
        <f>IFERROR(__xludf.DUMMYFUNCTION("IF(ISBLANK(M2332),"""",M2332*GOOGLEFINANCE(""USDGBP""))"),"")</f>
        <v/>
      </c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  <c r="FG2332" s="8"/>
      <c r="FH2332" s="8"/>
      <c r="FI2332" s="8"/>
      <c r="FJ2332" s="8"/>
      <c r="FK2332" s="8"/>
      <c r="FL2332" s="8"/>
      <c r="FM2332" s="8"/>
      <c r="FN2332" s="8"/>
      <c r="FO2332" s="8"/>
      <c r="FP2332" s="8"/>
      <c r="FQ2332" s="8"/>
      <c r="FR2332" s="8"/>
      <c r="FS2332" s="8"/>
      <c r="FT2332" s="8"/>
      <c r="FU2332" s="8"/>
      <c r="FV2332" s="8"/>
      <c r="FW2332" s="8"/>
      <c r="FX2332" s="8"/>
      <c r="FY2332" s="8"/>
      <c r="FZ2332" s="8"/>
      <c r="GA2332" s="8"/>
      <c r="GB2332" s="8"/>
      <c r="GC2332" s="8"/>
      <c r="GD2332" s="8"/>
      <c r="GE2332" s="8"/>
      <c r="GF2332" s="8"/>
      <c r="GG2332" s="8"/>
      <c r="GH2332" s="8"/>
      <c r="GI2332" s="8"/>
      <c r="GJ2332" s="8"/>
      <c r="GK2332" s="8"/>
      <c r="GL2332" s="8"/>
      <c r="GM2332" s="8"/>
      <c r="GN2332" s="8"/>
      <c r="GO2332" s="8"/>
      <c r="GP2332" s="8"/>
      <c r="GQ2332" s="8"/>
      <c r="GR2332" s="8"/>
      <c r="GS2332" s="8"/>
      <c r="GT2332" s="8"/>
      <c r="GU2332" s="8"/>
      <c r="GV2332" s="8"/>
      <c r="GW2332" s="8"/>
      <c r="GX2332" s="8"/>
    </row>
    <row r="2333">
      <c r="A2333" s="8" t="str">
        <f>IFERROR(__xludf.DUMMYFUNCTION("""COMPUTED_VALUE"""),"110371520190600750")</f>
        <v>110371520190600750</v>
      </c>
      <c r="B2333" s="9" t="str">
        <f>IFERROR(__xludf.DUMMYFUNCTION("""COMPUTED_VALUE"""),"Italy")</f>
        <v>Italy</v>
      </c>
      <c r="C2333" s="9" t="str">
        <f>IFERROR(__xludf.DUMMYFUNCTION("""COMPUTED_VALUE"""),"tuscany")</f>
        <v>tuscany</v>
      </c>
      <c r="D2333" s="9" t="str">
        <f>IFERROR(__xludf.DUMMYFUNCTION("""COMPUTED_VALUE"""),"Fattoria Le Pupille, Saffredi, Toscana IGT")</f>
        <v>Fattoria Le Pupille, Saffredi, Toscana IGT</v>
      </c>
      <c r="E2333" s="9">
        <f>IFERROR(__xludf.DUMMYFUNCTION("""COMPUTED_VALUE"""),2019.0)</f>
        <v>2019</v>
      </c>
      <c r="F2333" s="9">
        <f>IFERROR(__xludf.DUMMYFUNCTION("""COMPUTED_VALUE"""),750.0)</f>
        <v>750</v>
      </c>
      <c r="G2333" s="9">
        <f>IFERROR(__xludf.DUMMYFUNCTION("""COMPUTED_VALUE"""),6.0)</f>
        <v>6</v>
      </c>
      <c r="H2333" s="10">
        <f>IFERROR(__xludf.DUMMYFUNCTION("""COMPUTED_VALUE"""),2.0)</f>
        <v>2</v>
      </c>
      <c r="I2333" s="11">
        <f>IFERROR(__xludf.DUMMYFUNCTION("""COMPUTED_VALUE"""),429.0)</f>
        <v>429</v>
      </c>
      <c r="J2333" s="9" t="str">
        <f>IFERROR(__xludf.DUMMYFUNCTION("""COMPUTED_VALUE"""),"UK")</f>
        <v>UK</v>
      </c>
      <c r="K2333" s="8"/>
      <c r="L2333" s="12"/>
      <c r="M2333" s="13"/>
      <c r="N2333" s="13" t="str">
        <f>IFERROR(__xludf.DUMMYFUNCTION("IF(ISBLANK(M2333),"""",M2333*GOOGLEFINANCE(""USDGBP""))"),"")</f>
        <v/>
      </c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  <c r="FG2333" s="8"/>
      <c r="FH2333" s="8"/>
      <c r="FI2333" s="8"/>
      <c r="FJ2333" s="8"/>
      <c r="FK2333" s="8"/>
      <c r="FL2333" s="8"/>
      <c r="FM2333" s="8"/>
      <c r="FN2333" s="8"/>
      <c r="FO2333" s="8"/>
      <c r="FP2333" s="8"/>
      <c r="FQ2333" s="8"/>
      <c r="FR2333" s="8"/>
      <c r="FS2333" s="8"/>
      <c r="FT2333" s="8"/>
      <c r="FU2333" s="8"/>
      <c r="FV2333" s="8"/>
      <c r="FW2333" s="8"/>
      <c r="FX2333" s="8"/>
      <c r="FY2333" s="8"/>
      <c r="FZ2333" s="8"/>
      <c r="GA2333" s="8"/>
      <c r="GB2333" s="8"/>
      <c r="GC2333" s="8"/>
      <c r="GD2333" s="8"/>
      <c r="GE2333" s="8"/>
      <c r="GF2333" s="8"/>
      <c r="GG2333" s="8"/>
      <c r="GH2333" s="8"/>
      <c r="GI2333" s="8"/>
      <c r="GJ2333" s="8"/>
      <c r="GK2333" s="8"/>
      <c r="GL2333" s="8"/>
      <c r="GM2333" s="8"/>
      <c r="GN2333" s="8"/>
      <c r="GO2333" s="8"/>
      <c r="GP2333" s="8"/>
      <c r="GQ2333" s="8"/>
      <c r="GR2333" s="8"/>
      <c r="GS2333" s="8"/>
      <c r="GT2333" s="8"/>
      <c r="GU2333" s="8"/>
      <c r="GV2333" s="8"/>
      <c r="GW2333" s="8"/>
      <c r="GX2333" s="8"/>
    </row>
    <row r="2334">
      <c r="A2334" s="8" t="str">
        <f>IFERROR(__xludf.DUMMYFUNCTION("""COMPUTED_VALUE"""),"109925620100600750")</f>
        <v>109925620100600750</v>
      </c>
      <c r="B2334" s="9" t="str">
        <f>IFERROR(__xludf.DUMMYFUNCTION("""COMPUTED_VALUE"""),"Italy")</f>
        <v>Italy</v>
      </c>
      <c r="C2334" s="9" t="str">
        <f>IFERROR(__xludf.DUMMYFUNCTION("""COMPUTED_VALUE"""),"tuscany")</f>
        <v>tuscany</v>
      </c>
      <c r="D2334" s="9" t="str">
        <f>IFERROR(__xludf.DUMMYFUNCTION("""COMPUTED_VALUE"""),"Fontodi, Flaccianello delle Pieve, Colli della Toscana Centrale")</f>
        <v>Fontodi, Flaccianello delle Pieve, Colli della Toscana Centrale</v>
      </c>
      <c r="E2334" s="9">
        <f>IFERROR(__xludf.DUMMYFUNCTION("""COMPUTED_VALUE"""),2010.0)</f>
        <v>2010</v>
      </c>
      <c r="F2334" s="9">
        <f>IFERROR(__xludf.DUMMYFUNCTION("""COMPUTED_VALUE"""),750.0)</f>
        <v>750</v>
      </c>
      <c r="G2334" s="9">
        <f>IFERROR(__xludf.DUMMYFUNCTION("""COMPUTED_VALUE"""),6.0)</f>
        <v>6</v>
      </c>
      <c r="H2334" s="10">
        <f>IFERROR(__xludf.DUMMYFUNCTION("""COMPUTED_VALUE"""),1.0)</f>
        <v>1</v>
      </c>
      <c r="I2334" s="11">
        <f>IFERROR(__xludf.DUMMYFUNCTION("""COMPUTED_VALUE"""),756.0)</f>
        <v>756</v>
      </c>
      <c r="J2334" s="9" t="str">
        <f>IFERROR(__xludf.DUMMYFUNCTION("""COMPUTED_VALUE"""),"UK")</f>
        <v>UK</v>
      </c>
      <c r="K2334" s="8"/>
      <c r="L2334" s="12"/>
      <c r="M2334" s="13"/>
      <c r="N2334" s="13" t="str">
        <f>IFERROR(__xludf.DUMMYFUNCTION("IF(ISBLANK(M2334),"""",M2334*GOOGLEFINANCE(""USDGBP""))"),"")</f>
        <v/>
      </c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  <c r="FG2334" s="8"/>
      <c r="FH2334" s="8"/>
      <c r="FI2334" s="8"/>
      <c r="FJ2334" s="8"/>
      <c r="FK2334" s="8"/>
      <c r="FL2334" s="8"/>
      <c r="FM2334" s="8"/>
      <c r="FN2334" s="8"/>
      <c r="FO2334" s="8"/>
      <c r="FP2334" s="8"/>
      <c r="FQ2334" s="8"/>
      <c r="FR2334" s="8"/>
      <c r="FS2334" s="8"/>
      <c r="FT2334" s="8"/>
      <c r="FU2334" s="8"/>
      <c r="FV2334" s="8"/>
      <c r="FW2334" s="8"/>
      <c r="FX2334" s="8"/>
      <c r="FY2334" s="8"/>
      <c r="FZ2334" s="8"/>
      <c r="GA2334" s="8"/>
      <c r="GB2334" s="8"/>
      <c r="GC2334" s="8"/>
      <c r="GD2334" s="8"/>
      <c r="GE2334" s="8"/>
      <c r="GF2334" s="8"/>
      <c r="GG2334" s="8"/>
      <c r="GH2334" s="8"/>
      <c r="GI2334" s="8"/>
      <c r="GJ2334" s="8"/>
      <c r="GK2334" s="8"/>
      <c r="GL2334" s="8"/>
      <c r="GM2334" s="8"/>
      <c r="GN2334" s="8"/>
      <c r="GO2334" s="8"/>
      <c r="GP2334" s="8"/>
      <c r="GQ2334" s="8"/>
      <c r="GR2334" s="8"/>
      <c r="GS2334" s="8"/>
      <c r="GT2334" s="8"/>
      <c r="GU2334" s="8"/>
      <c r="GV2334" s="8"/>
      <c r="GW2334" s="8"/>
      <c r="GX2334" s="8"/>
    </row>
    <row r="2335">
      <c r="A2335" s="8" t="str">
        <f>IFERROR(__xludf.DUMMYFUNCTION("""COMPUTED_VALUE"""),"109925620120600750")</f>
        <v>109925620120600750</v>
      </c>
      <c r="B2335" s="9" t="str">
        <f>IFERROR(__xludf.DUMMYFUNCTION("""COMPUTED_VALUE"""),"Italy")</f>
        <v>Italy</v>
      </c>
      <c r="C2335" s="9" t="str">
        <f>IFERROR(__xludf.DUMMYFUNCTION("""COMPUTED_VALUE"""),"tuscany")</f>
        <v>tuscany</v>
      </c>
      <c r="D2335" s="9" t="str">
        <f>IFERROR(__xludf.DUMMYFUNCTION("""COMPUTED_VALUE"""),"Fontodi, Flaccianello delle Pieve, Colli della Toscana Centrale")</f>
        <v>Fontodi, Flaccianello delle Pieve, Colli della Toscana Centrale</v>
      </c>
      <c r="E2335" s="9">
        <f>IFERROR(__xludf.DUMMYFUNCTION("""COMPUTED_VALUE"""),2012.0)</f>
        <v>2012</v>
      </c>
      <c r="F2335" s="9">
        <f>IFERROR(__xludf.DUMMYFUNCTION("""COMPUTED_VALUE"""),750.0)</f>
        <v>750</v>
      </c>
      <c r="G2335" s="9">
        <f>IFERROR(__xludf.DUMMYFUNCTION("""COMPUTED_VALUE"""),6.0)</f>
        <v>6</v>
      </c>
      <c r="H2335" s="10">
        <f>IFERROR(__xludf.DUMMYFUNCTION("""COMPUTED_VALUE"""),1.0)</f>
        <v>1</v>
      </c>
      <c r="I2335" s="11">
        <f>IFERROR(__xludf.DUMMYFUNCTION("""COMPUTED_VALUE"""),593.0)</f>
        <v>593</v>
      </c>
      <c r="J2335" s="9" t="str">
        <f>IFERROR(__xludf.DUMMYFUNCTION("""COMPUTED_VALUE"""),"UK")</f>
        <v>UK</v>
      </c>
      <c r="K2335" s="8"/>
      <c r="L2335" s="12"/>
      <c r="M2335" s="13"/>
      <c r="N2335" s="13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  <c r="FG2335" s="8"/>
      <c r="FH2335" s="8"/>
      <c r="FI2335" s="8"/>
      <c r="FJ2335" s="8"/>
      <c r="FK2335" s="8"/>
      <c r="FL2335" s="8"/>
      <c r="FM2335" s="8"/>
      <c r="FN2335" s="8"/>
      <c r="FO2335" s="8"/>
      <c r="FP2335" s="8"/>
      <c r="FQ2335" s="8"/>
      <c r="FR2335" s="8"/>
      <c r="FS2335" s="8"/>
      <c r="FT2335" s="8"/>
      <c r="FU2335" s="8"/>
      <c r="FV2335" s="8"/>
      <c r="FW2335" s="8"/>
      <c r="FX2335" s="8"/>
      <c r="FY2335" s="8"/>
      <c r="FZ2335" s="8"/>
      <c r="GA2335" s="8"/>
      <c r="GB2335" s="8"/>
      <c r="GC2335" s="8"/>
      <c r="GD2335" s="8"/>
      <c r="GE2335" s="8"/>
      <c r="GF2335" s="8"/>
      <c r="GG2335" s="8"/>
      <c r="GH2335" s="8"/>
      <c r="GI2335" s="8"/>
      <c r="GJ2335" s="8"/>
      <c r="GK2335" s="8"/>
      <c r="GL2335" s="8"/>
      <c r="GM2335" s="8"/>
      <c r="GN2335" s="8"/>
      <c r="GO2335" s="8"/>
      <c r="GP2335" s="8"/>
      <c r="GQ2335" s="8"/>
      <c r="GR2335" s="8"/>
      <c r="GS2335" s="8"/>
      <c r="GT2335" s="8"/>
      <c r="GU2335" s="8"/>
      <c r="GV2335" s="8"/>
      <c r="GW2335" s="8"/>
      <c r="GX2335" s="8"/>
    </row>
    <row r="2336">
      <c r="A2336" s="8" t="str">
        <f>IFERROR(__xludf.DUMMYFUNCTION("""COMPUTED_VALUE"""),"109925620130600750")</f>
        <v>109925620130600750</v>
      </c>
      <c r="B2336" s="9" t="str">
        <f>IFERROR(__xludf.DUMMYFUNCTION("""COMPUTED_VALUE"""),"Italy")</f>
        <v>Italy</v>
      </c>
      <c r="C2336" s="9" t="str">
        <f>IFERROR(__xludf.DUMMYFUNCTION("""COMPUTED_VALUE"""),"tuscany")</f>
        <v>tuscany</v>
      </c>
      <c r="D2336" s="9" t="str">
        <f>IFERROR(__xludf.DUMMYFUNCTION("""COMPUTED_VALUE"""),"Fontodi, Flaccianello delle Pieve, Colli della Toscana Centrale")</f>
        <v>Fontodi, Flaccianello delle Pieve, Colli della Toscana Centrale</v>
      </c>
      <c r="E2336" s="9">
        <f>IFERROR(__xludf.DUMMYFUNCTION("""COMPUTED_VALUE"""),2013.0)</f>
        <v>2013</v>
      </c>
      <c r="F2336" s="9">
        <f>IFERROR(__xludf.DUMMYFUNCTION("""COMPUTED_VALUE"""),750.0)</f>
        <v>750</v>
      </c>
      <c r="G2336" s="9">
        <f>IFERROR(__xludf.DUMMYFUNCTION("""COMPUTED_VALUE"""),6.0)</f>
        <v>6</v>
      </c>
      <c r="H2336" s="10">
        <f>IFERROR(__xludf.DUMMYFUNCTION("""COMPUTED_VALUE"""),2.0)</f>
        <v>2</v>
      </c>
      <c r="I2336" s="11">
        <f>IFERROR(__xludf.DUMMYFUNCTION("""COMPUTED_VALUE"""),610.0)</f>
        <v>610</v>
      </c>
      <c r="J2336" s="9" t="str">
        <f>IFERROR(__xludf.DUMMYFUNCTION("""COMPUTED_VALUE"""),"UK")</f>
        <v>UK</v>
      </c>
      <c r="K2336" s="8"/>
      <c r="L2336" s="12"/>
      <c r="M2336" s="13"/>
      <c r="N2336" s="13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  <c r="FG2336" s="8"/>
      <c r="FH2336" s="8"/>
      <c r="FI2336" s="8"/>
      <c r="FJ2336" s="8"/>
      <c r="FK2336" s="8"/>
      <c r="FL2336" s="8"/>
      <c r="FM2336" s="8"/>
      <c r="FN2336" s="8"/>
      <c r="FO2336" s="8"/>
      <c r="FP2336" s="8"/>
      <c r="FQ2336" s="8"/>
      <c r="FR2336" s="8"/>
      <c r="FS2336" s="8"/>
      <c r="FT2336" s="8"/>
      <c r="FU2336" s="8"/>
      <c r="FV2336" s="8"/>
      <c r="FW2336" s="8"/>
      <c r="FX2336" s="8"/>
      <c r="FY2336" s="8"/>
      <c r="FZ2336" s="8"/>
      <c r="GA2336" s="8"/>
      <c r="GB2336" s="8"/>
      <c r="GC2336" s="8"/>
      <c r="GD2336" s="8"/>
      <c r="GE2336" s="8"/>
      <c r="GF2336" s="8"/>
      <c r="GG2336" s="8"/>
      <c r="GH2336" s="8"/>
      <c r="GI2336" s="8"/>
      <c r="GJ2336" s="8"/>
      <c r="GK2336" s="8"/>
      <c r="GL2336" s="8"/>
      <c r="GM2336" s="8"/>
      <c r="GN2336" s="8"/>
      <c r="GO2336" s="8"/>
      <c r="GP2336" s="8"/>
      <c r="GQ2336" s="8"/>
      <c r="GR2336" s="8"/>
      <c r="GS2336" s="8"/>
      <c r="GT2336" s="8"/>
      <c r="GU2336" s="8"/>
      <c r="GV2336" s="8"/>
      <c r="GW2336" s="8"/>
      <c r="GX2336" s="8"/>
    </row>
    <row r="2337">
      <c r="A2337" s="8" t="str">
        <f>IFERROR(__xludf.DUMMYFUNCTION("""COMPUTED_VALUE"""),"109925620150600750")</f>
        <v>109925620150600750</v>
      </c>
      <c r="B2337" s="9" t="str">
        <f>IFERROR(__xludf.DUMMYFUNCTION("""COMPUTED_VALUE"""),"Italy")</f>
        <v>Italy</v>
      </c>
      <c r="C2337" s="9" t="str">
        <f>IFERROR(__xludf.DUMMYFUNCTION("""COMPUTED_VALUE"""),"tuscany")</f>
        <v>tuscany</v>
      </c>
      <c r="D2337" s="9" t="str">
        <f>IFERROR(__xludf.DUMMYFUNCTION("""COMPUTED_VALUE"""),"Fontodi, Flaccianello delle Pieve, Colli della Toscana Centrale")</f>
        <v>Fontodi, Flaccianello delle Pieve, Colli della Toscana Centrale</v>
      </c>
      <c r="E2337" s="9">
        <f>IFERROR(__xludf.DUMMYFUNCTION("""COMPUTED_VALUE"""),2015.0)</f>
        <v>2015</v>
      </c>
      <c r="F2337" s="9">
        <f>IFERROR(__xludf.DUMMYFUNCTION("""COMPUTED_VALUE"""),750.0)</f>
        <v>750</v>
      </c>
      <c r="G2337" s="9">
        <f>IFERROR(__xludf.DUMMYFUNCTION("""COMPUTED_VALUE"""),6.0)</f>
        <v>6</v>
      </c>
      <c r="H2337" s="10">
        <f>IFERROR(__xludf.DUMMYFUNCTION("""COMPUTED_VALUE"""),1.0)</f>
        <v>1</v>
      </c>
      <c r="I2337" s="11">
        <f>IFERROR(__xludf.DUMMYFUNCTION("""COMPUTED_VALUE"""),672.0)</f>
        <v>672</v>
      </c>
      <c r="J2337" s="9" t="str">
        <f>IFERROR(__xludf.DUMMYFUNCTION("""COMPUTED_VALUE"""),"UK")</f>
        <v>UK</v>
      </c>
      <c r="K2337" s="8"/>
      <c r="L2337" s="12"/>
      <c r="M2337" s="13"/>
      <c r="N2337" s="13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  <c r="FG2337" s="8"/>
      <c r="FH2337" s="8"/>
      <c r="FI2337" s="8"/>
      <c r="FJ2337" s="8"/>
      <c r="FK2337" s="8"/>
      <c r="FL2337" s="8"/>
      <c r="FM2337" s="8"/>
      <c r="FN2337" s="8"/>
      <c r="FO2337" s="8"/>
      <c r="FP2337" s="8"/>
      <c r="FQ2337" s="8"/>
      <c r="FR2337" s="8"/>
      <c r="FS2337" s="8"/>
      <c r="FT2337" s="8"/>
      <c r="FU2337" s="8"/>
      <c r="FV2337" s="8"/>
      <c r="FW2337" s="8"/>
      <c r="FX2337" s="8"/>
      <c r="FY2337" s="8"/>
      <c r="FZ2337" s="8"/>
      <c r="GA2337" s="8"/>
      <c r="GB2337" s="8"/>
      <c r="GC2337" s="8"/>
      <c r="GD2337" s="8"/>
      <c r="GE2337" s="8"/>
      <c r="GF2337" s="8"/>
      <c r="GG2337" s="8"/>
      <c r="GH2337" s="8"/>
      <c r="GI2337" s="8"/>
      <c r="GJ2337" s="8"/>
      <c r="GK2337" s="8"/>
      <c r="GL2337" s="8"/>
      <c r="GM2337" s="8"/>
      <c r="GN2337" s="8"/>
      <c r="GO2337" s="8"/>
      <c r="GP2337" s="8"/>
      <c r="GQ2337" s="8"/>
      <c r="GR2337" s="8"/>
      <c r="GS2337" s="8"/>
      <c r="GT2337" s="8"/>
      <c r="GU2337" s="8"/>
      <c r="GV2337" s="8"/>
      <c r="GW2337" s="8"/>
      <c r="GX2337" s="8"/>
    </row>
    <row r="2338">
      <c r="A2338" s="8" t="str">
        <f>IFERROR(__xludf.DUMMYFUNCTION("""COMPUTED_VALUE"""),"109925620160600750")</f>
        <v>109925620160600750</v>
      </c>
      <c r="B2338" s="9" t="str">
        <f>IFERROR(__xludf.DUMMYFUNCTION("""COMPUTED_VALUE"""),"Italy")</f>
        <v>Italy</v>
      </c>
      <c r="C2338" s="9" t="str">
        <f>IFERROR(__xludf.DUMMYFUNCTION("""COMPUTED_VALUE"""),"tuscany")</f>
        <v>tuscany</v>
      </c>
      <c r="D2338" s="9" t="str">
        <f>IFERROR(__xludf.DUMMYFUNCTION("""COMPUTED_VALUE"""),"Fontodi, Flaccianello delle Pieve, Colli della Toscana Centrale")</f>
        <v>Fontodi, Flaccianello delle Pieve, Colli della Toscana Centrale</v>
      </c>
      <c r="E2338" s="9">
        <f>IFERROR(__xludf.DUMMYFUNCTION("""COMPUTED_VALUE"""),2016.0)</f>
        <v>2016</v>
      </c>
      <c r="F2338" s="9">
        <f>IFERROR(__xludf.DUMMYFUNCTION("""COMPUTED_VALUE"""),750.0)</f>
        <v>750</v>
      </c>
      <c r="G2338" s="9">
        <f>IFERROR(__xludf.DUMMYFUNCTION("""COMPUTED_VALUE"""),6.0)</f>
        <v>6</v>
      </c>
      <c r="H2338" s="10">
        <f>IFERROR(__xludf.DUMMYFUNCTION("""COMPUTED_VALUE"""),1.0)</f>
        <v>1</v>
      </c>
      <c r="I2338" s="11">
        <f>IFERROR(__xludf.DUMMYFUNCTION("""COMPUTED_VALUE"""),1012.0)</f>
        <v>1012</v>
      </c>
      <c r="J2338" s="9" t="str">
        <f>IFERROR(__xludf.DUMMYFUNCTION("""COMPUTED_VALUE"""),"UK")</f>
        <v>UK</v>
      </c>
      <c r="K2338" s="8"/>
      <c r="L2338" s="12"/>
      <c r="M2338" s="13"/>
      <c r="N2338" s="13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  <c r="FG2338" s="8"/>
      <c r="FH2338" s="8"/>
      <c r="FI2338" s="8"/>
      <c r="FJ2338" s="8"/>
      <c r="FK2338" s="8"/>
      <c r="FL2338" s="8"/>
      <c r="FM2338" s="8"/>
      <c r="FN2338" s="8"/>
      <c r="FO2338" s="8"/>
      <c r="FP2338" s="8"/>
      <c r="FQ2338" s="8"/>
      <c r="FR2338" s="8"/>
      <c r="FS2338" s="8"/>
      <c r="FT2338" s="8"/>
      <c r="FU2338" s="8"/>
      <c r="FV2338" s="8"/>
      <c r="FW2338" s="8"/>
      <c r="FX2338" s="8"/>
      <c r="FY2338" s="8"/>
      <c r="FZ2338" s="8"/>
      <c r="GA2338" s="8"/>
      <c r="GB2338" s="8"/>
      <c r="GC2338" s="8"/>
      <c r="GD2338" s="8"/>
      <c r="GE2338" s="8"/>
      <c r="GF2338" s="8"/>
      <c r="GG2338" s="8"/>
      <c r="GH2338" s="8"/>
      <c r="GI2338" s="8"/>
      <c r="GJ2338" s="8"/>
      <c r="GK2338" s="8"/>
      <c r="GL2338" s="8"/>
      <c r="GM2338" s="8"/>
      <c r="GN2338" s="8"/>
      <c r="GO2338" s="8"/>
      <c r="GP2338" s="8"/>
      <c r="GQ2338" s="8"/>
      <c r="GR2338" s="8"/>
      <c r="GS2338" s="8"/>
      <c r="GT2338" s="8"/>
      <c r="GU2338" s="8"/>
      <c r="GV2338" s="8"/>
      <c r="GW2338" s="8"/>
      <c r="GX2338" s="8"/>
    </row>
    <row r="2339">
      <c r="A2339" s="8" t="str">
        <f>IFERROR(__xludf.DUMMYFUNCTION("""COMPUTED_VALUE"""),"109925620170600750")</f>
        <v>109925620170600750</v>
      </c>
      <c r="B2339" s="9" t="str">
        <f>IFERROR(__xludf.DUMMYFUNCTION("""COMPUTED_VALUE"""),"Italy")</f>
        <v>Italy</v>
      </c>
      <c r="C2339" s="9" t="str">
        <f>IFERROR(__xludf.DUMMYFUNCTION("""COMPUTED_VALUE"""),"tuscany")</f>
        <v>tuscany</v>
      </c>
      <c r="D2339" s="9" t="str">
        <f>IFERROR(__xludf.DUMMYFUNCTION("""COMPUTED_VALUE"""),"Fontodi, Flaccianello delle Pieve, Colli della Toscana Centrale")</f>
        <v>Fontodi, Flaccianello delle Pieve, Colli della Toscana Centrale</v>
      </c>
      <c r="E2339" s="9">
        <f>IFERROR(__xludf.DUMMYFUNCTION("""COMPUTED_VALUE"""),2017.0)</f>
        <v>2017</v>
      </c>
      <c r="F2339" s="9">
        <f>IFERROR(__xludf.DUMMYFUNCTION("""COMPUTED_VALUE"""),750.0)</f>
        <v>750</v>
      </c>
      <c r="G2339" s="9">
        <f>IFERROR(__xludf.DUMMYFUNCTION("""COMPUTED_VALUE"""),6.0)</f>
        <v>6</v>
      </c>
      <c r="H2339" s="10">
        <f>IFERROR(__xludf.DUMMYFUNCTION("""COMPUTED_VALUE"""),7.0)</f>
        <v>7</v>
      </c>
      <c r="I2339" s="11">
        <f>IFERROR(__xludf.DUMMYFUNCTION("""COMPUTED_VALUE"""),526.0)</f>
        <v>526</v>
      </c>
      <c r="J2339" s="9" t="str">
        <f>IFERROR(__xludf.DUMMYFUNCTION("""COMPUTED_VALUE"""),"UK")</f>
        <v>UK</v>
      </c>
      <c r="K2339" s="8"/>
      <c r="L2339" s="12"/>
      <c r="M2339" s="13"/>
      <c r="N2339" s="13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  <c r="FG2339" s="8"/>
      <c r="FH2339" s="8"/>
      <c r="FI2339" s="8"/>
      <c r="FJ2339" s="8"/>
      <c r="FK2339" s="8"/>
      <c r="FL2339" s="8"/>
      <c r="FM2339" s="8"/>
      <c r="FN2339" s="8"/>
      <c r="FO2339" s="8"/>
      <c r="FP2339" s="8"/>
      <c r="FQ2339" s="8"/>
      <c r="FR2339" s="8"/>
      <c r="FS2339" s="8"/>
      <c r="FT2339" s="8"/>
      <c r="FU2339" s="8"/>
      <c r="FV2339" s="8"/>
      <c r="FW2339" s="8"/>
      <c r="FX2339" s="8"/>
      <c r="FY2339" s="8"/>
      <c r="FZ2339" s="8"/>
      <c r="GA2339" s="8"/>
      <c r="GB2339" s="8"/>
      <c r="GC2339" s="8"/>
      <c r="GD2339" s="8"/>
      <c r="GE2339" s="8"/>
      <c r="GF2339" s="8"/>
      <c r="GG2339" s="8"/>
      <c r="GH2339" s="8"/>
      <c r="GI2339" s="8"/>
      <c r="GJ2339" s="8"/>
      <c r="GK2339" s="8"/>
      <c r="GL2339" s="8"/>
      <c r="GM2339" s="8"/>
      <c r="GN2339" s="8"/>
      <c r="GO2339" s="8"/>
      <c r="GP2339" s="8"/>
      <c r="GQ2339" s="8"/>
      <c r="GR2339" s="8"/>
      <c r="GS2339" s="8"/>
      <c r="GT2339" s="8"/>
      <c r="GU2339" s="8"/>
      <c r="GV2339" s="8"/>
      <c r="GW2339" s="8"/>
      <c r="GX2339" s="8"/>
    </row>
    <row r="2340">
      <c r="A2340" s="14" t="str">
        <f>IFERROR(__xludf.DUMMYFUNCTION("""COMPUTED_VALUE"""),"109925620190600750")</f>
        <v>109925620190600750</v>
      </c>
      <c r="B2340" s="15" t="str">
        <f>IFERROR(__xludf.DUMMYFUNCTION("""COMPUTED_VALUE"""),"Italy")</f>
        <v>Italy</v>
      </c>
      <c r="C2340" s="15" t="str">
        <f>IFERROR(__xludf.DUMMYFUNCTION("""COMPUTED_VALUE"""),"tuscany")</f>
        <v>tuscany</v>
      </c>
      <c r="D2340" s="15" t="str">
        <f>IFERROR(__xludf.DUMMYFUNCTION("""COMPUTED_VALUE"""),"Fontodi, Flaccianello delle Pieve, Colli della Toscana Centrale")</f>
        <v>Fontodi, Flaccianello delle Pieve, Colli della Toscana Centrale</v>
      </c>
      <c r="E2340" s="15">
        <f>IFERROR(__xludf.DUMMYFUNCTION("""COMPUTED_VALUE"""),2019.0)</f>
        <v>2019</v>
      </c>
      <c r="F2340" s="15">
        <f>IFERROR(__xludf.DUMMYFUNCTION("""COMPUTED_VALUE"""),750.0)</f>
        <v>750</v>
      </c>
      <c r="G2340" s="15">
        <f>IFERROR(__xludf.DUMMYFUNCTION("""COMPUTED_VALUE"""),6.0)</f>
        <v>6</v>
      </c>
      <c r="H2340" s="16">
        <f>IFERROR(__xludf.DUMMYFUNCTION("""COMPUTED_VALUE"""),1.0)</f>
        <v>1</v>
      </c>
      <c r="I2340" s="17">
        <f>IFERROR(__xludf.DUMMYFUNCTION("""COMPUTED_VALUE"""),561.0)</f>
        <v>561</v>
      </c>
      <c r="J2340" s="15" t="str">
        <f>IFERROR(__xludf.DUMMYFUNCTION("""COMPUTED_VALUE"""),"UK")</f>
        <v>UK</v>
      </c>
      <c r="L2340" s="18"/>
      <c r="M2340" s="19"/>
      <c r="N2340" s="19"/>
    </row>
    <row r="2341">
      <c r="A2341" s="14" t="str">
        <f>IFERROR(__xludf.DUMMYFUNCTION("""COMPUTED_VALUE"""),"109536220100600750")</f>
        <v>109536220100600750</v>
      </c>
      <c r="B2341" s="15" t="str">
        <f>IFERROR(__xludf.DUMMYFUNCTION("""COMPUTED_VALUE"""),"Italy")</f>
        <v>Italy</v>
      </c>
      <c r="C2341" s="15" t="str">
        <f>IFERROR(__xludf.DUMMYFUNCTION("""COMPUTED_VALUE"""),"tuscany")</f>
        <v>tuscany</v>
      </c>
      <c r="D2341" s="15" t="str">
        <f>IFERROR(__xludf.DUMMYFUNCTION("""COMPUTED_VALUE"""),"Guado Al Tasso, Bolgheri")</f>
        <v>Guado Al Tasso, Bolgheri</v>
      </c>
      <c r="E2341" s="15">
        <f>IFERROR(__xludf.DUMMYFUNCTION("""COMPUTED_VALUE"""),2010.0)</f>
        <v>2010</v>
      </c>
      <c r="F2341" s="15">
        <f>IFERROR(__xludf.DUMMYFUNCTION("""COMPUTED_VALUE"""),750.0)</f>
        <v>750</v>
      </c>
      <c r="G2341" s="15">
        <f>IFERROR(__xludf.DUMMYFUNCTION("""COMPUTED_VALUE"""),6.0)</f>
        <v>6</v>
      </c>
      <c r="H2341" s="16">
        <f>IFERROR(__xludf.DUMMYFUNCTION("""COMPUTED_VALUE"""),2.0)</f>
        <v>2</v>
      </c>
      <c r="I2341" s="17">
        <f>IFERROR(__xludf.DUMMYFUNCTION("""COMPUTED_VALUE"""),703.0)</f>
        <v>703</v>
      </c>
      <c r="J2341" s="15" t="str">
        <f>IFERROR(__xludf.DUMMYFUNCTION("""COMPUTED_VALUE"""),"UK")</f>
        <v>UK</v>
      </c>
      <c r="L2341" s="18"/>
      <c r="M2341" s="19"/>
      <c r="N2341" s="19"/>
    </row>
    <row r="2342">
      <c r="A2342" s="14" t="str">
        <f>IFERROR(__xludf.DUMMYFUNCTION("""COMPUTED_VALUE"""),"109536220130600750")</f>
        <v>109536220130600750</v>
      </c>
      <c r="B2342" s="15" t="str">
        <f>IFERROR(__xludf.DUMMYFUNCTION("""COMPUTED_VALUE"""),"Italy")</f>
        <v>Italy</v>
      </c>
      <c r="C2342" s="15" t="str">
        <f>IFERROR(__xludf.DUMMYFUNCTION("""COMPUTED_VALUE"""),"tuscany")</f>
        <v>tuscany</v>
      </c>
      <c r="D2342" s="15" t="str">
        <f>IFERROR(__xludf.DUMMYFUNCTION("""COMPUTED_VALUE"""),"Guado Al Tasso, Bolgheri")</f>
        <v>Guado Al Tasso, Bolgheri</v>
      </c>
      <c r="E2342" s="15">
        <f>IFERROR(__xludf.DUMMYFUNCTION("""COMPUTED_VALUE"""),2013.0)</f>
        <v>2013</v>
      </c>
      <c r="F2342" s="15">
        <f>IFERROR(__xludf.DUMMYFUNCTION("""COMPUTED_VALUE"""),750.0)</f>
        <v>750</v>
      </c>
      <c r="G2342" s="15">
        <f>IFERROR(__xludf.DUMMYFUNCTION("""COMPUTED_VALUE"""),6.0)</f>
        <v>6</v>
      </c>
      <c r="H2342" s="16">
        <f>IFERROR(__xludf.DUMMYFUNCTION("""COMPUTED_VALUE"""),2.0)</f>
        <v>2</v>
      </c>
      <c r="I2342" s="17">
        <f>IFERROR(__xludf.DUMMYFUNCTION("""COMPUTED_VALUE"""),760.0)</f>
        <v>760</v>
      </c>
      <c r="J2342" s="15" t="str">
        <f>IFERROR(__xludf.DUMMYFUNCTION("""COMPUTED_VALUE"""),"UK")</f>
        <v>UK</v>
      </c>
      <c r="L2342" s="18"/>
      <c r="M2342" s="19"/>
      <c r="N2342" s="19"/>
    </row>
    <row r="2343">
      <c r="A2343" s="14" t="str">
        <f>IFERROR(__xludf.DUMMYFUNCTION("""COMPUTED_VALUE"""),"109536220150600750")</f>
        <v>109536220150600750</v>
      </c>
      <c r="B2343" s="15" t="str">
        <f>IFERROR(__xludf.DUMMYFUNCTION("""COMPUTED_VALUE"""),"Italy")</f>
        <v>Italy</v>
      </c>
      <c r="C2343" s="15" t="str">
        <f>IFERROR(__xludf.DUMMYFUNCTION("""COMPUTED_VALUE"""),"tuscany")</f>
        <v>tuscany</v>
      </c>
      <c r="D2343" s="15" t="str">
        <f>IFERROR(__xludf.DUMMYFUNCTION("""COMPUTED_VALUE"""),"Guado Al Tasso, Bolgheri")</f>
        <v>Guado Al Tasso, Bolgheri</v>
      </c>
      <c r="E2343" s="15">
        <f>IFERROR(__xludf.DUMMYFUNCTION("""COMPUTED_VALUE"""),2015.0)</f>
        <v>2015</v>
      </c>
      <c r="F2343" s="15">
        <f>IFERROR(__xludf.DUMMYFUNCTION("""COMPUTED_VALUE"""),750.0)</f>
        <v>750</v>
      </c>
      <c r="G2343" s="15">
        <f>IFERROR(__xludf.DUMMYFUNCTION("""COMPUTED_VALUE"""),6.0)</f>
        <v>6</v>
      </c>
      <c r="H2343" s="16">
        <f>IFERROR(__xludf.DUMMYFUNCTION("""COMPUTED_VALUE"""),9.0)</f>
        <v>9</v>
      </c>
      <c r="I2343" s="17">
        <f>IFERROR(__xludf.DUMMYFUNCTION("""COMPUTED_VALUE"""),683.0)</f>
        <v>683</v>
      </c>
      <c r="J2343" s="15" t="str">
        <f>IFERROR(__xludf.DUMMYFUNCTION("""COMPUTED_VALUE"""),"UK")</f>
        <v>UK</v>
      </c>
      <c r="L2343" s="18"/>
      <c r="M2343" s="19"/>
      <c r="N2343" s="19"/>
    </row>
    <row r="2344">
      <c r="A2344" s="14" t="str">
        <f>IFERROR(__xludf.DUMMYFUNCTION("""COMPUTED_VALUE"""),"109536220160600750")</f>
        <v>109536220160600750</v>
      </c>
      <c r="B2344" s="15" t="str">
        <f>IFERROR(__xludf.DUMMYFUNCTION("""COMPUTED_VALUE"""),"Italy")</f>
        <v>Italy</v>
      </c>
      <c r="C2344" s="15" t="str">
        <f>IFERROR(__xludf.DUMMYFUNCTION("""COMPUTED_VALUE"""),"tuscany")</f>
        <v>tuscany</v>
      </c>
      <c r="D2344" s="15" t="str">
        <f>IFERROR(__xludf.DUMMYFUNCTION("""COMPUTED_VALUE"""),"Guado Al Tasso, Bolgheri")</f>
        <v>Guado Al Tasso, Bolgheri</v>
      </c>
      <c r="E2344" s="15">
        <f>IFERROR(__xludf.DUMMYFUNCTION("""COMPUTED_VALUE"""),2016.0)</f>
        <v>2016</v>
      </c>
      <c r="F2344" s="15">
        <f>IFERROR(__xludf.DUMMYFUNCTION("""COMPUTED_VALUE"""),750.0)</f>
        <v>750</v>
      </c>
      <c r="G2344" s="15">
        <f>IFERROR(__xludf.DUMMYFUNCTION("""COMPUTED_VALUE"""),6.0)</f>
        <v>6</v>
      </c>
      <c r="H2344" s="16">
        <f>IFERROR(__xludf.DUMMYFUNCTION("""COMPUTED_VALUE"""),1.0)</f>
        <v>1</v>
      </c>
      <c r="I2344" s="17">
        <f>IFERROR(__xludf.DUMMYFUNCTION("""COMPUTED_VALUE"""),664.0)</f>
        <v>664</v>
      </c>
      <c r="J2344" s="15" t="str">
        <f>IFERROR(__xludf.DUMMYFUNCTION("""COMPUTED_VALUE"""),"UK")</f>
        <v>UK</v>
      </c>
      <c r="L2344" s="18"/>
      <c r="M2344" s="19"/>
      <c r="N2344" s="19"/>
    </row>
    <row r="2345">
      <c r="A2345" s="14" t="str">
        <f>IFERROR(__xludf.DUMMYFUNCTION("""COMPUTED_VALUE"""),"109536220170600750")</f>
        <v>109536220170600750</v>
      </c>
      <c r="B2345" s="15" t="str">
        <f>IFERROR(__xludf.DUMMYFUNCTION("""COMPUTED_VALUE"""),"Italy")</f>
        <v>Italy</v>
      </c>
      <c r="C2345" s="15" t="str">
        <f>IFERROR(__xludf.DUMMYFUNCTION("""COMPUTED_VALUE"""),"tuscany")</f>
        <v>tuscany</v>
      </c>
      <c r="D2345" s="15" t="str">
        <f>IFERROR(__xludf.DUMMYFUNCTION("""COMPUTED_VALUE"""),"Guado Al Tasso, Bolgheri")</f>
        <v>Guado Al Tasso, Bolgheri</v>
      </c>
      <c r="E2345" s="15">
        <f>IFERROR(__xludf.DUMMYFUNCTION("""COMPUTED_VALUE"""),2017.0)</f>
        <v>2017</v>
      </c>
      <c r="F2345" s="15">
        <f>IFERROR(__xludf.DUMMYFUNCTION("""COMPUTED_VALUE"""),750.0)</f>
        <v>750</v>
      </c>
      <c r="G2345" s="15">
        <f>IFERROR(__xludf.DUMMYFUNCTION("""COMPUTED_VALUE"""),6.0)</f>
        <v>6</v>
      </c>
      <c r="H2345" s="16">
        <f>IFERROR(__xludf.DUMMYFUNCTION("""COMPUTED_VALUE"""),28.0)</f>
        <v>28</v>
      </c>
      <c r="I2345" s="17">
        <f>IFERROR(__xludf.DUMMYFUNCTION("""COMPUTED_VALUE"""),625.0)</f>
        <v>625</v>
      </c>
      <c r="J2345" s="15" t="str">
        <f>IFERROR(__xludf.DUMMYFUNCTION("""COMPUTED_VALUE"""),"UK")</f>
        <v>UK</v>
      </c>
      <c r="L2345" s="18"/>
      <c r="M2345" s="19"/>
      <c r="N2345" s="19"/>
    </row>
    <row r="2346">
      <c r="A2346" s="14" t="str">
        <f>IFERROR(__xludf.DUMMYFUNCTION("""COMPUTED_VALUE"""),"109536220180600750")</f>
        <v>109536220180600750</v>
      </c>
      <c r="B2346" s="15" t="str">
        <f>IFERROR(__xludf.DUMMYFUNCTION("""COMPUTED_VALUE"""),"Italy")</f>
        <v>Italy</v>
      </c>
      <c r="C2346" s="15" t="str">
        <f>IFERROR(__xludf.DUMMYFUNCTION("""COMPUTED_VALUE"""),"tuscany")</f>
        <v>tuscany</v>
      </c>
      <c r="D2346" s="15" t="str">
        <f>IFERROR(__xludf.DUMMYFUNCTION("""COMPUTED_VALUE"""),"Guado Al Tasso, Bolgheri")</f>
        <v>Guado Al Tasso, Bolgheri</v>
      </c>
      <c r="E2346" s="15">
        <f>IFERROR(__xludf.DUMMYFUNCTION("""COMPUTED_VALUE"""),2018.0)</f>
        <v>2018</v>
      </c>
      <c r="F2346" s="15">
        <f>IFERROR(__xludf.DUMMYFUNCTION("""COMPUTED_VALUE"""),750.0)</f>
        <v>750</v>
      </c>
      <c r="G2346" s="15">
        <f>IFERROR(__xludf.DUMMYFUNCTION("""COMPUTED_VALUE"""),6.0)</f>
        <v>6</v>
      </c>
      <c r="H2346" s="16">
        <f>IFERROR(__xludf.DUMMYFUNCTION("""COMPUTED_VALUE"""),1.0)</f>
        <v>1</v>
      </c>
      <c r="I2346" s="17">
        <f>IFERROR(__xludf.DUMMYFUNCTION("""COMPUTED_VALUE"""),605.0)</f>
        <v>605</v>
      </c>
      <c r="J2346" s="15" t="str">
        <f>IFERROR(__xludf.DUMMYFUNCTION("""COMPUTED_VALUE"""),"UK")</f>
        <v>UK</v>
      </c>
      <c r="L2346" s="18"/>
      <c r="M2346" s="19"/>
      <c r="N2346" s="19"/>
    </row>
    <row r="2347">
      <c r="A2347" s="14" t="str">
        <f>IFERROR(__xludf.DUMMYFUNCTION("""COMPUTED_VALUE"""),"110465320181200750")</f>
        <v>110465320181200750</v>
      </c>
      <c r="B2347" s="15" t="str">
        <f>IFERROR(__xludf.DUMMYFUNCTION("""COMPUTED_VALUE"""),"Italy")</f>
        <v>Italy</v>
      </c>
      <c r="C2347" s="15" t="str">
        <f>IFERROR(__xludf.DUMMYFUNCTION("""COMPUTED_VALUE"""),"tuscany")</f>
        <v>tuscany</v>
      </c>
      <c r="D2347" s="15" t="str">
        <f>IFERROR(__xludf.DUMMYFUNCTION("""COMPUTED_VALUE"""),"Guidalberto, Tenuta San Guido, Toscana")</f>
        <v>Guidalberto, Tenuta San Guido, Toscana</v>
      </c>
      <c r="E2347" s="15">
        <f>IFERROR(__xludf.DUMMYFUNCTION("""COMPUTED_VALUE"""),2018.0)</f>
        <v>2018</v>
      </c>
      <c r="F2347" s="15">
        <f>IFERROR(__xludf.DUMMYFUNCTION("""COMPUTED_VALUE"""),750.0)</f>
        <v>750</v>
      </c>
      <c r="G2347" s="15">
        <f>IFERROR(__xludf.DUMMYFUNCTION("""COMPUTED_VALUE"""),12.0)</f>
        <v>12</v>
      </c>
      <c r="H2347" s="16">
        <f>IFERROR(__xludf.DUMMYFUNCTION("""COMPUTED_VALUE"""),3.0)</f>
        <v>3</v>
      </c>
      <c r="I2347" s="17">
        <f>IFERROR(__xludf.DUMMYFUNCTION("""COMPUTED_VALUE"""),332.0)</f>
        <v>332</v>
      </c>
      <c r="J2347" s="15" t="str">
        <f>IFERROR(__xludf.DUMMYFUNCTION("""COMPUTED_VALUE"""),"UK")</f>
        <v>UK</v>
      </c>
      <c r="L2347" s="18"/>
      <c r="M2347" s="19"/>
      <c r="N2347" s="19"/>
    </row>
    <row r="2348">
      <c r="A2348" s="14" t="str">
        <f>IFERROR(__xludf.DUMMYFUNCTION("""COMPUTED_VALUE"""),"110465320190600750")</f>
        <v>110465320190600750</v>
      </c>
      <c r="B2348" s="15" t="str">
        <f>IFERROR(__xludf.DUMMYFUNCTION("""COMPUTED_VALUE"""),"Italy")</f>
        <v>Italy</v>
      </c>
      <c r="C2348" s="15" t="str">
        <f>IFERROR(__xludf.DUMMYFUNCTION("""COMPUTED_VALUE"""),"tuscany")</f>
        <v>tuscany</v>
      </c>
      <c r="D2348" s="15" t="str">
        <f>IFERROR(__xludf.DUMMYFUNCTION("""COMPUTED_VALUE"""),"Guidalberto, Tenuta San Guido, Toscana")</f>
        <v>Guidalberto, Tenuta San Guido, Toscana</v>
      </c>
      <c r="E2348" s="15">
        <f>IFERROR(__xludf.DUMMYFUNCTION("""COMPUTED_VALUE"""),2019.0)</f>
        <v>2019</v>
      </c>
      <c r="F2348" s="15">
        <f>IFERROR(__xludf.DUMMYFUNCTION("""COMPUTED_VALUE"""),750.0)</f>
        <v>750</v>
      </c>
      <c r="G2348" s="15">
        <f>IFERROR(__xludf.DUMMYFUNCTION("""COMPUTED_VALUE"""),6.0)</f>
        <v>6</v>
      </c>
      <c r="H2348" s="16">
        <f>IFERROR(__xludf.DUMMYFUNCTION("""COMPUTED_VALUE"""),2.0)</f>
        <v>2</v>
      </c>
      <c r="I2348" s="17">
        <f>IFERROR(__xludf.DUMMYFUNCTION("""COMPUTED_VALUE"""),179.0)</f>
        <v>179</v>
      </c>
      <c r="J2348" s="15" t="str">
        <f>IFERROR(__xludf.DUMMYFUNCTION("""COMPUTED_VALUE"""),"UK")</f>
        <v>UK</v>
      </c>
      <c r="L2348" s="18"/>
      <c r="M2348" s="19"/>
      <c r="N2348" s="19"/>
    </row>
    <row r="2349">
      <c r="A2349" s="14" t="str">
        <f>IFERROR(__xludf.DUMMYFUNCTION("""COMPUTED_VALUE"""),"113916120180301500")</f>
        <v>113916120180301500</v>
      </c>
      <c r="B2349" s="15" t="str">
        <f>IFERROR(__xludf.DUMMYFUNCTION("""COMPUTED_VALUE"""),"Italy")</f>
        <v>Italy</v>
      </c>
      <c r="C2349" s="15" t="str">
        <f>IFERROR(__xludf.DUMMYFUNCTION("""COMPUTED_VALUE"""),"tuscany")</f>
        <v>tuscany</v>
      </c>
      <c r="D2349" s="15" t="str">
        <f>IFERROR(__xludf.DUMMYFUNCTION("""COMPUTED_VALUE"""),"Il Caberlot, Toscana")</f>
        <v>Il Caberlot, Toscana</v>
      </c>
      <c r="E2349" s="15">
        <f>IFERROR(__xludf.DUMMYFUNCTION("""COMPUTED_VALUE"""),2018.0)</f>
        <v>2018</v>
      </c>
      <c r="F2349" s="15">
        <f>IFERROR(__xludf.DUMMYFUNCTION("""COMPUTED_VALUE"""),1500.0)</f>
        <v>1500</v>
      </c>
      <c r="G2349" s="15">
        <f>IFERROR(__xludf.DUMMYFUNCTION("""COMPUTED_VALUE"""),3.0)</f>
        <v>3</v>
      </c>
      <c r="H2349" s="16">
        <f>IFERROR(__xludf.DUMMYFUNCTION("""COMPUTED_VALUE"""),1.0)</f>
        <v>1</v>
      </c>
      <c r="I2349" s="17">
        <f>IFERROR(__xludf.DUMMYFUNCTION("""COMPUTED_VALUE"""),546.0)</f>
        <v>546</v>
      </c>
      <c r="J2349" s="15" t="str">
        <f>IFERROR(__xludf.DUMMYFUNCTION("""COMPUTED_VALUE"""),"UK")</f>
        <v>UK</v>
      </c>
      <c r="L2349" s="18"/>
      <c r="M2349" s="19"/>
      <c r="N2349" s="19"/>
    </row>
    <row r="2350">
      <c r="A2350" s="14" t="str">
        <f>IFERROR(__xludf.DUMMYFUNCTION("""COMPUTED_VALUE"""),"110318020160600750")</f>
        <v>110318020160600750</v>
      </c>
      <c r="B2350" s="15" t="str">
        <f>IFERROR(__xludf.DUMMYFUNCTION("""COMPUTED_VALUE"""),"Italy")</f>
        <v>Italy</v>
      </c>
      <c r="C2350" s="15" t="str">
        <f>IFERROR(__xludf.DUMMYFUNCTION("""COMPUTED_VALUE"""),"tuscany")</f>
        <v>tuscany</v>
      </c>
      <c r="D2350" s="15" t="str">
        <f>IFERROR(__xludf.DUMMYFUNCTION("""COMPUTED_VALUE"""),"Il Poggione, Brunello di Montalcino")</f>
        <v>Il Poggione, Brunello di Montalcino</v>
      </c>
      <c r="E2350" s="15">
        <f>IFERROR(__xludf.DUMMYFUNCTION("""COMPUTED_VALUE"""),2016.0)</f>
        <v>2016</v>
      </c>
      <c r="F2350" s="15">
        <f>IFERROR(__xludf.DUMMYFUNCTION("""COMPUTED_VALUE"""),750.0)</f>
        <v>750</v>
      </c>
      <c r="G2350" s="15">
        <f>IFERROR(__xludf.DUMMYFUNCTION("""COMPUTED_VALUE"""),6.0)</f>
        <v>6</v>
      </c>
      <c r="H2350" s="16">
        <f>IFERROR(__xludf.DUMMYFUNCTION("""COMPUTED_VALUE"""),8.0)</f>
        <v>8</v>
      </c>
      <c r="I2350" s="17">
        <f>IFERROR(__xludf.DUMMYFUNCTION("""COMPUTED_VALUE"""),190.0)</f>
        <v>190</v>
      </c>
      <c r="J2350" s="15" t="str">
        <f>IFERROR(__xludf.DUMMYFUNCTION("""COMPUTED_VALUE"""),"UK")</f>
        <v>UK</v>
      </c>
      <c r="L2350" s="18"/>
      <c r="M2350" s="19"/>
      <c r="N2350" s="19"/>
    </row>
    <row r="2351">
      <c r="A2351" s="14" t="str">
        <f>IFERROR(__xludf.DUMMYFUNCTION("""COMPUTED_VALUE"""),"117490620120600750")</f>
        <v>117490620120600750</v>
      </c>
      <c r="B2351" s="15" t="str">
        <f>IFERROR(__xludf.DUMMYFUNCTION("""COMPUTED_VALUE"""),"Italy")</f>
        <v>Italy</v>
      </c>
      <c r="C2351" s="15" t="str">
        <f>IFERROR(__xludf.DUMMYFUNCTION("""COMPUTED_VALUE"""),"tuscany")</f>
        <v>tuscany</v>
      </c>
      <c r="D2351" s="15" t="str">
        <f>IFERROR(__xludf.DUMMYFUNCTION("""COMPUTED_VALUE"""),"Il Poggione, Brunello di Montalcino, Vigna Paganelli Riserva")</f>
        <v>Il Poggione, Brunello di Montalcino, Vigna Paganelli Riserva</v>
      </c>
      <c r="E2351" s="15">
        <f>IFERROR(__xludf.DUMMYFUNCTION("""COMPUTED_VALUE"""),2012.0)</f>
        <v>2012</v>
      </c>
      <c r="F2351" s="15">
        <f>IFERROR(__xludf.DUMMYFUNCTION("""COMPUTED_VALUE"""),750.0)</f>
        <v>750</v>
      </c>
      <c r="G2351" s="15">
        <f>IFERROR(__xludf.DUMMYFUNCTION("""COMPUTED_VALUE"""),6.0)</f>
        <v>6</v>
      </c>
      <c r="H2351" s="16">
        <f>IFERROR(__xludf.DUMMYFUNCTION("""COMPUTED_VALUE"""),1.0)</f>
        <v>1</v>
      </c>
      <c r="I2351" s="17">
        <f>IFERROR(__xludf.DUMMYFUNCTION("""COMPUTED_VALUE"""),397.0)</f>
        <v>397</v>
      </c>
      <c r="J2351" s="15" t="str">
        <f>IFERROR(__xludf.DUMMYFUNCTION("""COMPUTED_VALUE"""),"UK")</f>
        <v>UK</v>
      </c>
      <c r="L2351" s="18"/>
      <c r="M2351" s="19"/>
      <c r="N2351" s="19"/>
    </row>
    <row r="2352">
      <c r="A2352" s="14" t="str">
        <f>IFERROR(__xludf.DUMMYFUNCTION("""COMPUTED_VALUE"""),"185840020170600750")</f>
        <v>185840020170600750</v>
      </c>
      <c r="B2352" s="15" t="str">
        <f>IFERROR(__xludf.DUMMYFUNCTION("""COMPUTED_VALUE"""),"Italy")</f>
        <v>Italy</v>
      </c>
      <c r="C2352" s="15" t="str">
        <f>IFERROR(__xludf.DUMMYFUNCTION("""COMPUTED_VALUE"""),"tuscany")</f>
        <v>tuscany</v>
      </c>
      <c r="D2352" s="15" t="str">
        <f>IFERROR(__xludf.DUMMYFUNCTION("""COMPUTED_VALUE"""),"Jurij Fiore &amp; Figlia, Chianti Classico, Puntodivista Lamole")</f>
        <v>Jurij Fiore &amp; Figlia, Chianti Classico, Puntodivista Lamole</v>
      </c>
      <c r="E2352" s="15">
        <f>IFERROR(__xludf.DUMMYFUNCTION("""COMPUTED_VALUE"""),2017.0)</f>
        <v>2017</v>
      </c>
      <c r="F2352" s="15">
        <f>IFERROR(__xludf.DUMMYFUNCTION("""COMPUTED_VALUE"""),750.0)</f>
        <v>750</v>
      </c>
      <c r="G2352" s="15">
        <f>IFERROR(__xludf.DUMMYFUNCTION("""COMPUTED_VALUE"""),6.0)</f>
        <v>6</v>
      </c>
      <c r="H2352" s="16">
        <f>IFERROR(__xludf.DUMMYFUNCTION("""COMPUTED_VALUE"""),1.0)</f>
        <v>1</v>
      </c>
      <c r="I2352" s="17">
        <f>IFERROR(__xludf.DUMMYFUNCTION("""COMPUTED_VALUE"""),243.0)</f>
        <v>243</v>
      </c>
      <c r="J2352" s="15" t="str">
        <f>IFERROR(__xludf.DUMMYFUNCTION("""COMPUTED_VALUE"""),"UK")</f>
        <v>UK</v>
      </c>
      <c r="L2352" s="18"/>
      <c r="M2352" s="19"/>
      <c r="N2352" s="19"/>
    </row>
    <row r="2353">
      <c r="A2353" s="14" t="str">
        <f>IFERROR(__xludf.DUMMYFUNCTION("""COMPUTED_VALUE"""),"117535220031200750")</f>
        <v>117535220031200750</v>
      </c>
      <c r="B2353" s="15" t="str">
        <f>IFERROR(__xludf.DUMMYFUNCTION("""COMPUTED_VALUE"""),"Italy")</f>
        <v>Italy</v>
      </c>
      <c r="C2353" s="15" t="str">
        <f>IFERROR(__xludf.DUMMYFUNCTION("""COMPUTED_VALUE"""),"tuscany")</f>
        <v>tuscany</v>
      </c>
      <c r="D2353" s="15" t="str">
        <f>IFERROR(__xludf.DUMMYFUNCTION("""COMPUTED_VALUE"""),"La Spinetta, Sassontino, IGT")</f>
        <v>La Spinetta, Sassontino, IGT</v>
      </c>
      <c r="E2353" s="15">
        <f>IFERROR(__xludf.DUMMYFUNCTION("""COMPUTED_VALUE"""),2003.0)</f>
        <v>2003</v>
      </c>
      <c r="F2353" s="15">
        <f>IFERROR(__xludf.DUMMYFUNCTION("""COMPUTED_VALUE"""),750.0)</f>
        <v>750</v>
      </c>
      <c r="G2353" s="15">
        <f>IFERROR(__xludf.DUMMYFUNCTION("""COMPUTED_VALUE"""),12.0)</f>
        <v>12</v>
      </c>
      <c r="H2353" s="16">
        <f>IFERROR(__xludf.DUMMYFUNCTION("""COMPUTED_VALUE"""),7.0)</f>
        <v>7</v>
      </c>
      <c r="I2353" s="17">
        <f>IFERROR(__xludf.DUMMYFUNCTION("""COMPUTED_VALUE"""),2390.0)</f>
        <v>2390</v>
      </c>
      <c r="J2353" s="15" t="str">
        <f>IFERROR(__xludf.DUMMYFUNCTION("""COMPUTED_VALUE"""),"UK")</f>
        <v>UK</v>
      </c>
      <c r="L2353" s="18"/>
      <c r="M2353" s="19"/>
      <c r="N2353" s="19"/>
    </row>
    <row r="2354">
      <c r="A2354" s="14" t="str">
        <f>IFERROR(__xludf.DUMMYFUNCTION("""COMPUTED_VALUE"""),"110085720190600750")</f>
        <v>110085720190600750</v>
      </c>
      <c r="B2354" s="15" t="str">
        <f>IFERROR(__xludf.DUMMYFUNCTION("""COMPUTED_VALUE"""),"Italy")</f>
        <v>Italy</v>
      </c>
      <c r="C2354" s="15" t="str">
        <f>IFERROR(__xludf.DUMMYFUNCTION("""COMPUTED_VALUE"""),"tuscany")</f>
        <v>tuscany</v>
      </c>
      <c r="D2354" s="15" t="str">
        <f>IFERROR(__xludf.DUMMYFUNCTION("""COMPUTED_VALUE"""),"Le Macchiole, Bolgheri, Paleo Rosso")</f>
        <v>Le Macchiole, Bolgheri, Paleo Rosso</v>
      </c>
      <c r="E2354" s="15">
        <f>IFERROR(__xludf.DUMMYFUNCTION("""COMPUTED_VALUE"""),2019.0)</f>
        <v>2019</v>
      </c>
      <c r="F2354" s="15">
        <f>IFERROR(__xludf.DUMMYFUNCTION("""COMPUTED_VALUE"""),750.0)</f>
        <v>750</v>
      </c>
      <c r="G2354" s="15">
        <f>IFERROR(__xludf.DUMMYFUNCTION("""COMPUTED_VALUE"""),6.0)</f>
        <v>6</v>
      </c>
      <c r="H2354" s="16">
        <f>IFERROR(__xludf.DUMMYFUNCTION("""COMPUTED_VALUE"""),1.0)</f>
        <v>1</v>
      </c>
      <c r="I2354" s="17">
        <f>IFERROR(__xludf.DUMMYFUNCTION("""COMPUTED_VALUE"""),502.0)</f>
        <v>502</v>
      </c>
      <c r="J2354" s="15" t="str">
        <f>IFERROR(__xludf.DUMMYFUNCTION("""COMPUTED_VALUE"""),"UK")</f>
        <v>UK</v>
      </c>
      <c r="L2354" s="18"/>
      <c r="M2354" s="19"/>
      <c r="N2354" s="19"/>
    </row>
    <row r="2355">
      <c r="A2355" s="14" t="str">
        <f>IFERROR(__xludf.DUMMYFUNCTION("""COMPUTED_VALUE"""),"110084420040600750")</f>
        <v>110084420040600750</v>
      </c>
      <c r="B2355" s="15" t="str">
        <f>IFERROR(__xludf.DUMMYFUNCTION("""COMPUTED_VALUE"""),"Italy")</f>
        <v>Italy</v>
      </c>
      <c r="C2355" s="15" t="str">
        <f>IFERROR(__xludf.DUMMYFUNCTION("""COMPUTED_VALUE"""),"tuscany")</f>
        <v>tuscany</v>
      </c>
      <c r="D2355" s="15" t="str">
        <f>IFERROR(__xludf.DUMMYFUNCTION("""COMPUTED_VALUE"""),"Le Macchiole, Messorio, Toscana")</f>
        <v>Le Macchiole, Messorio, Toscana</v>
      </c>
      <c r="E2355" s="15">
        <f>IFERROR(__xludf.DUMMYFUNCTION("""COMPUTED_VALUE"""),2004.0)</f>
        <v>2004</v>
      </c>
      <c r="F2355" s="15">
        <f>IFERROR(__xludf.DUMMYFUNCTION("""COMPUTED_VALUE"""),750.0)</f>
        <v>750</v>
      </c>
      <c r="G2355" s="15">
        <f>IFERROR(__xludf.DUMMYFUNCTION("""COMPUTED_VALUE"""),6.0)</f>
        <v>6</v>
      </c>
      <c r="H2355" s="16">
        <f>IFERROR(__xludf.DUMMYFUNCTION("""COMPUTED_VALUE"""),1.0)</f>
        <v>1</v>
      </c>
      <c r="I2355" s="17">
        <f>IFERROR(__xludf.DUMMYFUNCTION("""COMPUTED_VALUE"""),1436.0)</f>
        <v>1436</v>
      </c>
      <c r="J2355" s="15" t="str">
        <f>IFERROR(__xludf.DUMMYFUNCTION("""COMPUTED_VALUE"""),"UK")</f>
        <v>UK</v>
      </c>
      <c r="L2355" s="18"/>
      <c r="M2355" s="19"/>
      <c r="N2355" s="19"/>
    </row>
    <row r="2356">
      <c r="A2356" s="14" t="str">
        <f>IFERROR(__xludf.DUMMYFUNCTION("""COMPUTED_VALUE"""),"110084420140600750")</f>
        <v>110084420140600750</v>
      </c>
      <c r="B2356" s="15" t="str">
        <f>IFERROR(__xludf.DUMMYFUNCTION("""COMPUTED_VALUE"""),"Italy")</f>
        <v>Italy</v>
      </c>
      <c r="C2356" s="15" t="str">
        <f>IFERROR(__xludf.DUMMYFUNCTION("""COMPUTED_VALUE"""),"tuscany")</f>
        <v>tuscany</v>
      </c>
      <c r="D2356" s="15" t="str">
        <f>IFERROR(__xludf.DUMMYFUNCTION("""COMPUTED_VALUE"""),"Le Macchiole, Messorio, Toscana")</f>
        <v>Le Macchiole, Messorio, Toscana</v>
      </c>
      <c r="E2356" s="15">
        <f>IFERROR(__xludf.DUMMYFUNCTION("""COMPUTED_VALUE"""),2014.0)</f>
        <v>2014</v>
      </c>
      <c r="F2356" s="15">
        <f>IFERROR(__xludf.DUMMYFUNCTION("""COMPUTED_VALUE"""),750.0)</f>
        <v>750</v>
      </c>
      <c r="G2356" s="15">
        <f>IFERROR(__xludf.DUMMYFUNCTION("""COMPUTED_VALUE"""),6.0)</f>
        <v>6</v>
      </c>
      <c r="H2356" s="16">
        <f>IFERROR(__xludf.DUMMYFUNCTION("""COMPUTED_VALUE"""),4.0)</f>
        <v>4</v>
      </c>
      <c r="I2356" s="17">
        <f>IFERROR(__xludf.DUMMYFUNCTION("""COMPUTED_VALUE"""),828.0)</f>
        <v>828</v>
      </c>
      <c r="J2356" s="15" t="str">
        <f>IFERROR(__xludf.DUMMYFUNCTION("""COMPUTED_VALUE"""),"UK")</f>
        <v>UK</v>
      </c>
      <c r="L2356" s="18"/>
      <c r="M2356" s="19"/>
      <c r="N2356" s="19"/>
    </row>
    <row r="2357">
      <c r="A2357" s="14" t="str">
        <f>IFERROR(__xludf.DUMMYFUNCTION("""COMPUTED_VALUE"""),"110084420170600750")</f>
        <v>110084420170600750</v>
      </c>
      <c r="B2357" s="15" t="str">
        <f>IFERROR(__xludf.DUMMYFUNCTION("""COMPUTED_VALUE"""),"Italy")</f>
        <v>Italy</v>
      </c>
      <c r="C2357" s="15" t="str">
        <f>IFERROR(__xludf.DUMMYFUNCTION("""COMPUTED_VALUE"""),"tuscany")</f>
        <v>tuscany</v>
      </c>
      <c r="D2357" s="15" t="str">
        <f>IFERROR(__xludf.DUMMYFUNCTION("""COMPUTED_VALUE"""),"Le Macchiole, Messorio, Toscana")</f>
        <v>Le Macchiole, Messorio, Toscana</v>
      </c>
      <c r="E2357" s="15">
        <f>IFERROR(__xludf.DUMMYFUNCTION("""COMPUTED_VALUE"""),2017.0)</f>
        <v>2017</v>
      </c>
      <c r="F2357" s="15">
        <f>IFERROR(__xludf.DUMMYFUNCTION("""COMPUTED_VALUE"""),750.0)</f>
        <v>750</v>
      </c>
      <c r="G2357" s="15">
        <f>IFERROR(__xludf.DUMMYFUNCTION("""COMPUTED_VALUE"""),6.0)</f>
        <v>6</v>
      </c>
      <c r="H2357" s="16">
        <f>IFERROR(__xludf.DUMMYFUNCTION("""COMPUTED_VALUE"""),3.0)</f>
        <v>3</v>
      </c>
      <c r="I2357" s="17">
        <f>IFERROR(__xludf.DUMMYFUNCTION("""COMPUTED_VALUE"""),784.0)</f>
        <v>784</v>
      </c>
      <c r="J2357" s="15" t="str">
        <f>IFERROR(__xludf.DUMMYFUNCTION("""COMPUTED_VALUE"""),"UK")</f>
        <v>UK</v>
      </c>
      <c r="L2357" s="18"/>
      <c r="M2357" s="19"/>
      <c r="N2357" s="19"/>
    </row>
    <row r="2358">
      <c r="A2358" s="14" t="str">
        <f>IFERROR(__xludf.DUMMYFUNCTION("""COMPUTED_VALUE"""),"110084420170300750")</f>
        <v>110084420170300750</v>
      </c>
      <c r="B2358" s="15" t="str">
        <f>IFERROR(__xludf.DUMMYFUNCTION("""COMPUTED_VALUE"""),"Italy")</f>
        <v>Italy</v>
      </c>
      <c r="C2358" s="15" t="str">
        <f>IFERROR(__xludf.DUMMYFUNCTION("""COMPUTED_VALUE"""),"tuscany")</f>
        <v>tuscany</v>
      </c>
      <c r="D2358" s="15" t="str">
        <f>IFERROR(__xludf.DUMMYFUNCTION("""COMPUTED_VALUE"""),"Le Macchiole, Messorio, Toscana")</f>
        <v>Le Macchiole, Messorio, Toscana</v>
      </c>
      <c r="E2358" s="15">
        <f>IFERROR(__xludf.DUMMYFUNCTION("""COMPUTED_VALUE"""),2017.0)</f>
        <v>2017</v>
      </c>
      <c r="F2358" s="15">
        <f>IFERROR(__xludf.DUMMYFUNCTION("""COMPUTED_VALUE"""),750.0)</f>
        <v>750</v>
      </c>
      <c r="G2358" s="15">
        <f>IFERROR(__xludf.DUMMYFUNCTION("""COMPUTED_VALUE"""),3.0)</f>
        <v>3</v>
      </c>
      <c r="H2358" s="16">
        <f>IFERROR(__xludf.DUMMYFUNCTION("""COMPUTED_VALUE"""),5.0)</f>
        <v>5</v>
      </c>
      <c r="I2358" s="17">
        <f>IFERROR(__xludf.DUMMYFUNCTION("""COMPUTED_VALUE"""),392.0)</f>
        <v>392</v>
      </c>
      <c r="J2358" s="15" t="str">
        <f>IFERROR(__xludf.DUMMYFUNCTION("""COMPUTED_VALUE"""),"UK")</f>
        <v>UK</v>
      </c>
      <c r="L2358" s="18"/>
      <c r="M2358" s="19"/>
      <c r="N2358" s="19"/>
    </row>
    <row r="2359">
      <c r="A2359" s="14" t="str">
        <f>IFERROR(__xludf.DUMMYFUNCTION("""COMPUTED_VALUE"""),"110086020030300750")</f>
        <v>110086020030300750</v>
      </c>
      <c r="B2359" s="15" t="str">
        <f>IFERROR(__xludf.DUMMYFUNCTION("""COMPUTED_VALUE"""),"Italy")</f>
        <v>Italy</v>
      </c>
      <c r="C2359" s="15" t="str">
        <f>IFERROR(__xludf.DUMMYFUNCTION("""COMPUTED_VALUE"""),"tuscany")</f>
        <v>tuscany</v>
      </c>
      <c r="D2359" s="15" t="str">
        <f>IFERROR(__xludf.DUMMYFUNCTION("""COMPUTED_VALUE"""),"Le Macchiole, Scrio, Toscana")</f>
        <v>Le Macchiole, Scrio, Toscana</v>
      </c>
      <c r="E2359" s="15">
        <f>IFERROR(__xludf.DUMMYFUNCTION("""COMPUTED_VALUE"""),2003.0)</f>
        <v>2003</v>
      </c>
      <c r="F2359" s="15">
        <f>IFERROR(__xludf.DUMMYFUNCTION("""COMPUTED_VALUE"""),750.0)</f>
        <v>750</v>
      </c>
      <c r="G2359" s="15">
        <f>IFERROR(__xludf.DUMMYFUNCTION("""COMPUTED_VALUE"""),3.0)</f>
        <v>3</v>
      </c>
      <c r="H2359" s="16">
        <f>IFERROR(__xludf.DUMMYFUNCTION("""COMPUTED_VALUE"""),1.0)</f>
        <v>1</v>
      </c>
      <c r="I2359" s="17">
        <f>IFERROR(__xludf.DUMMYFUNCTION("""COMPUTED_VALUE"""),620.0)</f>
        <v>620</v>
      </c>
      <c r="J2359" s="15" t="str">
        <f>IFERROR(__xludf.DUMMYFUNCTION("""COMPUTED_VALUE"""),"UK")</f>
        <v>UK</v>
      </c>
      <c r="L2359" s="18"/>
      <c r="M2359" s="19"/>
      <c r="N2359" s="19"/>
    </row>
    <row r="2360">
      <c r="A2360" s="14" t="str">
        <f>IFERROR(__xludf.DUMMYFUNCTION("""COMPUTED_VALUE"""),"110086020160600750")</f>
        <v>110086020160600750</v>
      </c>
      <c r="B2360" s="15" t="str">
        <f>IFERROR(__xludf.DUMMYFUNCTION("""COMPUTED_VALUE"""),"Italy")</f>
        <v>Italy</v>
      </c>
      <c r="C2360" s="15" t="str">
        <f>IFERROR(__xludf.DUMMYFUNCTION("""COMPUTED_VALUE"""),"tuscany")</f>
        <v>tuscany</v>
      </c>
      <c r="D2360" s="15" t="str">
        <f>IFERROR(__xludf.DUMMYFUNCTION("""COMPUTED_VALUE"""),"Le Macchiole, Scrio, Toscana")</f>
        <v>Le Macchiole, Scrio, Toscana</v>
      </c>
      <c r="E2360" s="15">
        <f>IFERROR(__xludf.DUMMYFUNCTION("""COMPUTED_VALUE"""),2016.0)</f>
        <v>2016</v>
      </c>
      <c r="F2360" s="15">
        <f>IFERROR(__xludf.DUMMYFUNCTION("""COMPUTED_VALUE"""),750.0)</f>
        <v>750</v>
      </c>
      <c r="G2360" s="15">
        <f>IFERROR(__xludf.DUMMYFUNCTION("""COMPUTED_VALUE"""),6.0)</f>
        <v>6</v>
      </c>
      <c r="H2360" s="16">
        <f>IFERROR(__xludf.DUMMYFUNCTION("""COMPUTED_VALUE"""),2.0)</f>
        <v>2</v>
      </c>
      <c r="I2360" s="17">
        <f>IFERROR(__xludf.DUMMYFUNCTION("""COMPUTED_VALUE"""),789.0)</f>
        <v>789</v>
      </c>
      <c r="J2360" s="15" t="str">
        <f>IFERROR(__xludf.DUMMYFUNCTION("""COMPUTED_VALUE"""),"UK")</f>
        <v>UK</v>
      </c>
      <c r="L2360" s="18"/>
      <c r="M2360" s="19"/>
      <c r="N2360" s="19"/>
    </row>
    <row r="2361">
      <c r="A2361" s="14" t="str">
        <f>IFERROR(__xludf.DUMMYFUNCTION("""COMPUTED_VALUE"""),"110086020170600750")</f>
        <v>110086020170600750</v>
      </c>
      <c r="B2361" s="15" t="str">
        <f>IFERROR(__xludf.DUMMYFUNCTION("""COMPUTED_VALUE"""),"Italy")</f>
        <v>Italy</v>
      </c>
      <c r="C2361" s="15" t="str">
        <f>IFERROR(__xludf.DUMMYFUNCTION("""COMPUTED_VALUE"""),"tuscany")</f>
        <v>tuscany</v>
      </c>
      <c r="D2361" s="15" t="str">
        <f>IFERROR(__xludf.DUMMYFUNCTION("""COMPUTED_VALUE"""),"Le Macchiole, Scrio, Toscana")</f>
        <v>Le Macchiole, Scrio, Toscana</v>
      </c>
      <c r="E2361" s="15">
        <f>IFERROR(__xludf.DUMMYFUNCTION("""COMPUTED_VALUE"""),2017.0)</f>
        <v>2017</v>
      </c>
      <c r="F2361" s="15">
        <f>IFERROR(__xludf.DUMMYFUNCTION("""COMPUTED_VALUE"""),750.0)</f>
        <v>750</v>
      </c>
      <c r="G2361" s="15">
        <f>IFERROR(__xludf.DUMMYFUNCTION("""COMPUTED_VALUE"""),6.0)</f>
        <v>6</v>
      </c>
      <c r="H2361" s="16">
        <f>IFERROR(__xludf.DUMMYFUNCTION("""COMPUTED_VALUE"""),2.0)</f>
        <v>2</v>
      </c>
      <c r="I2361" s="17">
        <f>IFERROR(__xludf.DUMMYFUNCTION("""COMPUTED_VALUE"""),646.0)</f>
        <v>646</v>
      </c>
      <c r="J2361" s="15" t="str">
        <f>IFERROR(__xludf.DUMMYFUNCTION("""COMPUTED_VALUE"""),"UK")</f>
        <v>UK</v>
      </c>
      <c r="L2361" s="18"/>
      <c r="M2361" s="19"/>
      <c r="N2361" s="19"/>
    </row>
    <row r="2362">
      <c r="A2362" s="14" t="str">
        <f>IFERROR(__xludf.DUMMYFUNCTION("""COMPUTED_VALUE"""),"127998820130600750")</f>
        <v>127998820130600750</v>
      </c>
      <c r="B2362" s="15" t="str">
        <f>IFERROR(__xludf.DUMMYFUNCTION("""COMPUTED_VALUE"""),"Italy")</f>
        <v>Italy</v>
      </c>
      <c r="C2362" s="15" t="str">
        <f>IFERROR(__xludf.DUMMYFUNCTION("""COMPUTED_VALUE"""),"tuscany")</f>
        <v>tuscany</v>
      </c>
      <c r="D2362" s="15" t="str">
        <f>IFERROR(__xludf.DUMMYFUNCTION("""COMPUTED_VALUE"""),"Le Ragnaie, Brunello di Montalcino, Fornace")</f>
        <v>Le Ragnaie, Brunello di Montalcino, Fornace</v>
      </c>
      <c r="E2362" s="15">
        <f>IFERROR(__xludf.DUMMYFUNCTION("""COMPUTED_VALUE"""),2013.0)</f>
        <v>2013</v>
      </c>
      <c r="F2362" s="15">
        <f>IFERROR(__xludf.DUMMYFUNCTION("""COMPUTED_VALUE"""),750.0)</f>
        <v>750</v>
      </c>
      <c r="G2362" s="15">
        <f>IFERROR(__xludf.DUMMYFUNCTION("""COMPUTED_VALUE"""),6.0)</f>
        <v>6</v>
      </c>
      <c r="H2362" s="16">
        <f>IFERROR(__xludf.DUMMYFUNCTION("""COMPUTED_VALUE"""),4.0)</f>
        <v>4</v>
      </c>
      <c r="I2362" s="17">
        <f>IFERROR(__xludf.DUMMYFUNCTION("""COMPUTED_VALUE"""),610.0)</f>
        <v>610</v>
      </c>
      <c r="J2362" s="15" t="str">
        <f>IFERROR(__xludf.DUMMYFUNCTION("""COMPUTED_VALUE"""),"UK")</f>
        <v>UK</v>
      </c>
      <c r="L2362" s="18"/>
      <c r="M2362" s="19"/>
      <c r="N2362" s="19"/>
    </row>
    <row r="2363">
      <c r="A2363" s="14" t="str">
        <f>IFERROR(__xludf.DUMMYFUNCTION("""COMPUTED_VALUE"""),"110118620160600750")</f>
        <v>110118620160600750</v>
      </c>
      <c r="B2363" s="15" t="str">
        <f>IFERROR(__xludf.DUMMYFUNCTION("""COMPUTED_VALUE"""),"Italy")</f>
        <v>Italy</v>
      </c>
      <c r="C2363" s="15" t="str">
        <f>IFERROR(__xludf.DUMMYFUNCTION("""COMPUTED_VALUE"""),"tuscany")</f>
        <v>tuscany</v>
      </c>
      <c r="D2363" s="15" t="str">
        <f>IFERROR(__xludf.DUMMYFUNCTION("""COMPUTED_VALUE"""),"Marroneto, Brunello di Montalcino")</f>
        <v>Marroneto, Brunello di Montalcino</v>
      </c>
      <c r="E2363" s="15">
        <f>IFERROR(__xludf.DUMMYFUNCTION("""COMPUTED_VALUE"""),2016.0)</f>
        <v>2016</v>
      </c>
      <c r="F2363" s="15">
        <f>IFERROR(__xludf.DUMMYFUNCTION("""COMPUTED_VALUE"""),750.0)</f>
        <v>750</v>
      </c>
      <c r="G2363" s="15">
        <f>IFERROR(__xludf.DUMMYFUNCTION("""COMPUTED_VALUE"""),6.0)</f>
        <v>6</v>
      </c>
      <c r="H2363" s="16">
        <f>IFERROR(__xludf.DUMMYFUNCTION("""COMPUTED_VALUE"""),1.0)</f>
        <v>1</v>
      </c>
      <c r="I2363" s="17">
        <f>IFERROR(__xludf.DUMMYFUNCTION("""COMPUTED_VALUE"""),437.0)</f>
        <v>437</v>
      </c>
      <c r="J2363" s="15" t="str">
        <f>IFERROR(__xludf.DUMMYFUNCTION("""COMPUTED_VALUE"""),"UK")</f>
        <v>UK</v>
      </c>
      <c r="L2363" s="18"/>
      <c r="M2363" s="19"/>
      <c r="N2363" s="19"/>
    </row>
    <row r="2364">
      <c r="A2364" s="14" t="str">
        <f>IFERROR(__xludf.DUMMYFUNCTION("""COMPUTED_VALUE"""),"110118620170600750")</f>
        <v>110118620170600750</v>
      </c>
      <c r="B2364" s="15" t="str">
        <f>IFERROR(__xludf.DUMMYFUNCTION("""COMPUTED_VALUE"""),"Italy")</f>
        <v>Italy</v>
      </c>
      <c r="C2364" s="15" t="str">
        <f>IFERROR(__xludf.DUMMYFUNCTION("""COMPUTED_VALUE"""),"tuscany")</f>
        <v>tuscany</v>
      </c>
      <c r="D2364" s="15" t="str">
        <f>IFERROR(__xludf.DUMMYFUNCTION("""COMPUTED_VALUE"""),"Marroneto, Brunello di Montalcino")</f>
        <v>Marroneto, Brunello di Montalcino</v>
      </c>
      <c r="E2364" s="15">
        <f>IFERROR(__xludf.DUMMYFUNCTION("""COMPUTED_VALUE"""),2017.0)</f>
        <v>2017</v>
      </c>
      <c r="F2364" s="15">
        <f>IFERROR(__xludf.DUMMYFUNCTION("""COMPUTED_VALUE"""),750.0)</f>
        <v>750</v>
      </c>
      <c r="G2364" s="15">
        <f>IFERROR(__xludf.DUMMYFUNCTION("""COMPUTED_VALUE"""),6.0)</f>
        <v>6</v>
      </c>
      <c r="H2364" s="16">
        <f>IFERROR(__xludf.DUMMYFUNCTION("""COMPUTED_VALUE"""),1.0)</f>
        <v>1</v>
      </c>
      <c r="I2364" s="17">
        <f>IFERROR(__xludf.DUMMYFUNCTION("""COMPUTED_VALUE"""),347.0)</f>
        <v>347</v>
      </c>
      <c r="J2364" s="15" t="str">
        <f>IFERROR(__xludf.DUMMYFUNCTION("""COMPUTED_VALUE"""),"UK")</f>
        <v>UK</v>
      </c>
      <c r="L2364" s="18"/>
      <c r="M2364" s="19"/>
      <c r="N2364" s="19"/>
    </row>
    <row r="2365">
      <c r="A2365" s="14" t="str">
        <f>IFERROR(__xludf.DUMMYFUNCTION("""COMPUTED_VALUE"""),"110119920150600750")</f>
        <v>110119920150600750</v>
      </c>
      <c r="B2365" s="15" t="str">
        <f>IFERROR(__xludf.DUMMYFUNCTION("""COMPUTED_VALUE"""),"Italy")</f>
        <v>Italy</v>
      </c>
      <c r="C2365" s="15" t="str">
        <f>IFERROR(__xludf.DUMMYFUNCTION("""COMPUTED_VALUE"""),"tuscany")</f>
        <v>tuscany</v>
      </c>
      <c r="D2365" s="15" t="str">
        <f>IFERROR(__xludf.DUMMYFUNCTION("""COMPUTED_VALUE"""),"Marroneto, Brunello di Montalcino, Madonna Grazie")</f>
        <v>Marroneto, Brunello di Montalcino, Madonna Grazie</v>
      </c>
      <c r="E2365" s="15">
        <f>IFERROR(__xludf.DUMMYFUNCTION("""COMPUTED_VALUE"""),2015.0)</f>
        <v>2015</v>
      </c>
      <c r="F2365" s="15">
        <f>IFERROR(__xludf.DUMMYFUNCTION("""COMPUTED_VALUE"""),750.0)</f>
        <v>750</v>
      </c>
      <c r="G2365" s="15">
        <f>IFERROR(__xludf.DUMMYFUNCTION("""COMPUTED_VALUE"""),6.0)</f>
        <v>6</v>
      </c>
      <c r="H2365" s="16">
        <f>IFERROR(__xludf.DUMMYFUNCTION("""COMPUTED_VALUE"""),1.0)</f>
        <v>1</v>
      </c>
      <c r="I2365" s="17">
        <f>IFERROR(__xludf.DUMMYFUNCTION("""COMPUTED_VALUE"""),1424.0)</f>
        <v>1424</v>
      </c>
      <c r="J2365" s="15" t="str">
        <f>IFERROR(__xludf.DUMMYFUNCTION("""COMPUTED_VALUE"""),"UK")</f>
        <v>UK</v>
      </c>
      <c r="L2365" s="18"/>
      <c r="M2365" s="19"/>
      <c r="N2365" s="19"/>
    </row>
    <row r="2366">
      <c r="A2366" s="14" t="str">
        <f>IFERROR(__xludf.DUMMYFUNCTION("""COMPUTED_VALUE"""),"110119920170600750")</f>
        <v>110119920170600750</v>
      </c>
      <c r="B2366" s="15" t="str">
        <f>IFERROR(__xludf.DUMMYFUNCTION("""COMPUTED_VALUE"""),"Italy")</f>
        <v>Italy</v>
      </c>
      <c r="C2366" s="15" t="str">
        <f>IFERROR(__xludf.DUMMYFUNCTION("""COMPUTED_VALUE"""),"tuscany")</f>
        <v>tuscany</v>
      </c>
      <c r="D2366" s="15" t="str">
        <f>IFERROR(__xludf.DUMMYFUNCTION("""COMPUTED_VALUE"""),"Marroneto, Brunello di Montalcino, Madonna Grazie")</f>
        <v>Marroneto, Brunello di Montalcino, Madonna Grazie</v>
      </c>
      <c r="E2366" s="15">
        <f>IFERROR(__xludf.DUMMYFUNCTION("""COMPUTED_VALUE"""),2017.0)</f>
        <v>2017</v>
      </c>
      <c r="F2366" s="15">
        <f>IFERROR(__xludf.DUMMYFUNCTION("""COMPUTED_VALUE"""),750.0)</f>
        <v>750</v>
      </c>
      <c r="G2366" s="15">
        <f>IFERROR(__xludf.DUMMYFUNCTION("""COMPUTED_VALUE"""),6.0)</f>
        <v>6</v>
      </c>
      <c r="H2366" s="16">
        <f>IFERROR(__xludf.DUMMYFUNCTION("""COMPUTED_VALUE"""),1.0)</f>
        <v>1</v>
      </c>
      <c r="I2366" s="17">
        <f>IFERROR(__xludf.DUMMYFUNCTION("""COMPUTED_VALUE"""),1183.0)</f>
        <v>1183</v>
      </c>
      <c r="J2366" s="15" t="str">
        <f>IFERROR(__xludf.DUMMYFUNCTION("""COMPUTED_VALUE"""),"UK")</f>
        <v>UK</v>
      </c>
      <c r="L2366" s="18"/>
      <c r="M2366" s="19"/>
      <c r="N2366" s="19"/>
    </row>
    <row r="2367">
      <c r="A2367" s="14" t="str">
        <f>IFERROR(__xludf.DUMMYFUNCTION("""COMPUTED_VALUE"""),"116074320030300750")</f>
        <v>116074320030300750</v>
      </c>
      <c r="B2367" s="15" t="str">
        <f>IFERROR(__xludf.DUMMYFUNCTION("""COMPUTED_VALUE"""),"Italy")</f>
        <v>Italy</v>
      </c>
      <c r="C2367" s="15" t="str">
        <f>IFERROR(__xludf.DUMMYFUNCTION("""COMPUTED_VALUE"""),"tuscany")</f>
        <v>tuscany</v>
      </c>
      <c r="D2367" s="15" t="str">
        <f>IFERROR(__xludf.DUMMYFUNCTION("""COMPUTED_VALUE"""),"Masseto, Toscana")</f>
        <v>Masseto, Toscana</v>
      </c>
      <c r="E2367" s="15">
        <f>IFERROR(__xludf.DUMMYFUNCTION("""COMPUTED_VALUE"""),2003.0)</f>
        <v>2003</v>
      </c>
      <c r="F2367" s="15">
        <f>IFERROR(__xludf.DUMMYFUNCTION("""COMPUTED_VALUE"""),750.0)</f>
        <v>750</v>
      </c>
      <c r="G2367" s="15">
        <f>IFERROR(__xludf.DUMMYFUNCTION("""COMPUTED_VALUE"""),3.0)</f>
        <v>3</v>
      </c>
      <c r="H2367" s="16">
        <f>IFERROR(__xludf.DUMMYFUNCTION("""COMPUTED_VALUE"""),1.0)</f>
        <v>1</v>
      </c>
      <c r="I2367" s="17">
        <f>IFERROR(__xludf.DUMMYFUNCTION("""COMPUTED_VALUE"""),2368.0)</f>
        <v>2368</v>
      </c>
      <c r="J2367" s="15" t="str">
        <f>IFERROR(__xludf.DUMMYFUNCTION("""COMPUTED_VALUE"""),"UK")</f>
        <v>UK</v>
      </c>
      <c r="L2367" s="18"/>
      <c r="M2367" s="19"/>
      <c r="N2367" s="19"/>
    </row>
    <row r="2368">
      <c r="A2368" s="14" t="str">
        <f>IFERROR(__xludf.DUMMYFUNCTION("""COMPUTED_VALUE"""),"116074320090300750")</f>
        <v>116074320090300750</v>
      </c>
      <c r="B2368" s="15" t="str">
        <f>IFERROR(__xludf.DUMMYFUNCTION("""COMPUTED_VALUE"""),"Italy")</f>
        <v>Italy</v>
      </c>
      <c r="C2368" s="15" t="str">
        <f>IFERROR(__xludf.DUMMYFUNCTION("""COMPUTED_VALUE"""),"tuscany")</f>
        <v>tuscany</v>
      </c>
      <c r="D2368" s="15" t="str">
        <f>IFERROR(__xludf.DUMMYFUNCTION("""COMPUTED_VALUE"""),"Masseto, Toscana")</f>
        <v>Masseto, Toscana</v>
      </c>
      <c r="E2368" s="15">
        <f>IFERROR(__xludf.DUMMYFUNCTION("""COMPUTED_VALUE"""),2009.0)</f>
        <v>2009</v>
      </c>
      <c r="F2368" s="15">
        <f>IFERROR(__xludf.DUMMYFUNCTION("""COMPUTED_VALUE"""),750.0)</f>
        <v>750</v>
      </c>
      <c r="G2368" s="15">
        <f>IFERROR(__xludf.DUMMYFUNCTION("""COMPUTED_VALUE"""),3.0)</f>
        <v>3</v>
      </c>
      <c r="H2368" s="16">
        <f>IFERROR(__xludf.DUMMYFUNCTION("""COMPUTED_VALUE"""),2.0)</f>
        <v>2</v>
      </c>
      <c r="I2368" s="17">
        <f>IFERROR(__xludf.DUMMYFUNCTION("""COMPUTED_VALUE"""),1989.0)</f>
        <v>1989</v>
      </c>
      <c r="J2368" s="15" t="str">
        <f>IFERROR(__xludf.DUMMYFUNCTION("""COMPUTED_VALUE"""),"UK")</f>
        <v>UK</v>
      </c>
      <c r="L2368" s="18"/>
      <c r="M2368" s="19"/>
      <c r="N2368" s="19"/>
    </row>
    <row r="2369">
      <c r="A2369" s="14" t="str">
        <f>IFERROR(__xludf.DUMMYFUNCTION("""COMPUTED_VALUE"""),"116074320120300750")</f>
        <v>116074320120300750</v>
      </c>
      <c r="B2369" s="15" t="str">
        <f>IFERROR(__xludf.DUMMYFUNCTION("""COMPUTED_VALUE"""),"Italy")</f>
        <v>Italy</v>
      </c>
      <c r="C2369" s="15" t="str">
        <f>IFERROR(__xludf.DUMMYFUNCTION("""COMPUTED_VALUE"""),"tuscany")</f>
        <v>tuscany</v>
      </c>
      <c r="D2369" s="15" t="str">
        <f>IFERROR(__xludf.DUMMYFUNCTION("""COMPUTED_VALUE"""),"Masseto, Toscana")</f>
        <v>Masseto, Toscana</v>
      </c>
      <c r="E2369" s="15">
        <f>IFERROR(__xludf.DUMMYFUNCTION("""COMPUTED_VALUE"""),2012.0)</f>
        <v>2012</v>
      </c>
      <c r="F2369" s="15">
        <f>IFERROR(__xludf.DUMMYFUNCTION("""COMPUTED_VALUE"""),750.0)</f>
        <v>750</v>
      </c>
      <c r="G2369" s="15">
        <f>IFERROR(__xludf.DUMMYFUNCTION("""COMPUTED_VALUE"""),3.0)</f>
        <v>3</v>
      </c>
      <c r="H2369" s="16">
        <f>IFERROR(__xludf.DUMMYFUNCTION("""COMPUTED_VALUE"""),1.0)</f>
        <v>1</v>
      </c>
      <c r="I2369" s="17">
        <f>IFERROR(__xludf.DUMMYFUNCTION("""COMPUTED_VALUE"""),1917.0)</f>
        <v>1917</v>
      </c>
      <c r="J2369" s="15" t="str">
        <f>IFERROR(__xludf.DUMMYFUNCTION("""COMPUTED_VALUE"""),"UK")</f>
        <v>UK</v>
      </c>
      <c r="L2369" s="18"/>
      <c r="M2369" s="19"/>
      <c r="N2369" s="19"/>
    </row>
    <row r="2370">
      <c r="A2370" s="14" t="str">
        <f>IFERROR(__xludf.DUMMYFUNCTION("""COMPUTED_VALUE"""),"116074320130300750")</f>
        <v>116074320130300750</v>
      </c>
      <c r="B2370" s="15" t="str">
        <f>IFERROR(__xludf.DUMMYFUNCTION("""COMPUTED_VALUE"""),"Italy")</f>
        <v>Italy</v>
      </c>
      <c r="C2370" s="15" t="str">
        <f>IFERROR(__xludf.DUMMYFUNCTION("""COMPUTED_VALUE"""),"tuscany")</f>
        <v>tuscany</v>
      </c>
      <c r="D2370" s="15" t="str">
        <f>IFERROR(__xludf.DUMMYFUNCTION("""COMPUTED_VALUE"""),"Masseto, Toscana")</f>
        <v>Masseto, Toscana</v>
      </c>
      <c r="E2370" s="15">
        <f>IFERROR(__xludf.DUMMYFUNCTION("""COMPUTED_VALUE"""),2013.0)</f>
        <v>2013</v>
      </c>
      <c r="F2370" s="15">
        <f>IFERROR(__xludf.DUMMYFUNCTION("""COMPUTED_VALUE"""),750.0)</f>
        <v>750</v>
      </c>
      <c r="G2370" s="15">
        <f>IFERROR(__xludf.DUMMYFUNCTION("""COMPUTED_VALUE"""),3.0)</f>
        <v>3</v>
      </c>
      <c r="H2370" s="16">
        <f>IFERROR(__xludf.DUMMYFUNCTION("""COMPUTED_VALUE"""),1.0)</f>
        <v>1</v>
      </c>
      <c r="I2370" s="17">
        <f>IFERROR(__xludf.DUMMYFUNCTION("""COMPUTED_VALUE"""),1903.0)</f>
        <v>1903</v>
      </c>
      <c r="J2370" s="15" t="str">
        <f>IFERROR(__xludf.DUMMYFUNCTION("""COMPUTED_VALUE"""),"UK")</f>
        <v>UK</v>
      </c>
      <c r="L2370" s="18"/>
      <c r="M2370" s="19"/>
      <c r="N2370" s="19"/>
    </row>
    <row r="2371">
      <c r="A2371" s="14" t="str">
        <f>IFERROR(__xludf.DUMMYFUNCTION("""COMPUTED_VALUE"""),"116074320140300750")</f>
        <v>116074320140300750</v>
      </c>
      <c r="B2371" s="15" t="str">
        <f>IFERROR(__xludf.DUMMYFUNCTION("""COMPUTED_VALUE"""),"Italy")</f>
        <v>Italy</v>
      </c>
      <c r="C2371" s="15" t="str">
        <f>IFERROR(__xludf.DUMMYFUNCTION("""COMPUTED_VALUE"""),"tuscany")</f>
        <v>tuscany</v>
      </c>
      <c r="D2371" s="15" t="str">
        <f>IFERROR(__xludf.DUMMYFUNCTION("""COMPUTED_VALUE"""),"Masseto, Toscana")</f>
        <v>Masseto, Toscana</v>
      </c>
      <c r="E2371" s="15">
        <f>IFERROR(__xludf.DUMMYFUNCTION("""COMPUTED_VALUE"""),2014.0)</f>
        <v>2014</v>
      </c>
      <c r="F2371" s="15">
        <f>IFERROR(__xludf.DUMMYFUNCTION("""COMPUTED_VALUE"""),750.0)</f>
        <v>750</v>
      </c>
      <c r="G2371" s="15">
        <f>IFERROR(__xludf.DUMMYFUNCTION("""COMPUTED_VALUE"""),3.0)</f>
        <v>3</v>
      </c>
      <c r="H2371" s="16">
        <f>IFERROR(__xludf.DUMMYFUNCTION("""COMPUTED_VALUE"""),1.0)</f>
        <v>1</v>
      </c>
      <c r="I2371" s="17">
        <f>IFERROR(__xludf.DUMMYFUNCTION("""COMPUTED_VALUE"""),1833.0)</f>
        <v>1833</v>
      </c>
      <c r="J2371" s="15" t="str">
        <f>IFERROR(__xludf.DUMMYFUNCTION("""COMPUTED_VALUE"""),"UK")</f>
        <v>UK</v>
      </c>
      <c r="L2371" s="18"/>
      <c r="M2371" s="19"/>
      <c r="N2371" s="19"/>
    </row>
    <row r="2372">
      <c r="A2372" s="14" t="str">
        <f>IFERROR(__xludf.DUMMYFUNCTION("""COMPUTED_VALUE"""),"116074320170300750")</f>
        <v>116074320170300750</v>
      </c>
      <c r="B2372" s="15" t="str">
        <f>IFERROR(__xludf.DUMMYFUNCTION("""COMPUTED_VALUE"""),"Italy")</f>
        <v>Italy</v>
      </c>
      <c r="C2372" s="15" t="str">
        <f>IFERROR(__xludf.DUMMYFUNCTION("""COMPUTED_VALUE"""),"tuscany")</f>
        <v>tuscany</v>
      </c>
      <c r="D2372" s="15" t="str">
        <f>IFERROR(__xludf.DUMMYFUNCTION("""COMPUTED_VALUE"""),"Masseto, Toscana")</f>
        <v>Masseto, Toscana</v>
      </c>
      <c r="E2372" s="15">
        <f>IFERROR(__xludf.DUMMYFUNCTION("""COMPUTED_VALUE"""),2017.0)</f>
        <v>2017</v>
      </c>
      <c r="F2372" s="15">
        <f>IFERROR(__xludf.DUMMYFUNCTION("""COMPUTED_VALUE"""),750.0)</f>
        <v>750</v>
      </c>
      <c r="G2372" s="15">
        <f>IFERROR(__xludf.DUMMYFUNCTION("""COMPUTED_VALUE"""),3.0)</f>
        <v>3</v>
      </c>
      <c r="H2372" s="16">
        <f>IFERROR(__xludf.DUMMYFUNCTION("""COMPUTED_VALUE"""),5.0)</f>
        <v>5</v>
      </c>
      <c r="I2372" s="17">
        <f>IFERROR(__xludf.DUMMYFUNCTION("""COMPUTED_VALUE"""),1790.0)</f>
        <v>1790</v>
      </c>
      <c r="J2372" s="15" t="str">
        <f>IFERROR(__xludf.DUMMYFUNCTION("""COMPUTED_VALUE"""),"UK")</f>
        <v>UK</v>
      </c>
      <c r="L2372" s="18"/>
      <c r="M2372" s="19"/>
      <c r="N2372" s="19"/>
    </row>
    <row r="2373">
      <c r="A2373" s="14" t="str">
        <f>IFERROR(__xludf.DUMMYFUNCTION("""COMPUTED_VALUE"""),"110190020170300750")</f>
        <v>110190020170300750</v>
      </c>
      <c r="B2373" s="15" t="str">
        <f>IFERROR(__xludf.DUMMYFUNCTION("""COMPUTED_VALUE"""),"Italy")</f>
        <v>Italy</v>
      </c>
      <c r="C2373" s="15" t="str">
        <f>IFERROR(__xludf.DUMMYFUNCTION("""COMPUTED_VALUE"""),"tuscany")</f>
        <v>tuscany</v>
      </c>
      <c r="D2373" s="15" t="str">
        <f>IFERROR(__xludf.DUMMYFUNCTION("""COMPUTED_VALUE"""),"Montevertine, Le Pergole Torte, Toscana")</f>
        <v>Montevertine, Le Pergole Torte, Toscana</v>
      </c>
      <c r="E2373" s="15">
        <f>IFERROR(__xludf.DUMMYFUNCTION("""COMPUTED_VALUE"""),2017.0)</f>
        <v>2017</v>
      </c>
      <c r="F2373" s="15">
        <f>IFERROR(__xludf.DUMMYFUNCTION("""COMPUTED_VALUE"""),750.0)</f>
        <v>750</v>
      </c>
      <c r="G2373" s="15">
        <f>IFERROR(__xludf.DUMMYFUNCTION("""COMPUTED_VALUE"""),3.0)</f>
        <v>3</v>
      </c>
      <c r="H2373" s="16">
        <f>IFERROR(__xludf.DUMMYFUNCTION("""COMPUTED_VALUE"""),1.0)</f>
        <v>1</v>
      </c>
      <c r="I2373" s="17">
        <f>IFERROR(__xludf.DUMMYFUNCTION("""COMPUTED_VALUE"""),542.0)</f>
        <v>542</v>
      </c>
      <c r="J2373" s="15" t="str">
        <f>IFERROR(__xludf.DUMMYFUNCTION("""COMPUTED_VALUE"""),"UK")</f>
        <v>UK</v>
      </c>
      <c r="L2373" s="18"/>
      <c r="M2373" s="19"/>
      <c r="N2373" s="19"/>
    </row>
    <row r="2374">
      <c r="A2374" s="14" t="str">
        <f>IFERROR(__xludf.DUMMYFUNCTION("""COMPUTED_VALUE"""),"110190020180600750")</f>
        <v>110190020180600750</v>
      </c>
      <c r="B2374" s="15" t="str">
        <f>IFERROR(__xludf.DUMMYFUNCTION("""COMPUTED_VALUE"""),"Italy")</f>
        <v>Italy</v>
      </c>
      <c r="C2374" s="15" t="str">
        <f>IFERROR(__xludf.DUMMYFUNCTION("""COMPUTED_VALUE"""),"tuscany")</f>
        <v>tuscany</v>
      </c>
      <c r="D2374" s="15" t="str">
        <f>IFERROR(__xludf.DUMMYFUNCTION("""COMPUTED_VALUE"""),"Montevertine, Le Pergole Torte, Toscana")</f>
        <v>Montevertine, Le Pergole Torte, Toscana</v>
      </c>
      <c r="E2374" s="15">
        <f>IFERROR(__xludf.DUMMYFUNCTION("""COMPUTED_VALUE"""),2018.0)</f>
        <v>2018</v>
      </c>
      <c r="F2374" s="15">
        <f>IFERROR(__xludf.DUMMYFUNCTION("""COMPUTED_VALUE"""),750.0)</f>
        <v>750</v>
      </c>
      <c r="G2374" s="15">
        <f>IFERROR(__xludf.DUMMYFUNCTION("""COMPUTED_VALUE"""),6.0)</f>
        <v>6</v>
      </c>
      <c r="H2374" s="16">
        <f>IFERROR(__xludf.DUMMYFUNCTION("""COMPUTED_VALUE"""),4.0)</f>
        <v>4</v>
      </c>
      <c r="I2374" s="17">
        <f>IFERROR(__xludf.DUMMYFUNCTION("""COMPUTED_VALUE"""),1332.0)</f>
        <v>1332</v>
      </c>
      <c r="J2374" s="15" t="str">
        <f>IFERROR(__xludf.DUMMYFUNCTION("""COMPUTED_VALUE"""),"UK")</f>
        <v>UK</v>
      </c>
      <c r="L2374" s="18"/>
      <c r="M2374" s="19"/>
      <c r="N2374" s="19"/>
    </row>
    <row r="2375">
      <c r="A2375" s="14" t="str">
        <f>IFERROR(__xludf.DUMMYFUNCTION("""COMPUTED_VALUE"""),"110190020180101500")</f>
        <v>110190020180101500</v>
      </c>
      <c r="B2375" s="15" t="str">
        <f>IFERROR(__xludf.DUMMYFUNCTION("""COMPUTED_VALUE"""),"Italy")</f>
        <v>Italy</v>
      </c>
      <c r="C2375" s="15" t="str">
        <f>IFERROR(__xludf.DUMMYFUNCTION("""COMPUTED_VALUE"""),"tuscany")</f>
        <v>tuscany</v>
      </c>
      <c r="D2375" s="15" t="str">
        <f>IFERROR(__xludf.DUMMYFUNCTION("""COMPUTED_VALUE"""),"Montevertine, Le Pergole Torte, Toscana")</f>
        <v>Montevertine, Le Pergole Torte, Toscana</v>
      </c>
      <c r="E2375" s="15">
        <f>IFERROR(__xludf.DUMMYFUNCTION("""COMPUTED_VALUE"""),2018.0)</f>
        <v>2018</v>
      </c>
      <c r="F2375" s="15">
        <f>IFERROR(__xludf.DUMMYFUNCTION("""COMPUTED_VALUE"""),1500.0)</f>
        <v>1500</v>
      </c>
      <c r="G2375" s="15">
        <f>IFERROR(__xludf.DUMMYFUNCTION("""COMPUTED_VALUE"""),1.0)</f>
        <v>1</v>
      </c>
      <c r="H2375" s="16">
        <f>IFERROR(__xludf.DUMMYFUNCTION("""COMPUTED_VALUE"""),3.0)</f>
        <v>3</v>
      </c>
      <c r="I2375" s="17">
        <f>IFERROR(__xludf.DUMMYFUNCTION("""COMPUTED_VALUE"""),444.0)</f>
        <v>444</v>
      </c>
      <c r="J2375" s="15" t="str">
        <f>IFERROR(__xludf.DUMMYFUNCTION("""COMPUTED_VALUE"""),"UK")</f>
        <v>UK</v>
      </c>
      <c r="L2375" s="18"/>
      <c r="M2375" s="19"/>
      <c r="N2375" s="19"/>
    </row>
    <row r="2376">
      <c r="A2376" s="14" t="str">
        <f>IFERROR(__xludf.DUMMYFUNCTION("""COMPUTED_VALUE"""),"117398320170600750")</f>
        <v>117398320170600750</v>
      </c>
      <c r="B2376" s="15" t="str">
        <f>IFERROR(__xludf.DUMMYFUNCTION("""COMPUTED_VALUE"""),"Italy")</f>
        <v>Italy</v>
      </c>
      <c r="C2376" s="15" t="str">
        <f>IFERROR(__xludf.DUMMYFUNCTION("""COMPUTED_VALUE"""),"tuscany")</f>
        <v>tuscany</v>
      </c>
      <c r="D2376" s="15" t="str">
        <f>IFERROR(__xludf.DUMMYFUNCTION("""COMPUTED_VALUE"""),"Montevertine, Toscana")</f>
        <v>Montevertine, Toscana</v>
      </c>
      <c r="E2376" s="15">
        <f>IFERROR(__xludf.DUMMYFUNCTION("""COMPUTED_VALUE"""),2017.0)</f>
        <v>2017</v>
      </c>
      <c r="F2376" s="15">
        <f>IFERROR(__xludf.DUMMYFUNCTION("""COMPUTED_VALUE"""),750.0)</f>
        <v>750</v>
      </c>
      <c r="G2376" s="15">
        <f>IFERROR(__xludf.DUMMYFUNCTION("""COMPUTED_VALUE"""),6.0)</f>
        <v>6</v>
      </c>
      <c r="H2376" s="16">
        <f>IFERROR(__xludf.DUMMYFUNCTION("""COMPUTED_VALUE"""),1.0)</f>
        <v>1</v>
      </c>
      <c r="I2376" s="17">
        <f>IFERROR(__xludf.DUMMYFUNCTION("""COMPUTED_VALUE"""),289.0)</f>
        <v>289</v>
      </c>
      <c r="J2376" s="15" t="str">
        <f>IFERROR(__xludf.DUMMYFUNCTION("""COMPUTED_VALUE"""),"UK")</f>
        <v>UK</v>
      </c>
      <c r="L2376" s="18"/>
      <c r="M2376" s="19"/>
      <c r="N2376" s="19"/>
    </row>
    <row r="2377">
      <c r="A2377" s="14" t="str">
        <f>IFERROR(__xludf.DUMMYFUNCTION("""COMPUTED_VALUE"""),"110202420110600750")</f>
        <v>110202420110600750</v>
      </c>
      <c r="B2377" s="15" t="str">
        <f>IFERROR(__xludf.DUMMYFUNCTION("""COMPUTED_VALUE"""),"Italy")</f>
        <v>Italy</v>
      </c>
      <c r="C2377" s="15" t="str">
        <f>IFERROR(__xludf.DUMMYFUNCTION("""COMPUTED_VALUE"""),"tuscany")</f>
        <v>tuscany</v>
      </c>
      <c r="D2377" s="15" t="str">
        <f>IFERROR(__xludf.DUMMYFUNCTION("""COMPUTED_VALUE"""),"Ornellaia, Bolgheri")</f>
        <v>Ornellaia, Bolgheri</v>
      </c>
      <c r="E2377" s="15">
        <f>IFERROR(__xludf.DUMMYFUNCTION("""COMPUTED_VALUE"""),2011.0)</f>
        <v>2011</v>
      </c>
      <c r="F2377" s="15">
        <f>IFERROR(__xludf.DUMMYFUNCTION("""COMPUTED_VALUE"""),750.0)</f>
        <v>750</v>
      </c>
      <c r="G2377" s="15">
        <f>IFERROR(__xludf.DUMMYFUNCTION("""COMPUTED_VALUE"""),6.0)</f>
        <v>6</v>
      </c>
      <c r="H2377" s="16">
        <f>IFERROR(__xludf.DUMMYFUNCTION("""COMPUTED_VALUE"""),1.0)</f>
        <v>1</v>
      </c>
      <c r="I2377" s="17">
        <f>IFERROR(__xludf.DUMMYFUNCTION("""COMPUTED_VALUE"""),923.0)</f>
        <v>923</v>
      </c>
      <c r="J2377" s="15" t="str">
        <f>IFERROR(__xludf.DUMMYFUNCTION("""COMPUTED_VALUE"""),"UK")</f>
        <v>UK</v>
      </c>
      <c r="L2377" s="18"/>
      <c r="M2377" s="19"/>
      <c r="N2377" s="19"/>
    </row>
    <row r="2378">
      <c r="A2378" s="14" t="str">
        <f>IFERROR(__xludf.DUMMYFUNCTION("""COMPUTED_VALUE"""),"110202420150600750")</f>
        <v>110202420150600750</v>
      </c>
      <c r="B2378" s="15" t="str">
        <f>IFERROR(__xludf.DUMMYFUNCTION("""COMPUTED_VALUE"""),"Italy")</f>
        <v>Italy</v>
      </c>
      <c r="C2378" s="15" t="str">
        <f>IFERROR(__xludf.DUMMYFUNCTION("""COMPUTED_VALUE"""),"tuscany")</f>
        <v>tuscany</v>
      </c>
      <c r="D2378" s="15" t="str">
        <f>IFERROR(__xludf.DUMMYFUNCTION("""COMPUTED_VALUE"""),"Ornellaia, Bolgheri")</f>
        <v>Ornellaia, Bolgheri</v>
      </c>
      <c r="E2378" s="15">
        <f>IFERROR(__xludf.DUMMYFUNCTION("""COMPUTED_VALUE"""),2015.0)</f>
        <v>2015</v>
      </c>
      <c r="F2378" s="15">
        <f>IFERROR(__xludf.DUMMYFUNCTION("""COMPUTED_VALUE"""),750.0)</f>
        <v>750</v>
      </c>
      <c r="G2378" s="15">
        <f>IFERROR(__xludf.DUMMYFUNCTION("""COMPUTED_VALUE"""),6.0)</f>
        <v>6</v>
      </c>
      <c r="H2378" s="16">
        <f>IFERROR(__xludf.DUMMYFUNCTION("""COMPUTED_VALUE"""),16.0)</f>
        <v>16</v>
      </c>
      <c r="I2378" s="17">
        <f>IFERROR(__xludf.DUMMYFUNCTION("""COMPUTED_VALUE"""),996.0)</f>
        <v>996</v>
      </c>
      <c r="J2378" s="15" t="str">
        <f>IFERROR(__xludf.DUMMYFUNCTION("""COMPUTED_VALUE"""),"UK")</f>
        <v>UK</v>
      </c>
      <c r="L2378" s="18"/>
      <c r="M2378" s="19"/>
      <c r="N2378" s="19"/>
    </row>
    <row r="2379">
      <c r="A2379" s="14" t="str">
        <f>IFERROR(__xludf.DUMMYFUNCTION("""COMPUTED_VALUE"""),"110256120110600750")</f>
        <v>110256120110600750</v>
      </c>
      <c r="B2379" s="15" t="str">
        <f>IFERROR(__xludf.DUMMYFUNCTION("""COMPUTED_VALUE"""),"Italy")</f>
        <v>Italy</v>
      </c>
      <c r="C2379" s="15" t="str">
        <f>IFERROR(__xludf.DUMMYFUNCTION("""COMPUTED_VALUE"""),"tuscany")</f>
        <v>tuscany</v>
      </c>
      <c r="D2379" s="15" t="str">
        <f>IFERROR(__xludf.DUMMYFUNCTION("""COMPUTED_VALUE"""),"Petrolo, Galatrona, Toscana")</f>
        <v>Petrolo, Galatrona, Toscana</v>
      </c>
      <c r="E2379" s="15">
        <f>IFERROR(__xludf.DUMMYFUNCTION("""COMPUTED_VALUE"""),2011.0)</f>
        <v>2011</v>
      </c>
      <c r="F2379" s="15">
        <f>IFERROR(__xludf.DUMMYFUNCTION("""COMPUTED_VALUE"""),750.0)</f>
        <v>750</v>
      </c>
      <c r="G2379" s="15">
        <f>IFERROR(__xludf.DUMMYFUNCTION("""COMPUTED_VALUE"""),6.0)</f>
        <v>6</v>
      </c>
      <c r="H2379" s="16">
        <f>IFERROR(__xludf.DUMMYFUNCTION("""COMPUTED_VALUE"""),3.0)</f>
        <v>3</v>
      </c>
      <c r="I2379" s="17">
        <f>IFERROR(__xludf.DUMMYFUNCTION("""COMPUTED_VALUE"""),345.0)</f>
        <v>345</v>
      </c>
      <c r="J2379" s="15" t="str">
        <f>IFERROR(__xludf.DUMMYFUNCTION("""COMPUTED_VALUE"""),"UK")</f>
        <v>UK</v>
      </c>
      <c r="L2379" s="18"/>
      <c r="M2379" s="19"/>
      <c r="N2379" s="19"/>
    </row>
    <row r="2380">
      <c r="A2380" s="14" t="str">
        <f>IFERROR(__xludf.DUMMYFUNCTION("""COMPUTED_VALUE"""),"110256120130600750")</f>
        <v>110256120130600750</v>
      </c>
      <c r="B2380" s="15" t="str">
        <f>IFERROR(__xludf.DUMMYFUNCTION("""COMPUTED_VALUE"""),"Italy")</f>
        <v>Italy</v>
      </c>
      <c r="C2380" s="15" t="str">
        <f>IFERROR(__xludf.DUMMYFUNCTION("""COMPUTED_VALUE"""),"tuscany")</f>
        <v>tuscany</v>
      </c>
      <c r="D2380" s="15" t="str">
        <f>IFERROR(__xludf.DUMMYFUNCTION("""COMPUTED_VALUE"""),"Petrolo, Galatrona, Toscana")</f>
        <v>Petrolo, Galatrona, Toscana</v>
      </c>
      <c r="E2380" s="15">
        <f>IFERROR(__xludf.DUMMYFUNCTION("""COMPUTED_VALUE"""),2013.0)</f>
        <v>2013</v>
      </c>
      <c r="F2380" s="15">
        <f>IFERROR(__xludf.DUMMYFUNCTION("""COMPUTED_VALUE"""),750.0)</f>
        <v>750</v>
      </c>
      <c r="G2380" s="15">
        <f>IFERROR(__xludf.DUMMYFUNCTION("""COMPUTED_VALUE"""),6.0)</f>
        <v>6</v>
      </c>
      <c r="H2380" s="16">
        <f>IFERROR(__xludf.DUMMYFUNCTION("""COMPUTED_VALUE"""),1.0)</f>
        <v>1</v>
      </c>
      <c r="I2380" s="17">
        <f>IFERROR(__xludf.DUMMYFUNCTION("""COMPUTED_VALUE"""),347.0)</f>
        <v>347</v>
      </c>
      <c r="J2380" s="15" t="str">
        <f>IFERROR(__xludf.DUMMYFUNCTION("""COMPUTED_VALUE"""),"UK")</f>
        <v>UK</v>
      </c>
      <c r="L2380" s="18"/>
      <c r="M2380" s="19"/>
      <c r="N2380" s="19"/>
    </row>
    <row r="2381">
      <c r="A2381" s="14" t="str">
        <f>IFERROR(__xludf.DUMMYFUNCTION("""COMPUTED_VALUE"""),"110256120150600750")</f>
        <v>110256120150600750</v>
      </c>
      <c r="B2381" s="15" t="str">
        <f>IFERROR(__xludf.DUMMYFUNCTION("""COMPUTED_VALUE"""),"Italy")</f>
        <v>Italy</v>
      </c>
      <c r="C2381" s="15" t="str">
        <f>IFERROR(__xludf.DUMMYFUNCTION("""COMPUTED_VALUE"""),"tuscany")</f>
        <v>tuscany</v>
      </c>
      <c r="D2381" s="15" t="str">
        <f>IFERROR(__xludf.DUMMYFUNCTION("""COMPUTED_VALUE"""),"Petrolo, Galatrona, Toscana")</f>
        <v>Petrolo, Galatrona, Toscana</v>
      </c>
      <c r="E2381" s="15">
        <f>IFERROR(__xludf.DUMMYFUNCTION("""COMPUTED_VALUE"""),2015.0)</f>
        <v>2015</v>
      </c>
      <c r="F2381" s="15">
        <f>IFERROR(__xludf.DUMMYFUNCTION("""COMPUTED_VALUE"""),750.0)</f>
        <v>750</v>
      </c>
      <c r="G2381" s="15">
        <f>IFERROR(__xludf.DUMMYFUNCTION("""COMPUTED_VALUE"""),6.0)</f>
        <v>6</v>
      </c>
      <c r="H2381" s="16">
        <f>IFERROR(__xludf.DUMMYFUNCTION("""COMPUTED_VALUE"""),5.0)</f>
        <v>5</v>
      </c>
      <c r="I2381" s="17">
        <f>IFERROR(__xludf.DUMMYFUNCTION("""COMPUTED_VALUE"""),385.0)</f>
        <v>385</v>
      </c>
      <c r="J2381" s="15" t="str">
        <f>IFERROR(__xludf.DUMMYFUNCTION("""COMPUTED_VALUE"""),"UK")</f>
        <v>UK</v>
      </c>
      <c r="L2381" s="18"/>
      <c r="M2381" s="19"/>
      <c r="N2381" s="19"/>
    </row>
    <row r="2382">
      <c r="A2382" s="14" t="str">
        <f>IFERROR(__xludf.DUMMYFUNCTION("""COMPUTED_VALUE"""),"110256120170600750")</f>
        <v>110256120170600750</v>
      </c>
      <c r="B2382" s="15" t="str">
        <f>IFERROR(__xludf.DUMMYFUNCTION("""COMPUTED_VALUE"""),"Italy")</f>
        <v>Italy</v>
      </c>
      <c r="C2382" s="15" t="str">
        <f>IFERROR(__xludf.DUMMYFUNCTION("""COMPUTED_VALUE"""),"tuscany")</f>
        <v>tuscany</v>
      </c>
      <c r="D2382" s="15" t="str">
        <f>IFERROR(__xludf.DUMMYFUNCTION("""COMPUTED_VALUE"""),"Petrolo, Galatrona, Toscana")</f>
        <v>Petrolo, Galatrona, Toscana</v>
      </c>
      <c r="E2382" s="15">
        <f>IFERROR(__xludf.DUMMYFUNCTION("""COMPUTED_VALUE"""),2017.0)</f>
        <v>2017</v>
      </c>
      <c r="F2382" s="15">
        <f>IFERROR(__xludf.DUMMYFUNCTION("""COMPUTED_VALUE"""),750.0)</f>
        <v>750</v>
      </c>
      <c r="G2382" s="15">
        <f>IFERROR(__xludf.DUMMYFUNCTION("""COMPUTED_VALUE"""),6.0)</f>
        <v>6</v>
      </c>
      <c r="H2382" s="16">
        <f>IFERROR(__xludf.DUMMYFUNCTION("""COMPUTED_VALUE"""),2.0)</f>
        <v>2</v>
      </c>
      <c r="I2382" s="17">
        <f>IFERROR(__xludf.DUMMYFUNCTION("""COMPUTED_VALUE"""),313.0)</f>
        <v>313</v>
      </c>
      <c r="J2382" s="15" t="str">
        <f>IFERROR(__xludf.DUMMYFUNCTION("""COMPUTED_VALUE"""),"UK")</f>
        <v>UK</v>
      </c>
      <c r="L2382" s="18"/>
      <c r="M2382" s="19"/>
      <c r="N2382" s="19"/>
    </row>
    <row r="2383">
      <c r="A2383" s="14" t="str">
        <f>IFERROR(__xludf.DUMMYFUNCTION("""COMPUTED_VALUE"""),"122007820170600750")</f>
        <v>122007820170600750</v>
      </c>
      <c r="B2383" s="15" t="str">
        <f>IFERROR(__xludf.DUMMYFUNCTION("""COMPUTED_VALUE"""),"Italy")</f>
        <v>Italy</v>
      </c>
      <c r="C2383" s="15" t="str">
        <f>IFERROR(__xludf.DUMMYFUNCTION("""COMPUTED_VALUE"""),"tuscany")</f>
        <v>tuscany</v>
      </c>
      <c r="D2383" s="15" t="str">
        <f>IFERROR(__xludf.DUMMYFUNCTION("""COMPUTED_VALUE"""),"Pieve Santa Restituta (Gaja), Brunello di Montalcino")</f>
        <v>Pieve Santa Restituta (Gaja), Brunello di Montalcino</v>
      </c>
      <c r="E2383" s="15">
        <f>IFERROR(__xludf.DUMMYFUNCTION("""COMPUTED_VALUE"""),2017.0)</f>
        <v>2017</v>
      </c>
      <c r="F2383" s="15">
        <f>IFERROR(__xludf.DUMMYFUNCTION("""COMPUTED_VALUE"""),750.0)</f>
        <v>750</v>
      </c>
      <c r="G2383" s="15">
        <f>IFERROR(__xludf.DUMMYFUNCTION("""COMPUTED_VALUE"""),6.0)</f>
        <v>6</v>
      </c>
      <c r="H2383" s="16">
        <f>IFERROR(__xludf.DUMMYFUNCTION("""COMPUTED_VALUE"""),9.0)</f>
        <v>9</v>
      </c>
      <c r="I2383" s="17">
        <f>IFERROR(__xludf.DUMMYFUNCTION("""COMPUTED_VALUE"""),308.0)</f>
        <v>308</v>
      </c>
      <c r="J2383" s="15" t="str">
        <f>IFERROR(__xludf.DUMMYFUNCTION("""COMPUTED_VALUE"""),"UK")</f>
        <v>UK</v>
      </c>
      <c r="L2383" s="18"/>
      <c r="M2383" s="19"/>
      <c r="N2383" s="19"/>
    </row>
    <row r="2384">
      <c r="A2384" s="14" t="str">
        <f>IFERROR(__xludf.DUMMYFUNCTION("""COMPUTED_VALUE"""),"109965020130600750")</f>
        <v>109965020130600750</v>
      </c>
      <c r="B2384" s="15" t="str">
        <f>IFERROR(__xludf.DUMMYFUNCTION("""COMPUTED_VALUE"""),"Italy")</f>
        <v>Italy</v>
      </c>
      <c r="C2384" s="15" t="str">
        <f>IFERROR(__xludf.DUMMYFUNCTION("""COMPUTED_VALUE"""),"tuscany")</f>
        <v>tuscany</v>
      </c>
      <c r="D2384" s="15" t="str">
        <f>IFERROR(__xludf.DUMMYFUNCTION("""COMPUTED_VALUE"""),"Pieve Santa Restituta (Gaja), Brunello di Montalcino, Rennina")</f>
        <v>Pieve Santa Restituta (Gaja), Brunello di Montalcino, Rennina</v>
      </c>
      <c r="E2384" s="15">
        <f>IFERROR(__xludf.DUMMYFUNCTION("""COMPUTED_VALUE"""),2013.0)</f>
        <v>2013</v>
      </c>
      <c r="F2384" s="15">
        <f>IFERROR(__xludf.DUMMYFUNCTION("""COMPUTED_VALUE"""),750.0)</f>
        <v>750</v>
      </c>
      <c r="G2384" s="15">
        <f>IFERROR(__xludf.DUMMYFUNCTION("""COMPUTED_VALUE"""),6.0)</f>
        <v>6</v>
      </c>
      <c r="H2384" s="16">
        <f>IFERROR(__xludf.DUMMYFUNCTION("""COMPUTED_VALUE"""),2.0)</f>
        <v>2</v>
      </c>
      <c r="I2384" s="17">
        <f>IFERROR(__xludf.DUMMYFUNCTION("""COMPUTED_VALUE"""),646.0)</f>
        <v>646</v>
      </c>
      <c r="J2384" s="15" t="str">
        <f>IFERROR(__xludf.DUMMYFUNCTION("""COMPUTED_VALUE"""),"UK")</f>
        <v>UK</v>
      </c>
      <c r="L2384" s="18"/>
      <c r="M2384" s="19"/>
      <c r="N2384" s="19"/>
    </row>
    <row r="2385">
      <c r="A2385" s="14" t="str">
        <f>IFERROR(__xludf.DUMMYFUNCTION("""COMPUTED_VALUE"""),"109965020150600750")</f>
        <v>109965020150600750</v>
      </c>
      <c r="B2385" s="15" t="str">
        <f>IFERROR(__xludf.DUMMYFUNCTION("""COMPUTED_VALUE"""),"Italy")</f>
        <v>Italy</v>
      </c>
      <c r="C2385" s="15" t="str">
        <f>IFERROR(__xludf.DUMMYFUNCTION("""COMPUTED_VALUE"""),"tuscany")</f>
        <v>tuscany</v>
      </c>
      <c r="D2385" s="15" t="str">
        <f>IFERROR(__xludf.DUMMYFUNCTION("""COMPUTED_VALUE"""),"Pieve Santa Restituta (Gaja), Brunello di Montalcino, Rennina")</f>
        <v>Pieve Santa Restituta (Gaja), Brunello di Montalcino, Rennina</v>
      </c>
      <c r="E2385" s="15">
        <f>IFERROR(__xludf.DUMMYFUNCTION("""COMPUTED_VALUE"""),2015.0)</f>
        <v>2015</v>
      </c>
      <c r="F2385" s="15">
        <f>IFERROR(__xludf.DUMMYFUNCTION("""COMPUTED_VALUE"""),750.0)</f>
        <v>750</v>
      </c>
      <c r="G2385" s="15">
        <f>IFERROR(__xludf.DUMMYFUNCTION("""COMPUTED_VALUE"""),6.0)</f>
        <v>6</v>
      </c>
      <c r="H2385" s="16">
        <f>IFERROR(__xludf.DUMMYFUNCTION("""COMPUTED_VALUE"""),1.0)</f>
        <v>1</v>
      </c>
      <c r="I2385" s="17">
        <f>IFERROR(__xludf.DUMMYFUNCTION("""COMPUTED_VALUE"""),720.0)</f>
        <v>720</v>
      </c>
      <c r="J2385" s="15" t="str">
        <f>IFERROR(__xludf.DUMMYFUNCTION("""COMPUTED_VALUE"""),"UK")</f>
        <v>UK</v>
      </c>
      <c r="L2385" s="18"/>
      <c r="M2385" s="19"/>
      <c r="N2385" s="19"/>
    </row>
    <row r="2386">
      <c r="A2386" s="14" t="str">
        <f>IFERROR(__xludf.DUMMYFUNCTION("""COMPUTED_VALUE"""),"109965020160600750")</f>
        <v>109965020160600750</v>
      </c>
      <c r="B2386" s="15" t="str">
        <f>IFERROR(__xludf.DUMMYFUNCTION("""COMPUTED_VALUE"""),"Italy")</f>
        <v>Italy</v>
      </c>
      <c r="C2386" s="15" t="str">
        <f>IFERROR(__xludf.DUMMYFUNCTION("""COMPUTED_VALUE"""),"tuscany")</f>
        <v>tuscany</v>
      </c>
      <c r="D2386" s="15" t="str">
        <f>IFERROR(__xludf.DUMMYFUNCTION("""COMPUTED_VALUE"""),"Pieve Santa Restituta (Gaja), Brunello di Montalcino, Rennina")</f>
        <v>Pieve Santa Restituta (Gaja), Brunello di Montalcino, Rennina</v>
      </c>
      <c r="E2386" s="15">
        <f>IFERROR(__xludf.DUMMYFUNCTION("""COMPUTED_VALUE"""),2016.0)</f>
        <v>2016</v>
      </c>
      <c r="F2386" s="15">
        <f>IFERROR(__xludf.DUMMYFUNCTION("""COMPUTED_VALUE"""),750.0)</f>
        <v>750</v>
      </c>
      <c r="G2386" s="15">
        <f>IFERROR(__xludf.DUMMYFUNCTION("""COMPUTED_VALUE"""),6.0)</f>
        <v>6</v>
      </c>
      <c r="H2386" s="16">
        <f>IFERROR(__xludf.DUMMYFUNCTION("""COMPUTED_VALUE"""),3.0)</f>
        <v>3</v>
      </c>
      <c r="I2386" s="17">
        <f>IFERROR(__xludf.DUMMYFUNCTION("""COMPUTED_VALUE"""),669.0)</f>
        <v>669</v>
      </c>
      <c r="J2386" s="15" t="str">
        <f>IFERROR(__xludf.DUMMYFUNCTION("""COMPUTED_VALUE"""),"UK")</f>
        <v>UK</v>
      </c>
      <c r="L2386" s="18"/>
      <c r="M2386" s="19"/>
      <c r="N2386" s="19"/>
    </row>
    <row r="2387">
      <c r="A2387" s="14" t="str">
        <f>IFERROR(__xludf.DUMMYFUNCTION("""COMPUTED_VALUE"""),"122413520040600750")</f>
        <v>122413520040600750</v>
      </c>
      <c r="B2387" s="15" t="str">
        <f>IFERROR(__xludf.DUMMYFUNCTION("""COMPUTED_VALUE"""),"Italy")</f>
        <v>Italy</v>
      </c>
      <c r="C2387" s="15" t="str">
        <f>IFERROR(__xludf.DUMMYFUNCTION("""COMPUTED_VALUE"""),"tuscany")</f>
        <v>tuscany</v>
      </c>
      <c r="D2387" s="15" t="str">
        <f>IFERROR(__xludf.DUMMYFUNCTION("""COMPUTED_VALUE"""),"Pieve Santa Restituta (Gaja), Brunello di Montalcino, Sugarille")</f>
        <v>Pieve Santa Restituta (Gaja), Brunello di Montalcino, Sugarille</v>
      </c>
      <c r="E2387" s="15">
        <f>IFERROR(__xludf.DUMMYFUNCTION("""COMPUTED_VALUE"""),2004.0)</f>
        <v>2004</v>
      </c>
      <c r="F2387" s="15">
        <f>IFERROR(__xludf.DUMMYFUNCTION("""COMPUTED_VALUE"""),750.0)</f>
        <v>750</v>
      </c>
      <c r="G2387" s="15">
        <f>IFERROR(__xludf.DUMMYFUNCTION("""COMPUTED_VALUE"""),6.0)</f>
        <v>6</v>
      </c>
      <c r="H2387" s="16">
        <f>IFERROR(__xludf.DUMMYFUNCTION("""COMPUTED_VALUE"""),1.0)</f>
        <v>1</v>
      </c>
      <c r="I2387" s="17">
        <f>IFERROR(__xludf.DUMMYFUNCTION("""COMPUTED_VALUE"""),817.0)</f>
        <v>817</v>
      </c>
      <c r="J2387" s="15" t="str">
        <f>IFERROR(__xludf.DUMMYFUNCTION("""COMPUTED_VALUE"""),"UK")</f>
        <v>UK</v>
      </c>
      <c r="L2387" s="18"/>
      <c r="M2387" s="19"/>
      <c r="N2387" s="19"/>
    </row>
    <row r="2388">
      <c r="A2388" s="14" t="str">
        <f>IFERROR(__xludf.DUMMYFUNCTION("""COMPUTED_VALUE"""),"122413520110600750")</f>
        <v>122413520110600750</v>
      </c>
      <c r="B2388" s="15" t="str">
        <f>IFERROR(__xludf.DUMMYFUNCTION("""COMPUTED_VALUE"""),"Italy")</f>
        <v>Italy</v>
      </c>
      <c r="C2388" s="15" t="str">
        <f>IFERROR(__xludf.DUMMYFUNCTION("""COMPUTED_VALUE"""),"tuscany")</f>
        <v>tuscany</v>
      </c>
      <c r="D2388" s="15" t="str">
        <f>IFERROR(__xludf.DUMMYFUNCTION("""COMPUTED_VALUE"""),"Pieve Santa Restituta (Gaja), Brunello di Montalcino, Sugarille")</f>
        <v>Pieve Santa Restituta (Gaja), Brunello di Montalcino, Sugarille</v>
      </c>
      <c r="E2388" s="15">
        <f>IFERROR(__xludf.DUMMYFUNCTION("""COMPUTED_VALUE"""),2011.0)</f>
        <v>2011</v>
      </c>
      <c r="F2388" s="15">
        <f>IFERROR(__xludf.DUMMYFUNCTION("""COMPUTED_VALUE"""),750.0)</f>
        <v>750</v>
      </c>
      <c r="G2388" s="15">
        <f>IFERROR(__xludf.DUMMYFUNCTION("""COMPUTED_VALUE"""),6.0)</f>
        <v>6</v>
      </c>
      <c r="H2388" s="16">
        <f>IFERROR(__xludf.DUMMYFUNCTION("""COMPUTED_VALUE"""),1.0)</f>
        <v>1</v>
      </c>
      <c r="I2388" s="17">
        <f>IFERROR(__xludf.DUMMYFUNCTION("""COMPUTED_VALUE"""),688.0)</f>
        <v>688</v>
      </c>
      <c r="J2388" s="15" t="str">
        <f>IFERROR(__xludf.DUMMYFUNCTION("""COMPUTED_VALUE"""),"UK")</f>
        <v>UK</v>
      </c>
      <c r="L2388" s="18"/>
      <c r="M2388" s="19"/>
      <c r="N2388" s="19"/>
    </row>
    <row r="2389">
      <c r="A2389" s="14" t="str">
        <f>IFERROR(__xludf.DUMMYFUNCTION("""COMPUTED_VALUE"""),"122413520130600750")</f>
        <v>122413520130600750</v>
      </c>
      <c r="B2389" s="15" t="str">
        <f>IFERROR(__xludf.DUMMYFUNCTION("""COMPUTED_VALUE"""),"Italy")</f>
        <v>Italy</v>
      </c>
      <c r="C2389" s="15" t="str">
        <f>IFERROR(__xludf.DUMMYFUNCTION("""COMPUTED_VALUE"""),"tuscany")</f>
        <v>tuscany</v>
      </c>
      <c r="D2389" s="15" t="str">
        <f>IFERROR(__xludf.DUMMYFUNCTION("""COMPUTED_VALUE"""),"Pieve Santa Restituta (Gaja), Brunello di Montalcino, Sugarille")</f>
        <v>Pieve Santa Restituta (Gaja), Brunello di Montalcino, Sugarille</v>
      </c>
      <c r="E2389" s="15">
        <f>IFERROR(__xludf.DUMMYFUNCTION("""COMPUTED_VALUE"""),2013.0)</f>
        <v>2013</v>
      </c>
      <c r="F2389" s="15">
        <f>IFERROR(__xludf.DUMMYFUNCTION("""COMPUTED_VALUE"""),750.0)</f>
        <v>750</v>
      </c>
      <c r="G2389" s="15">
        <f>IFERROR(__xludf.DUMMYFUNCTION("""COMPUTED_VALUE"""),6.0)</f>
        <v>6</v>
      </c>
      <c r="H2389" s="16">
        <f>IFERROR(__xludf.DUMMYFUNCTION("""COMPUTED_VALUE"""),2.0)</f>
        <v>2</v>
      </c>
      <c r="I2389" s="17">
        <f>IFERROR(__xludf.DUMMYFUNCTION("""COMPUTED_VALUE"""),733.0)</f>
        <v>733</v>
      </c>
      <c r="J2389" s="15" t="str">
        <f>IFERROR(__xludf.DUMMYFUNCTION("""COMPUTED_VALUE"""),"UK")</f>
        <v>UK</v>
      </c>
      <c r="L2389" s="18"/>
      <c r="M2389" s="19"/>
      <c r="N2389" s="19"/>
    </row>
    <row r="2390">
      <c r="A2390" s="14" t="str">
        <f>IFERROR(__xludf.DUMMYFUNCTION("""COMPUTED_VALUE"""),"110307620080600750")</f>
        <v>110307620080600750</v>
      </c>
      <c r="B2390" s="15" t="str">
        <f>IFERROR(__xludf.DUMMYFUNCTION("""COMPUTED_VALUE"""),"Italy")</f>
        <v>Italy</v>
      </c>
      <c r="C2390" s="15" t="str">
        <f>IFERROR(__xludf.DUMMYFUNCTION("""COMPUTED_VALUE"""),"tuscany")</f>
        <v>tuscany</v>
      </c>
      <c r="D2390" s="15" t="str">
        <f>IFERROR(__xludf.DUMMYFUNCTION("""COMPUTED_VALUE"""),"Poggio di Sotto, Brunello di Montalcino")</f>
        <v>Poggio di Sotto, Brunello di Montalcino</v>
      </c>
      <c r="E2390" s="15">
        <f>IFERROR(__xludf.DUMMYFUNCTION("""COMPUTED_VALUE"""),2008.0)</f>
        <v>2008</v>
      </c>
      <c r="F2390" s="15">
        <f>IFERROR(__xludf.DUMMYFUNCTION("""COMPUTED_VALUE"""),750.0)</f>
        <v>750</v>
      </c>
      <c r="G2390" s="15">
        <f>IFERROR(__xludf.DUMMYFUNCTION("""COMPUTED_VALUE"""),6.0)</f>
        <v>6</v>
      </c>
      <c r="H2390" s="16">
        <f>IFERROR(__xludf.DUMMYFUNCTION("""COMPUTED_VALUE"""),1.0)</f>
        <v>1</v>
      </c>
      <c r="I2390" s="17">
        <f>IFERROR(__xludf.DUMMYFUNCTION("""COMPUTED_VALUE"""),1013.0)</f>
        <v>1013</v>
      </c>
      <c r="J2390" s="15" t="str">
        <f>IFERROR(__xludf.DUMMYFUNCTION("""COMPUTED_VALUE"""),"UK")</f>
        <v>UK</v>
      </c>
      <c r="L2390" s="18"/>
      <c r="M2390" s="19"/>
      <c r="N2390" s="19"/>
    </row>
    <row r="2391">
      <c r="A2391" s="14" t="str">
        <f>IFERROR(__xludf.DUMMYFUNCTION("""COMPUTED_VALUE"""),"110307620100600750")</f>
        <v>110307620100600750</v>
      </c>
      <c r="B2391" s="15" t="str">
        <f>IFERROR(__xludf.DUMMYFUNCTION("""COMPUTED_VALUE"""),"Italy")</f>
        <v>Italy</v>
      </c>
      <c r="C2391" s="15" t="str">
        <f>IFERROR(__xludf.DUMMYFUNCTION("""COMPUTED_VALUE"""),"tuscany")</f>
        <v>tuscany</v>
      </c>
      <c r="D2391" s="15" t="str">
        <f>IFERROR(__xludf.DUMMYFUNCTION("""COMPUTED_VALUE"""),"Poggio di Sotto, Brunello di Montalcino")</f>
        <v>Poggio di Sotto, Brunello di Montalcino</v>
      </c>
      <c r="E2391" s="15">
        <f>IFERROR(__xludf.DUMMYFUNCTION("""COMPUTED_VALUE"""),2010.0)</f>
        <v>2010</v>
      </c>
      <c r="F2391" s="15">
        <f>IFERROR(__xludf.DUMMYFUNCTION("""COMPUTED_VALUE"""),750.0)</f>
        <v>750</v>
      </c>
      <c r="G2391" s="15">
        <f>IFERROR(__xludf.DUMMYFUNCTION("""COMPUTED_VALUE"""),6.0)</f>
        <v>6</v>
      </c>
      <c r="H2391" s="16">
        <f>IFERROR(__xludf.DUMMYFUNCTION("""COMPUTED_VALUE"""),1.0)</f>
        <v>1</v>
      </c>
      <c r="I2391" s="17">
        <f>IFERROR(__xludf.DUMMYFUNCTION("""COMPUTED_VALUE"""),1422.0)</f>
        <v>1422</v>
      </c>
      <c r="J2391" s="15" t="str">
        <f>IFERROR(__xludf.DUMMYFUNCTION("""COMPUTED_VALUE"""),"UK")</f>
        <v>UK</v>
      </c>
      <c r="L2391" s="18"/>
      <c r="M2391" s="19"/>
      <c r="N2391" s="19"/>
    </row>
    <row r="2392">
      <c r="A2392" s="14" t="str">
        <f>IFERROR(__xludf.DUMMYFUNCTION("""COMPUTED_VALUE"""),"110307620110600750")</f>
        <v>110307620110600750</v>
      </c>
      <c r="B2392" s="15" t="str">
        <f>IFERROR(__xludf.DUMMYFUNCTION("""COMPUTED_VALUE"""),"Italy")</f>
        <v>Italy</v>
      </c>
      <c r="C2392" s="15" t="str">
        <f>IFERROR(__xludf.DUMMYFUNCTION("""COMPUTED_VALUE"""),"tuscany")</f>
        <v>tuscany</v>
      </c>
      <c r="D2392" s="15" t="str">
        <f>IFERROR(__xludf.DUMMYFUNCTION("""COMPUTED_VALUE"""),"Poggio di Sotto, Brunello di Montalcino")</f>
        <v>Poggio di Sotto, Brunello di Montalcino</v>
      </c>
      <c r="E2392" s="15">
        <f>IFERROR(__xludf.DUMMYFUNCTION("""COMPUTED_VALUE"""),2011.0)</f>
        <v>2011</v>
      </c>
      <c r="F2392" s="15">
        <f>IFERROR(__xludf.DUMMYFUNCTION("""COMPUTED_VALUE"""),750.0)</f>
        <v>750</v>
      </c>
      <c r="G2392" s="15">
        <f>IFERROR(__xludf.DUMMYFUNCTION("""COMPUTED_VALUE"""),6.0)</f>
        <v>6</v>
      </c>
      <c r="H2392" s="16">
        <f>IFERROR(__xludf.DUMMYFUNCTION("""COMPUTED_VALUE"""),1.0)</f>
        <v>1</v>
      </c>
      <c r="I2392" s="17">
        <f>IFERROR(__xludf.DUMMYFUNCTION("""COMPUTED_VALUE"""),740.0)</f>
        <v>740</v>
      </c>
      <c r="J2392" s="15" t="str">
        <f>IFERROR(__xludf.DUMMYFUNCTION("""COMPUTED_VALUE"""),"UK")</f>
        <v>UK</v>
      </c>
      <c r="L2392" s="18"/>
      <c r="M2392" s="19"/>
      <c r="N2392" s="19"/>
    </row>
    <row r="2393">
      <c r="A2393" s="14" t="str">
        <f>IFERROR(__xludf.DUMMYFUNCTION("""COMPUTED_VALUE"""),"110307620120600750")</f>
        <v>110307620120600750</v>
      </c>
      <c r="B2393" s="15" t="str">
        <f>IFERROR(__xludf.DUMMYFUNCTION("""COMPUTED_VALUE"""),"Italy")</f>
        <v>Italy</v>
      </c>
      <c r="C2393" s="15" t="str">
        <f>IFERROR(__xludf.DUMMYFUNCTION("""COMPUTED_VALUE"""),"tuscany")</f>
        <v>tuscany</v>
      </c>
      <c r="D2393" s="15" t="str">
        <f>IFERROR(__xludf.DUMMYFUNCTION("""COMPUTED_VALUE"""),"Poggio di Sotto, Brunello di Montalcino")</f>
        <v>Poggio di Sotto, Brunello di Montalcino</v>
      </c>
      <c r="E2393" s="15">
        <f>IFERROR(__xludf.DUMMYFUNCTION("""COMPUTED_VALUE"""),2012.0)</f>
        <v>2012</v>
      </c>
      <c r="F2393" s="15">
        <f>IFERROR(__xludf.DUMMYFUNCTION("""COMPUTED_VALUE"""),750.0)</f>
        <v>750</v>
      </c>
      <c r="G2393" s="15">
        <f>IFERROR(__xludf.DUMMYFUNCTION("""COMPUTED_VALUE"""),6.0)</f>
        <v>6</v>
      </c>
      <c r="H2393" s="16">
        <f>IFERROR(__xludf.DUMMYFUNCTION("""COMPUTED_VALUE"""),1.0)</f>
        <v>1</v>
      </c>
      <c r="I2393" s="17">
        <f>IFERROR(__xludf.DUMMYFUNCTION("""COMPUTED_VALUE"""),989.0)</f>
        <v>989</v>
      </c>
      <c r="J2393" s="15" t="str">
        <f>IFERROR(__xludf.DUMMYFUNCTION("""COMPUTED_VALUE"""),"UK")</f>
        <v>UK</v>
      </c>
      <c r="L2393" s="18"/>
      <c r="M2393" s="19"/>
      <c r="N2393" s="19"/>
    </row>
    <row r="2394">
      <c r="A2394" s="14" t="str">
        <f>IFERROR(__xludf.DUMMYFUNCTION("""COMPUTED_VALUE"""),"110307620130101500")</f>
        <v>110307620130101500</v>
      </c>
      <c r="B2394" s="15" t="str">
        <f>IFERROR(__xludf.DUMMYFUNCTION("""COMPUTED_VALUE"""),"Italy")</f>
        <v>Italy</v>
      </c>
      <c r="C2394" s="15" t="str">
        <f>IFERROR(__xludf.DUMMYFUNCTION("""COMPUTED_VALUE"""),"tuscany")</f>
        <v>tuscany</v>
      </c>
      <c r="D2394" s="15" t="str">
        <f>IFERROR(__xludf.DUMMYFUNCTION("""COMPUTED_VALUE"""),"Poggio di Sotto, Brunello di Montalcino")</f>
        <v>Poggio di Sotto, Brunello di Montalcino</v>
      </c>
      <c r="E2394" s="15">
        <f>IFERROR(__xludf.DUMMYFUNCTION("""COMPUTED_VALUE"""),2013.0)</f>
        <v>2013</v>
      </c>
      <c r="F2394" s="15">
        <f>IFERROR(__xludf.DUMMYFUNCTION("""COMPUTED_VALUE"""),1500.0)</f>
        <v>1500</v>
      </c>
      <c r="G2394" s="15">
        <f>IFERROR(__xludf.DUMMYFUNCTION("""COMPUTED_VALUE"""),1.0)</f>
        <v>1</v>
      </c>
      <c r="H2394" s="16">
        <f>IFERROR(__xludf.DUMMYFUNCTION("""COMPUTED_VALUE"""),2.0)</f>
        <v>2</v>
      </c>
      <c r="I2394" s="17">
        <f>IFERROR(__xludf.DUMMYFUNCTION("""COMPUTED_VALUE"""),418.0)</f>
        <v>418</v>
      </c>
      <c r="J2394" s="15" t="str">
        <f>IFERROR(__xludf.DUMMYFUNCTION("""COMPUTED_VALUE"""),"UK")</f>
        <v>UK</v>
      </c>
      <c r="L2394" s="18"/>
      <c r="M2394" s="19"/>
      <c r="N2394" s="19"/>
    </row>
    <row r="2395">
      <c r="A2395" s="14" t="str">
        <f>IFERROR(__xludf.DUMMYFUNCTION("""COMPUTED_VALUE"""),"117525120130600750")</f>
        <v>117525120130600750</v>
      </c>
      <c r="B2395" s="15" t="str">
        <f>IFERROR(__xludf.DUMMYFUNCTION("""COMPUTED_VALUE"""),"Italy")</f>
        <v>Italy</v>
      </c>
      <c r="C2395" s="15" t="str">
        <f>IFERROR(__xludf.DUMMYFUNCTION("""COMPUTED_VALUE"""),"tuscany")</f>
        <v>tuscany</v>
      </c>
      <c r="D2395" s="15" t="str">
        <f>IFERROR(__xludf.DUMMYFUNCTION("""COMPUTED_VALUE"""),"Poggio di Sotto, Brunello di Montalcino, Riserva")</f>
        <v>Poggio di Sotto, Brunello di Montalcino, Riserva</v>
      </c>
      <c r="E2395" s="15">
        <f>IFERROR(__xludf.DUMMYFUNCTION("""COMPUTED_VALUE"""),2013.0)</f>
        <v>2013</v>
      </c>
      <c r="F2395" s="15">
        <f>IFERROR(__xludf.DUMMYFUNCTION("""COMPUTED_VALUE"""),750.0)</f>
        <v>750</v>
      </c>
      <c r="G2395" s="15">
        <f>IFERROR(__xludf.DUMMYFUNCTION("""COMPUTED_VALUE"""),6.0)</f>
        <v>6</v>
      </c>
      <c r="H2395" s="16">
        <f>IFERROR(__xludf.DUMMYFUNCTION("""COMPUTED_VALUE"""),5.0)</f>
        <v>5</v>
      </c>
      <c r="I2395" s="17">
        <f>IFERROR(__xludf.DUMMYFUNCTION("""COMPUTED_VALUE"""),2412.0)</f>
        <v>2412</v>
      </c>
      <c r="J2395" s="15" t="str">
        <f>IFERROR(__xludf.DUMMYFUNCTION("""COMPUTED_VALUE"""),"UK")</f>
        <v>UK</v>
      </c>
      <c r="L2395" s="18"/>
      <c r="M2395" s="19"/>
      <c r="N2395" s="19"/>
    </row>
    <row r="2396">
      <c r="A2396" s="14" t="str">
        <f>IFERROR(__xludf.DUMMYFUNCTION("""COMPUTED_VALUE"""),"110309220170600750")</f>
        <v>110309220170600750</v>
      </c>
      <c r="B2396" s="15" t="str">
        <f>IFERROR(__xludf.DUMMYFUNCTION("""COMPUTED_VALUE"""),"Italy")</f>
        <v>Italy</v>
      </c>
      <c r="C2396" s="15" t="str">
        <f>IFERROR(__xludf.DUMMYFUNCTION("""COMPUTED_VALUE"""),"tuscany")</f>
        <v>tuscany</v>
      </c>
      <c r="D2396" s="15" t="str">
        <f>IFERROR(__xludf.DUMMYFUNCTION("""COMPUTED_VALUE"""),"Poggio di Sotto, Rosso di Montalcino")</f>
        <v>Poggio di Sotto, Rosso di Montalcino</v>
      </c>
      <c r="E2396" s="15">
        <f>IFERROR(__xludf.DUMMYFUNCTION("""COMPUTED_VALUE"""),2017.0)</f>
        <v>2017</v>
      </c>
      <c r="F2396" s="15">
        <f>IFERROR(__xludf.DUMMYFUNCTION("""COMPUTED_VALUE"""),750.0)</f>
        <v>750</v>
      </c>
      <c r="G2396" s="15">
        <f>IFERROR(__xludf.DUMMYFUNCTION("""COMPUTED_VALUE"""),6.0)</f>
        <v>6</v>
      </c>
      <c r="H2396" s="16">
        <f>IFERROR(__xludf.DUMMYFUNCTION("""COMPUTED_VALUE"""),2.0)</f>
        <v>2</v>
      </c>
      <c r="I2396" s="17">
        <f>IFERROR(__xludf.DUMMYFUNCTION("""COMPUTED_VALUE"""),240.0)</f>
        <v>240</v>
      </c>
      <c r="J2396" s="15" t="str">
        <f>IFERROR(__xludf.DUMMYFUNCTION("""COMPUTED_VALUE"""),"UK")</f>
        <v>UK</v>
      </c>
      <c r="L2396" s="18"/>
      <c r="M2396" s="19"/>
      <c r="N2396" s="19"/>
    </row>
    <row r="2397">
      <c r="A2397" s="14" t="str">
        <f>IFERROR(__xludf.DUMMYFUNCTION("""COMPUTED_VALUE"""),"113950720130600750")</f>
        <v>113950720130600750</v>
      </c>
      <c r="B2397" s="15" t="str">
        <f>IFERROR(__xludf.DUMMYFUNCTION("""COMPUTED_VALUE"""),"Italy")</f>
        <v>Italy</v>
      </c>
      <c r="C2397" s="15" t="str">
        <f>IFERROR(__xludf.DUMMYFUNCTION("""COMPUTED_VALUE"""),"tuscany")</f>
        <v>tuscany</v>
      </c>
      <c r="D2397" s="15" t="str">
        <f>IFERROR(__xludf.DUMMYFUNCTION("""COMPUTED_VALUE"""),"Querciabella, Palafreno, IGT")</f>
        <v>Querciabella, Palafreno, IGT</v>
      </c>
      <c r="E2397" s="15">
        <f>IFERROR(__xludf.DUMMYFUNCTION("""COMPUTED_VALUE"""),2013.0)</f>
        <v>2013</v>
      </c>
      <c r="F2397" s="15">
        <f>IFERROR(__xludf.DUMMYFUNCTION("""COMPUTED_VALUE"""),750.0)</f>
        <v>750</v>
      </c>
      <c r="G2397" s="15">
        <f>IFERROR(__xludf.DUMMYFUNCTION("""COMPUTED_VALUE"""),6.0)</f>
        <v>6</v>
      </c>
      <c r="H2397" s="16">
        <f>IFERROR(__xludf.DUMMYFUNCTION("""COMPUTED_VALUE"""),1.0)</f>
        <v>1</v>
      </c>
      <c r="I2397" s="17">
        <f>IFERROR(__xludf.DUMMYFUNCTION("""COMPUTED_VALUE"""),506.0)</f>
        <v>506</v>
      </c>
      <c r="J2397" s="15" t="str">
        <f>IFERROR(__xludf.DUMMYFUNCTION("""COMPUTED_VALUE"""),"UK")</f>
        <v>UK</v>
      </c>
      <c r="L2397" s="18"/>
      <c r="M2397" s="19"/>
      <c r="N2397" s="19"/>
    </row>
    <row r="2398">
      <c r="A2398" s="14" t="str">
        <f>IFERROR(__xludf.DUMMYFUNCTION("""COMPUTED_VALUE"""),"110388720150600750")</f>
        <v>110388720150600750</v>
      </c>
      <c r="B2398" s="15" t="str">
        <f>IFERROR(__xludf.DUMMYFUNCTION("""COMPUTED_VALUE"""),"Italy")</f>
        <v>Italy</v>
      </c>
      <c r="C2398" s="15" t="str">
        <f>IFERROR(__xludf.DUMMYFUNCTION("""COMPUTED_VALUE"""),"tuscany")</f>
        <v>tuscany</v>
      </c>
      <c r="D2398" s="15" t="str">
        <f>IFERROR(__xludf.DUMMYFUNCTION("""COMPUTED_VALUE"""),"Rampolla, Sammarco, IGT")</f>
        <v>Rampolla, Sammarco, IGT</v>
      </c>
      <c r="E2398" s="15">
        <f>IFERROR(__xludf.DUMMYFUNCTION("""COMPUTED_VALUE"""),2015.0)</f>
        <v>2015</v>
      </c>
      <c r="F2398" s="15">
        <f>IFERROR(__xludf.DUMMYFUNCTION("""COMPUTED_VALUE"""),750.0)</f>
        <v>750</v>
      </c>
      <c r="G2398" s="15">
        <f>IFERROR(__xludf.DUMMYFUNCTION("""COMPUTED_VALUE"""),6.0)</f>
        <v>6</v>
      </c>
      <c r="H2398" s="16">
        <f>IFERROR(__xludf.DUMMYFUNCTION("""COMPUTED_VALUE"""),1.0)</f>
        <v>1</v>
      </c>
      <c r="I2398" s="17">
        <f>IFERROR(__xludf.DUMMYFUNCTION("""COMPUTED_VALUE"""),308.0)</f>
        <v>308</v>
      </c>
      <c r="J2398" s="15" t="str">
        <f>IFERROR(__xludf.DUMMYFUNCTION("""COMPUTED_VALUE"""),"UK")</f>
        <v>UK</v>
      </c>
      <c r="L2398" s="18"/>
      <c r="M2398" s="19"/>
      <c r="N2398" s="19"/>
    </row>
    <row r="2399">
      <c r="A2399" s="14" t="str">
        <f>IFERROR(__xludf.DUMMYFUNCTION("""COMPUTED_VALUE"""),"110463720070600750")</f>
        <v>110463720070600750</v>
      </c>
      <c r="B2399" s="15" t="str">
        <f>IFERROR(__xludf.DUMMYFUNCTION("""COMPUTED_VALUE"""),"Italy")</f>
        <v>Italy</v>
      </c>
      <c r="C2399" s="15" t="str">
        <f>IFERROR(__xludf.DUMMYFUNCTION("""COMPUTED_VALUE"""),"tuscany")</f>
        <v>tuscany</v>
      </c>
      <c r="D2399" s="15" t="str">
        <f>IFERROR(__xludf.DUMMYFUNCTION("""COMPUTED_VALUE"""),"San Giusto a Rentennano, Toscana, Percarlo Sangiovese")</f>
        <v>San Giusto a Rentennano, Toscana, Percarlo Sangiovese</v>
      </c>
      <c r="E2399" s="15">
        <f>IFERROR(__xludf.DUMMYFUNCTION("""COMPUTED_VALUE"""),2007.0)</f>
        <v>2007</v>
      </c>
      <c r="F2399" s="15">
        <f>IFERROR(__xludf.DUMMYFUNCTION("""COMPUTED_VALUE"""),750.0)</f>
        <v>750</v>
      </c>
      <c r="G2399" s="15">
        <f>IFERROR(__xludf.DUMMYFUNCTION("""COMPUTED_VALUE"""),6.0)</f>
        <v>6</v>
      </c>
      <c r="H2399" s="16">
        <f>IFERROR(__xludf.DUMMYFUNCTION("""COMPUTED_VALUE"""),1.0)</f>
        <v>1</v>
      </c>
      <c r="I2399" s="17">
        <f>IFERROR(__xludf.DUMMYFUNCTION("""COMPUTED_VALUE"""),806.0)</f>
        <v>806</v>
      </c>
      <c r="J2399" s="15" t="str">
        <f>IFERROR(__xludf.DUMMYFUNCTION("""COMPUTED_VALUE"""),"UK")</f>
        <v>UK</v>
      </c>
      <c r="L2399" s="18"/>
      <c r="M2399" s="19"/>
      <c r="N2399" s="19"/>
    </row>
    <row r="2400">
      <c r="A2400" s="14" t="str">
        <f>IFERROR(__xludf.DUMMYFUNCTION("""COMPUTED_VALUE"""),"110463720150600750")</f>
        <v>110463720150600750</v>
      </c>
      <c r="B2400" s="15" t="str">
        <f>IFERROR(__xludf.DUMMYFUNCTION("""COMPUTED_VALUE"""),"Italy")</f>
        <v>Italy</v>
      </c>
      <c r="C2400" s="15" t="str">
        <f>IFERROR(__xludf.DUMMYFUNCTION("""COMPUTED_VALUE"""),"tuscany")</f>
        <v>tuscany</v>
      </c>
      <c r="D2400" s="15" t="str">
        <f>IFERROR(__xludf.DUMMYFUNCTION("""COMPUTED_VALUE"""),"San Giusto a Rentennano, Toscana, Percarlo Sangiovese")</f>
        <v>San Giusto a Rentennano, Toscana, Percarlo Sangiovese</v>
      </c>
      <c r="E2400" s="15">
        <f>IFERROR(__xludf.DUMMYFUNCTION("""COMPUTED_VALUE"""),2015.0)</f>
        <v>2015</v>
      </c>
      <c r="F2400" s="15">
        <f>IFERROR(__xludf.DUMMYFUNCTION("""COMPUTED_VALUE"""),750.0)</f>
        <v>750</v>
      </c>
      <c r="G2400" s="15">
        <f>IFERROR(__xludf.DUMMYFUNCTION("""COMPUTED_VALUE"""),6.0)</f>
        <v>6</v>
      </c>
      <c r="H2400" s="16">
        <f>IFERROR(__xludf.DUMMYFUNCTION("""COMPUTED_VALUE"""),2.0)</f>
        <v>2</v>
      </c>
      <c r="I2400" s="17">
        <f>IFERROR(__xludf.DUMMYFUNCTION("""COMPUTED_VALUE"""),515.0)</f>
        <v>515</v>
      </c>
      <c r="J2400" s="15" t="str">
        <f>IFERROR(__xludf.DUMMYFUNCTION("""COMPUTED_VALUE"""),"UK")</f>
        <v>UK</v>
      </c>
      <c r="L2400" s="18"/>
      <c r="M2400" s="19"/>
      <c r="N2400" s="19"/>
    </row>
    <row r="2401">
      <c r="A2401" s="14" t="str">
        <f>IFERROR(__xludf.DUMMYFUNCTION("""COMPUTED_VALUE"""),"110463720170600750")</f>
        <v>110463720170600750</v>
      </c>
      <c r="B2401" s="15" t="str">
        <f>IFERROR(__xludf.DUMMYFUNCTION("""COMPUTED_VALUE"""),"Italy")</f>
        <v>Italy</v>
      </c>
      <c r="C2401" s="15" t="str">
        <f>IFERROR(__xludf.DUMMYFUNCTION("""COMPUTED_VALUE"""),"tuscany")</f>
        <v>tuscany</v>
      </c>
      <c r="D2401" s="15" t="str">
        <f>IFERROR(__xludf.DUMMYFUNCTION("""COMPUTED_VALUE"""),"San Giusto a Rentennano, Toscana, Percarlo Sangiovese")</f>
        <v>San Giusto a Rentennano, Toscana, Percarlo Sangiovese</v>
      </c>
      <c r="E2401" s="15">
        <f>IFERROR(__xludf.DUMMYFUNCTION("""COMPUTED_VALUE"""),2017.0)</f>
        <v>2017</v>
      </c>
      <c r="F2401" s="15">
        <f>IFERROR(__xludf.DUMMYFUNCTION("""COMPUTED_VALUE"""),750.0)</f>
        <v>750</v>
      </c>
      <c r="G2401" s="15">
        <f>IFERROR(__xludf.DUMMYFUNCTION("""COMPUTED_VALUE"""),6.0)</f>
        <v>6</v>
      </c>
      <c r="H2401" s="16">
        <f>IFERROR(__xludf.DUMMYFUNCTION("""COMPUTED_VALUE"""),8.0)</f>
        <v>8</v>
      </c>
      <c r="I2401" s="17">
        <f>IFERROR(__xludf.DUMMYFUNCTION("""COMPUTED_VALUE"""),448.0)</f>
        <v>448</v>
      </c>
      <c r="J2401" s="15" t="str">
        <f>IFERROR(__xludf.DUMMYFUNCTION("""COMPUTED_VALUE"""),"UK")</f>
        <v>UK</v>
      </c>
      <c r="L2401" s="18"/>
      <c r="M2401" s="19"/>
      <c r="N2401" s="19"/>
    </row>
    <row r="2402">
      <c r="A2402" s="14" t="str">
        <f>IFERROR(__xludf.DUMMYFUNCTION("""COMPUTED_VALUE"""),"110203720041200750")</f>
        <v>110203720041200750</v>
      </c>
      <c r="B2402" s="15" t="str">
        <f>IFERROR(__xludf.DUMMYFUNCTION("""COMPUTED_VALUE"""),"Italy")</f>
        <v>Italy</v>
      </c>
      <c r="C2402" s="15" t="str">
        <f>IFERROR(__xludf.DUMMYFUNCTION("""COMPUTED_VALUE"""),"tuscany")</f>
        <v>tuscany</v>
      </c>
      <c r="D2402" s="15" t="str">
        <f>IFERROR(__xludf.DUMMYFUNCTION("""COMPUTED_VALUE"""),"Sassicaia, Tenuta San Guido, Bolgheri")</f>
        <v>Sassicaia, Tenuta San Guido, Bolgheri</v>
      </c>
      <c r="E2402" s="15">
        <f>IFERROR(__xludf.DUMMYFUNCTION("""COMPUTED_VALUE"""),2004.0)</f>
        <v>2004</v>
      </c>
      <c r="F2402" s="15">
        <f>IFERROR(__xludf.DUMMYFUNCTION("""COMPUTED_VALUE"""),750.0)</f>
        <v>750</v>
      </c>
      <c r="G2402" s="15">
        <f>IFERROR(__xludf.DUMMYFUNCTION("""COMPUTED_VALUE"""),12.0)</f>
        <v>12</v>
      </c>
      <c r="H2402" s="16">
        <f>IFERROR(__xludf.DUMMYFUNCTION("""COMPUTED_VALUE"""),1.0)</f>
        <v>1</v>
      </c>
      <c r="I2402" s="17">
        <f>IFERROR(__xludf.DUMMYFUNCTION("""COMPUTED_VALUE"""),3858.0)</f>
        <v>3858</v>
      </c>
      <c r="J2402" s="15" t="str">
        <f>IFERROR(__xludf.DUMMYFUNCTION("""COMPUTED_VALUE"""),"UK")</f>
        <v>UK</v>
      </c>
      <c r="L2402" s="18"/>
      <c r="M2402" s="19"/>
      <c r="N2402" s="19"/>
    </row>
    <row r="2403">
      <c r="A2403" s="14" t="str">
        <f>IFERROR(__xludf.DUMMYFUNCTION("""COMPUTED_VALUE"""),"110203720100101500")</f>
        <v>110203720100101500</v>
      </c>
      <c r="B2403" s="15" t="str">
        <f>IFERROR(__xludf.DUMMYFUNCTION("""COMPUTED_VALUE"""),"Italy")</f>
        <v>Italy</v>
      </c>
      <c r="C2403" s="15" t="str">
        <f>IFERROR(__xludf.DUMMYFUNCTION("""COMPUTED_VALUE"""),"tuscany")</f>
        <v>tuscany</v>
      </c>
      <c r="D2403" s="15" t="str">
        <f>IFERROR(__xludf.DUMMYFUNCTION("""COMPUTED_VALUE"""),"Sassicaia, Tenuta San Guido, Bolgheri")</f>
        <v>Sassicaia, Tenuta San Guido, Bolgheri</v>
      </c>
      <c r="E2403" s="15">
        <f>IFERROR(__xludf.DUMMYFUNCTION("""COMPUTED_VALUE"""),2010.0)</f>
        <v>2010</v>
      </c>
      <c r="F2403" s="15">
        <f>IFERROR(__xludf.DUMMYFUNCTION("""COMPUTED_VALUE"""),1500.0)</f>
        <v>1500</v>
      </c>
      <c r="G2403" s="15">
        <f>IFERROR(__xludf.DUMMYFUNCTION("""COMPUTED_VALUE"""),1.0)</f>
        <v>1</v>
      </c>
      <c r="H2403" s="16">
        <f>IFERROR(__xludf.DUMMYFUNCTION("""COMPUTED_VALUE"""),1.0)</f>
        <v>1</v>
      </c>
      <c r="I2403" s="17">
        <f>IFERROR(__xludf.DUMMYFUNCTION("""COMPUTED_VALUE"""),524.0)</f>
        <v>524</v>
      </c>
      <c r="J2403" s="15" t="str">
        <f>IFERROR(__xludf.DUMMYFUNCTION("""COMPUTED_VALUE"""),"UK")</f>
        <v>UK</v>
      </c>
      <c r="L2403" s="18"/>
      <c r="M2403" s="19"/>
      <c r="N2403" s="19"/>
    </row>
    <row r="2404">
      <c r="A2404" s="14" t="str">
        <f>IFERROR(__xludf.DUMMYFUNCTION("""COMPUTED_VALUE"""),"110203720140600750")</f>
        <v>110203720140600750</v>
      </c>
      <c r="B2404" s="15" t="str">
        <f>IFERROR(__xludf.DUMMYFUNCTION("""COMPUTED_VALUE"""),"Italy")</f>
        <v>Italy</v>
      </c>
      <c r="C2404" s="15" t="str">
        <f>IFERROR(__xludf.DUMMYFUNCTION("""COMPUTED_VALUE"""),"tuscany")</f>
        <v>tuscany</v>
      </c>
      <c r="D2404" s="15" t="str">
        <f>IFERROR(__xludf.DUMMYFUNCTION("""COMPUTED_VALUE"""),"Sassicaia, Tenuta San Guido, Bolgheri")</f>
        <v>Sassicaia, Tenuta San Guido, Bolgheri</v>
      </c>
      <c r="E2404" s="15">
        <f>IFERROR(__xludf.DUMMYFUNCTION("""COMPUTED_VALUE"""),2014.0)</f>
        <v>2014</v>
      </c>
      <c r="F2404" s="15">
        <f>IFERROR(__xludf.DUMMYFUNCTION("""COMPUTED_VALUE"""),750.0)</f>
        <v>750</v>
      </c>
      <c r="G2404" s="15">
        <f>IFERROR(__xludf.DUMMYFUNCTION("""COMPUTED_VALUE"""),6.0)</f>
        <v>6</v>
      </c>
      <c r="H2404" s="16">
        <f>IFERROR(__xludf.DUMMYFUNCTION("""COMPUTED_VALUE"""),1.0)</f>
        <v>1</v>
      </c>
      <c r="I2404" s="17">
        <f>IFERROR(__xludf.DUMMYFUNCTION("""COMPUTED_VALUE"""),1220.0)</f>
        <v>1220</v>
      </c>
      <c r="J2404" s="15" t="str">
        <f>IFERROR(__xludf.DUMMYFUNCTION("""COMPUTED_VALUE"""),"UK")</f>
        <v>UK</v>
      </c>
      <c r="L2404" s="18"/>
      <c r="M2404" s="19"/>
      <c r="N2404" s="19"/>
    </row>
    <row r="2405">
      <c r="A2405" s="14" t="str">
        <f>IFERROR(__xludf.DUMMYFUNCTION("""COMPUTED_VALUE"""),"110203720160600750")</f>
        <v>110203720160600750</v>
      </c>
      <c r="B2405" s="15" t="str">
        <f>IFERROR(__xludf.DUMMYFUNCTION("""COMPUTED_VALUE"""),"Italy")</f>
        <v>Italy</v>
      </c>
      <c r="C2405" s="15" t="str">
        <f>IFERROR(__xludf.DUMMYFUNCTION("""COMPUTED_VALUE"""),"tuscany")</f>
        <v>tuscany</v>
      </c>
      <c r="D2405" s="15" t="str">
        <f>IFERROR(__xludf.DUMMYFUNCTION("""COMPUTED_VALUE"""),"Sassicaia, Tenuta San Guido, Bolgheri")</f>
        <v>Sassicaia, Tenuta San Guido, Bolgheri</v>
      </c>
      <c r="E2405" s="15">
        <f>IFERROR(__xludf.DUMMYFUNCTION("""COMPUTED_VALUE"""),2016.0)</f>
        <v>2016</v>
      </c>
      <c r="F2405" s="15">
        <f>IFERROR(__xludf.DUMMYFUNCTION("""COMPUTED_VALUE"""),750.0)</f>
        <v>750</v>
      </c>
      <c r="G2405" s="15">
        <f>IFERROR(__xludf.DUMMYFUNCTION("""COMPUTED_VALUE"""),6.0)</f>
        <v>6</v>
      </c>
      <c r="H2405" s="16">
        <f>IFERROR(__xludf.DUMMYFUNCTION("""COMPUTED_VALUE"""),4.0)</f>
        <v>4</v>
      </c>
      <c r="I2405" s="17">
        <f>IFERROR(__xludf.DUMMYFUNCTION("""COMPUTED_VALUE"""),2071.0)</f>
        <v>2071</v>
      </c>
      <c r="J2405" s="15" t="str">
        <f>IFERROR(__xludf.DUMMYFUNCTION("""COMPUTED_VALUE"""),"UK")</f>
        <v>UK</v>
      </c>
      <c r="L2405" s="18"/>
      <c r="M2405" s="19"/>
      <c r="N2405" s="19"/>
    </row>
    <row r="2406">
      <c r="A2406" s="14" t="str">
        <f>IFERROR(__xludf.DUMMYFUNCTION("""COMPUTED_VALUE"""),"110203720170600750")</f>
        <v>110203720170600750</v>
      </c>
      <c r="B2406" s="15" t="str">
        <f>IFERROR(__xludf.DUMMYFUNCTION("""COMPUTED_VALUE"""),"Italy")</f>
        <v>Italy</v>
      </c>
      <c r="C2406" s="15" t="str">
        <f>IFERROR(__xludf.DUMMYFUNCTION("""COMPUTED_VALUE"""),"tuscany")</f>
        <v>tuscany</v>
      </c>
      <c r="D2406" s="15" t="str">
        <f>IFERROR(__xludf.DUMMYFUNCTION("""COMPUTED_VALUE"""),"Sassicaia, Tenuta San Guido, Bolgheri")</f>
        <v>Sassicaia, Tenuta San Guido, Bolgheri</v>
      </c>
      <c r="E2406" s="15">
        <f>IFERROR(__xludf.DUMMYFUNCTION("""COMPUTED_VALUE"""),2017.0)</f>
        <v>2017</v>
      </c>
      <c r="F2406" s="15">
        <f>IFERROR(__xludf.DUMMYFUNCTION("""COMPUTED_VALUE"""),750.0)</f>
        <v>750</v>
      </c>
      <c r="G2406" s="15">
        <f>IFERROR(__xludf.DUMMYFUNCTION("""COMPUTED_VALUE"""),6.0)</f>
        <v>6</v>
      </c>
      <c r="H2406" s="16">
        <f>IFERROR(__xludf.DUMMYFUNCTION("""COMPUTED_VALUE"""),2.0)</f>
        <v>2</v>
      </c>
      <c r="I2406" s="17">
        <f>IFERROR(__xludf.DUMMYFUNCTION("""COMPUTED_VALUE"""),1170.0)</f>
        <v>1170</v>
      </c>
      <c r="J2406" s="15" t="str">
        <f>IFERROR(__xludf.DUMMYFUNCTION("""COMPUTED_VALUE"""),"UK")</f>
        <v>UK</v>
      </c>
      <c r="L2406" s="18"/>
      <c r="M2406" s="19"/>
      <c r="N2406" s="19"/>
    </row>
    <row r="2407">
      <c r="A2407" s="14" t="str">
        <f>IFERROR(__xludf.DUMMYFUNCTION("""COMPUTED_VALUE"""),"110203720171200750")</f>
        <v>110203720171200750</v>
      </c>
      <c r="B2407" s="15" t="str">
        <f>IFERROR(__xludf.DUMMYFUNCTION("""COMPUTED_VALUE"""),"Italy")</f>
        <v>Italy</v>
      </c>
      <c r="C2407" s="15" t="str">
        <f>IFERROR(__xludf.DUMMYFUNCTION("""COMPUTED_VALUE"""),"tuscany")</f>
        <v>tuscany</v>
      </c>
      <c r="D2407" s="15" t="str">
        <f>IFERROR(__xludf.DUMMYFUNCTION("""COMPUTED_VALUE"""),"Sassicaia, Tenuta San Guido, Bolgheri")</f>
        <v>Sassicaia, Tenuta San Guido, Bolgheri</v>
      </c>
      <c r="E2407" s="15">
        <f>IFERROR(__xludf.DUMMYFUNCTION("""COMPUTED_VALUE"""),2017.0)</f>
        <v>2017</v>
      </c>
      <c r="F2407" s="15">
        <f>IFERROR(__xludf.DUMMYFUNCTION("""COMPUTED_VALUE"""),750.0)</f>
        <v>750</v>
      </c>
      <c r="G2407" s="15">
        <f>IFERROR(__xludf.DUMMYFUNCTION("""COMPUTED_VALUE"""),12.0)</f>
        <v>12</v>
      </c>
      <c r="H2407" s="16">
        <f>IFERROR(__xludf.DUMMYFUNCTION("""COMPUTED_VALUE"""),5.0)</f>
        <v>5</v>
      </c>
      <c r="I2407" s="17">
        <f>IFERROR(__xludf.DUMMYFUNCTION("""COMPUTED_VALUE"""),2340.0)</f>
        <v>2340</v>
      </c>
      <c r="J2407" s="15" t="str">
        <f>IFERROR(__xludf.DUMMYFUNCTION("""COMPUTED_VALUE"""),"UK")</f>
        <v>UK</v>
      </c>
      <c r="L2407" s="18"/>
      <c r="M2407" s="19"/>
      <c r="N2407" s="19"/>
    </row>
    <row r="2408">
      <c r="A2408" s="14" t="str">
        <f>IFERROR(__xludf.DUMMYFUNCTION("""COMPUTED_VALUE"""),"110203720180600750")</f>
        <v>110203720180600750</v>
      </c>
      <c r="B2408" s="15" t="str">
        <f>IFERROR(__xludf.DUMMYFUNCTION("""COMPUTED_VALUE"""),"Italy")</f>
        <v>Italy</v>
      </c>
      <c r="C2408" s="15" t="str">
        <f>IFERROR(__xludf.DUMMYFUNCTION("""COMPUTED_VALUE"""),"tuscany")</f>
        <v>tuscany</v>
      </c>
      <c r="D2408" s="15" t="str">
        <f>IFERROR(__xludf.DUMMYFUNCTION("""COMPUTED_VALUE"""),"Sassicaia, Tenuta San Guido, Bolgheri")</f>
        <v>Sassicaia, Tenuta San Guido, Bolgheri</v>
      </c>
      <c r="E2408" s="15">
        <f>IFERROR(__xludf.DUMMYFUNCTION("""COMPUTED_VALUE"""),2018.0)</f>
        <v>2018</v>
      </c>
      <c r="F2408" s="15">
        <f>IFERROR(__xludf.DUMMYFUNCTION("""COMPUTED_VALUE"""),750.0)</f>
        <v>750</v>
      </c>
      <c r="G2408" s="15">
        <f>IFERROR(__xludf.DUMMYFUNCTION("""COMPUTED_VALUE"""),6.0)</f>
        <v>6</v>
      </c>
      <c r="H2408" s="16">
        <f>IFERROR(__xludf.DUMMYFUNCTION("""COMPUTED_VALUE"""),12.0)</f>
        <v>12</v>
      </c>
      <c r="I2408" s="17">
        <f>IFERROR(__xludf.DUMMYFUNCTION("""COMPUTED_VALUE"""),1237.0)</f>
        <v>1237</v>
      </c>
      <c r="J2408" s="15" t="str">
        <f>IFERROR(__xludf.DUMMYFUNCTION("""COMPUTED_VALUE"""),"UK")</f>
        <v>UK</v>
      </c>
      <c r="L2408" s="18"/>
      <c r="M2408" s="19"/>
      <c r="N2408" s="19"/>
    </row>
    <row r="2409">
      <c r="A2409" s="14" t="str">
        <f>IFERROR(__xludf.DUMMYFUNCTION("""COMPUTED_VALUE"""),"110203720200600750")</f>
        <v>110203720200600750</v>
      </c>
      <c r="B2409" s="15" t="str">
        <f>IFERROR(__xludf.DUMMYFUNCTION("""COMPUTED_VALUE"""),"Italy")</f>
        <v>Italy</v>
      </c>
      <c r="C2409" s="15" t="str">
        <f>IFERROR(__xludf.DUMMYFUNCTION("""COMPUTED_VALUE"""),"tuscany")</f>
        <v>tuscany</v>
      </c>
      <c r="D2409" s="15" t="str">
        <f>IFERROR(__xludf.DUMMYFUNCTION("""COMPUTED_VALUE"""),"Sassicaia, Tenuta San Guido, Bolgheri")</f>
        <v>Sassicaia, Tenuta San Guido, Bolgheri</v>
      </c>
      <c r="E2409" s="15">
        <f>IFERROR(__xludf.DUMMYFUNCTION("""COMPUTED_VALUE"""),2020.0)</f>
        <v>2020</v>
      </c>
      <c r="F2409" s="15">
        <f>IFERROR(__xludf.DUMMYFUNCTION("""COMPUTED_VALUE"""),750.0)</f>
        <v>750</v>
      </c>
      <c r="G2409" s="15">
        <f>IFERROR(__xludf.DUMMYFUNCTION("""COMPUTED_VALUE"""),6.0)</f>
        <v>6</v>
      </c>
      <c r="H2409" s="16">
        <f>IFERROR(__xludf.DUMMYFUNCTION("""COMPUTED_VALUE"""),1.0)</f>
        <v>1</v>
      </c>
      <c r="I2409" s="17">
        <f>IFERROR(__xludf.DUMMYFUNCTION("""COMPUTED_VALUE"""),1243.0)</f>
        <v>1243</v>
      </c>
      <c r="J2409" s="15" t="str">
        <f>IFERROR(__xludf.DUMMYFUNCTION("""COMPUTED_VALUE"""),"UK")</f>
        <v>UK</v>
      </c>
      <c r="L2409" s="18"/>
      <c r="M2409" s="19"/>
      <c r="N2409" s="19"/>
    </row>
    <row r="2410">
      <c r="A2410" s="14" t="str">
        <f>IFERROR(__xludf.DUMMYFUNCTION("""COMPUTED_VALUE"""),"110536020100600750")</f>
        <v>110536020100600750</v>
      </c>
      <c r="B2410" s="15" t="str">
        <f>IFERROR(__xludf.DUMMYFUNCTION("""COMPUTED_VALUE"""),"Italy")</f>
        <v>Italy</v>
      </c>
      <c r="C2410" s="15" t="str">
        <f>IFERROR(__xludf.DUMMYFUNCTION("""COMPUTED_VALUE"""),"tuscany")</f>
        <v>tuscany</v>
      </c>
      <c r="D2410" s="15" t="str">
        <f>IFERROR(__xludf.DUMMYFUNCTION("""COMPUTED_VALUE"""),"Siro Pacenti, Brunello di Montalcino, PS")</f>
        <v>Siro Pacenti, Brunello di Montalcino, PS</v>
      </c>
      <c r="E2410" s="15">
        <f>IFERROR(__xludf.DUMMYFUNCTION("""COMPUTED_VALUE"""),2010.0)</f>
        <v>2010</v>
      </c>
      <c r="F2410" s="15">
        <f>IFERROR(__xludf.DUMMYFUNCTION("""COMPUTED_VALUE"""),750.0)</f>
        <v>750</v>
      </c>
      <c r="G2410" s="15">
        <f>IFERROR(__xludf.DUMMYFUNCTION("""COMPUTED_VALUE"""),6.0)</f>
        <v>6</v>
      </c>
      <c r="H2410" s="16">
        <f>IFERROR(__xludf.DUMMYFUNCTION("""COMPUTED_VALUE"""),1.0)</f>
        <v>1</v>
      </c>
      <c r="I2410" s="17">
        <f>IFERROR(__xludf.DUMMYFUNCTION("""COMPUTED_VALUE"""),514.0)</f>
        <v>514</v>
      </c>
      <c r="J2410" s="15" t="str">
        <f>IFERROR(__xludf.DUMMYFUNCTION("""COMPUTED_VALUE"""),"UK")</f>
        <v>UK</v>
      </c>
      <c r="L2410" s="18"/>
      <c r="M2410" s="19"/>
      <c r="N2410" s="19"/>
    </row>
    <row r="2411">
      <c r="A2411" s="14" t="str">
        <f>IFERROR(__xludf.DUMMYFUNCTION("""COMPUTED_VALUE"""),"123731720120600750")</f>
        <v>123731720120600750</v>
      </c>
      <c r="B2411" s="15" t="str">
        <f>IFERROR(__xludf.DUMMYFUNCTION("""COMPUTED_VALUE"""),"Italy")</f>
        <v>Italy</v>
      </c>
      <c r="C2411" s="15" t="str">
        <f>IFERROR(__xludf.DUMMYFUNCTION("""COMPUTED_VALUE"""),"tuscany")</f>
        <v>tuscany</v>
      </c>
      <c r="D2411" s="15" t="str">
        <f>IFERROR(__xludf.DUMMYFUNCTION("""COMPUTED_VALUE"""),"Siro Pacenti, Brunello di Montalcino, PS Riserva")</f>
        <v>Siro Pacenti, Brunello di Montalcino, PS Riserva</v>
      </c>
      <c r="E2411" s="15">
        <f>IFERROR(__xludf.DUMMYFUNCTION("""COMPUTED_VALUE"""),2012.0)</f>
        <v>2012</v>
      </c>
      <c r="F2411" s="15">
        <f>IFERROR(__xludf.DUMMYFUNCTION("""COMPUTED_VALUE"""),750.0)</f>
        <v>750</v>
      </c>
      <c r="G2411" s="15">
        <f>IFERROR(__xludf.DUMMYFUNCTION("""COMPUTED_VALUE"""),6.0)</f>
        <v>6</v>
      </c>
      <c r="H2411" s="16">
        <f>IFERROR(__xludf.DUMMYFUNCTION("""COMPUTED_VALUE"""),1.0)</f>
        <v>1</v>
      </c>
      <c r="I2411" s="17">
        <f>IFERROR(__xludf.DUMMYFUNCTION("""COMPUTED_VALUE"""),705.0)</f>
        <v>705</v>
      </c>
      <c r="J2411" s="15" t="str">
        <f>IFERROR(__xludf.DUMMYFUNCTION("""COMPUTED_VALUE"""),"UK")</f>
        <v>UK</v>
      </c>
      <c r="L2411" s="18"/>
      <c r="M2411" s="19"/>
      <c r="N2411" s="19"/>
    </row>
    <row r="2412">
      <c r="A2412" s="14" t="str">
        <f>IFERROR(__xludf.DUMMYFUNCTION("""COMPUTED_VALUE"""),"137265020160600750")</f>
        <v>137265020160600750</v>
      </c>
      <c r="B2412" s="15" t="str">
        <f>IFERROR(__xludf.DUMMYFUNCTION("""COMPUTED_VALUE"""),"Italy")</f>
        <v>Italy</v>
      </c>
      <c r="C2412" s="15" t="str">
        <f>IFERROR(__xludf.DUMMYFUNCTION("""COMPUTED_VALUE"""),"tuscany")</f>
        <v>tuscany</v>
      </c>
      <c r="D2412" s="15" t="str">
        <f>IFERROR(__xludf.DUMMYFUNCTION("""COMPUTED_VALUE"""),"Siro Pacenti, Brunello di Montalcino, PS Vecchie Vigne")</f>
        <v>Siro Pacenti, Brunello di Montalcino, PS Vecchie Vigne</v>
      </c>
      <c r="E2412" s="15">
        <f>IFERROR(__xludf.DUMMYFUNCTION("""COMPUTED_VALUE"""),2016.0)</f>
        <v>2016</v>
      </c>
      <c r="F2412" s="15">
        <f>IFERROR(__xludf.DUMMYFUNCTION("""COMPUTED_VALUE"""),750.0)</f>
        <v>750</v>
      </c>
      <c r="G2412" s="15">
        <f>IFERROR(__xludf.DUMMYFUNCTION("""COMPUTED_VALUE"""),6.0)</f>
        <v>6</v>
      </c>
      <c r="H2412" s="16">
        <f>IFERROR(__xludf.DUMMYFUNCTION("""COMPUTED_VALUE"""),10.0)</f>
        <v>10</v>
      </c>
      <c r="I2412" s="17">
        <f>IFERROR(__xludf.DUMMYFUNCTION("""COMPUTED_VALUE"""),406.0)</f>
        <v>406</v>
      </c>
      <c r="J2412" s="15" t="str">
        <f>IFERROR(__xludf.DUMMYFUNCTION("""COMPUTED_VALUE"""),"UK")</f>
        <v>UK</v>
      </c>
      <c r="L2412" s="18"/>
      <c r="M2412" s="19"/>
      <c r="N2412" s="19"/>
    </row>
    <row r="2413">
      <c r="A2413" s="14" t="str">
        <f>IFERROR(__xludf.DUMMYFUNCTION("""COMPUTED_VALUE"""),"138195120060600750")</f>
        <v>138195120060600750</v>
      </c>
      <c r="B2413" s="15" t="str">
        <f>IFERROR(__xludf.DUMMYFUNCTION("""COMPUTED_VALUE"""),"Italy")</f>
        <v>Italy</v>
      </c>
      <c r="C2413" s="15" t="str">
        <f>IFERROR(__xludf.DUMMYFUNCTION("""COMPUTED_VALUE"""),"tuscany")</f>
        <v>tuscany</v>
      </c>
      <c r="D2413" s="15" t="str">
        <f>IFERROR(__xludf.DUMMYFUNCTION("""COMPUTED_VALUE"""),"Siro Pacenti, Brunello di Montalcino, Vecchie Vigne")</f>
        <v>Siro Pacenti, Brunello di Montalcino, Vecchie Vigne</v>
      </c>
      <c r="E2413" s="15">
        <f>IFERROR(__xludf.DUMMYFUNCTION("""COMPUTED_VALUE"""),2006.0)</f>
        <v>2006</v>
      </c>
      <c r="F2413" s="15">
        <f>IFERROR(__xludf.DUMMYFUNCTION("""COMPUTED_VALUE"""),750.0)</f>
        <v>750</v>
      </c>
      <c r="G2413" s="15">
        <f>IFERROR(__xludf.DUMMYFUNCTION("""COMPUTED_VALUE"""),6.0)</f>
        <v>6</v>
      </c>
      <c r="H2413" s="16">
        <f>IFERROR(__xludf.DUMMYFUNCTION("""COMPUTED_VALUE"""),1.0)</f>
        <v>1</v>
      </c>
      <c r="I2413" s="17">
        <f>IFERROR(__xludf.DUMMYFUNCTION("""COMPUTED_VALUE"""),433.0)</f>
        <v>433</v>
      </c>
      <c r="J2413" s="15" t="str">
        <f>IFERROR(__xludf.DUMMYFUNCTION("""COMPUTED_VALUE"""),"UK")</f>
        <v>UK</v>
      </c>
      <c r="L2413" s="18"/>
      <c r="M2413" s="19"/>
      <c r="N2413" s="19"/>
    </row>
    <row r="2414">
      <c r="A2414" s="14" t="str">
        <f>IFERROR(__xludf.DUMMYFUNCTION("""COMPUTED_VALUE"""),"138195120100600750")</f>
        <v>138195120100600750</v>
      </c>
      <c r="B2414" s="15" t="str">
        <f>IFERROR(__xludf.DUMMYFUNCTION("""COMPUTED_VALUE"""),"Italy")</f>
        <v>Italy</v>
      </c>
      <c r="C2414" s="15" t="str">
        <f>IFERROR(__xludf.DUMMYFUNCTION("""COMPUTED_VALUE"""),"tuscany")</f>
        <v>tuscany</v>
      </c>
      <c r="D2414" s="15" t="str">
        <f>IFERROR(__xludf.DUMMYFUNCTION("""COMPUTED_VALUE"""),"Siro Pacenti, Brunello di Montalcino, Vecchie Vigne")</f>
        <v>Siro Pacenti, Brunello di Montalcino, Vecchie Vigne</v>
      </c>
      <c r="E2414" s="15">
        <f>IFERROR(__xludf.DUMMYFUNCTION("""COMPUTED_VALUE"""),2010.0)</f>
        <v>2010</v>
      </c>
      <c r="F2414" s="15">
        <f>IFERROR(__xludf.DUMMYFUNCTION("""COMPUTED_VALUE"""),750.0)</f>
        <v>750</v>
      </c>
      <c r="G2414" s="15">
        <f>IFERROR(__xludf.DUMMYFUNCTION("""COMPUTED_VALUE"""),6.0)</f>
        <v>6</v>
      </c>
      <c r="H2414" s="16">
        <f>IFERROR(__xludf.DUMMYFUNCTION("""COMPUTED_VALUE"""),3.0)</f>
        <v>3</v>
      </c>
      <c r="I2414" s="17">
        <f>IFERROR(__xludf.DUMMYFUNCTION("""COMPUTED_VALUE"""),593.0)</f>
        <v>593</v>
      </c>
      <c r="J2414" s="15" t="str">
        <f>IFERROR(__xludf.DUMMYFUNCTION("""COMPUTED_VALUE"""),"UK")</f>
        <v>UK</v>
      </c>
      <c r="L2414" s="18"/>
      <c r="M2414" s="19"/>
      <c r="N2414" s="19"/>
    </row>
    <row r="2415">
      <c r="A2415" s="14" t="str">
        <f>IFERROR(__xludf.DUMMYFUNCTION("""COMPUTED_VALUE"""),"109538820080600750")</f>
        <v>109538820080600750</v>
      </c>
      <c r="B2415" s="15" t="str">
        <f>IFERROR(__xludf.DUMMYFUNCTION("""COMPUTED_VALUE"""),"Italy")</f>
        <v>Italy</v>
      </c>
      <c r="C2415" s="15" t="str">
        <f>IFERROR(__xludf.DUMMYFUNCTION("""COMPUTED_VALUE"""),"tuscany")</f>
        <v>tuscany</v>
      </c>
      <c r="D2415" s="15" t="str">
        <f>IFERROR(__xludf.DUMMYFUNCTION("""COMPUTED_VALUE"""),"Solaia, Toscana")</f>
        <v>Solaia, Toscana</v>
      </c>
      <c r="E2415" s="15">
        <f>IFERROR(__xludf.DUMMYFUNCTION("""COMPUTED_VALUE"""),2008.0)</f>
        <v>2008</v>
      </c>
      <c r="F2415" s="15">
        <f>IFERROR(__xludf.DUMMYFUNCTION("""COMPUTED_VALUE"""),750.0)</f>
        <v>750</v>
      </c>
      <c r="G2415" s="15">
        <f>IFERROR(__xludf.DUMMYFUNCTION("""COMPUTED_VALUE"""),6.0)</f>
        <v>6</v>
      </c>
      <c r="H2415" s="16">
        <f>IFERROR(__xludf.DUMMYFUNCTION("""COMPUTED_VALUE"""),2.0)</f>
        <v>2</v>
      </c>
      <c r="I2415" s="17">
        <f>IFERROR(__xludf.DUMMYFUNCTION("""COMPUTED_VALUE"""),1595.0)</f>
        <v>1595</v>
      </c>
      <c r="J2415" s="15" t="str">
        <f>IFERROR(__xludf.DUMMYFUNCTION("""COMPUTED_VALUE"""),"UK")</f>
        <v>UK</v>
      </c>
      <c r="L2415" s="18"/>
      <c r="M2415" s="19"/>
      <c r="N2415" s="19"/>
    </row>
    <row r="2416">
      <c r="A2416" s="14" t="str">
        <f>IFERROR(__xludf.DUMMYFUNCTION("""COMPUTED_VALUE"""),"109538820110600750")</f>
        <v>109538820110600750</v>
      </c>
      <c r="B2416" s="15" t="str">
        <f>IFERROR(__xludf.DUMMYFUNCTION("""COMPUTED_VALUE"""),"Italy")</f>
        <v>Italy</v>
      </c>
      <c r="C2416" s="15" t="str">
        <f>IFERROR(__xludf.DUMMYFUNCTION("""COMPUTED_VALUE"""),"tuscany")</f>
        <v>tuscany</v>
      </c>
      <c r="D2416" s="15" t="str">
        <f>IFERROR(__xludf.DUMMYFUNCTION("""COMPUTED_VALUE"""),"Solaia, Toscana")</f>
        <v>Solaia, Toscana</v>
      </c>
      <c r="E2416" s="15">
        <f>IFERROR(__xludf.DUMMYFUNCTION("""COMPUTED_VALUE"""),2011.0)</f>
        <v>2011</v>
      </c>
      <c r="F2416" s="15">
        <f>IFERROR(__xludf.DUMMYFUNCTION("""COMPUTED_VALUE"""),750.0)</f>
        <v>750</v>
      </c>
      <c r="G2416" s="15">
        <f>IFERROR(__xludf.DUMMYFUNCTION("""COMPUTED_VALUE"""),6.0)</f>
        <v>6</v>
      </c>
      <c r="H2416" s="16">
        <f>IFERROR(__xludf.DUMMYFUNCTION("""COMPUTED_VALUE"""),1.0)</f>
        <v>1</v>
      </c>
      <c r="I2416" s="17">
        <f>IFERROR(__xludf.DUMMYFUNCTION("""COMPUTED_VALUE"""),1478.0)</f>
        <v>1478</v>
      </c>
      <c r="J2416" s="15" t="str">
        <f>IFERROR(__xludf.DUMMYFUNCTION("""COMPUTED_VALUE"""),"UK")</f>
        <v>UK</v>
      </c>
      <c r="L2416" s="18"/>
      <c r="M2416" s="19"/>
      <c r="N2416" s="19"/>
    </row>
    <row r="2417">
      <c r="A2417" s="14" t="str">
        <f>IFERROR(__xludf.DUMMYFUNCTION("""COMPUTED_VALUE"""),"109538820170101500")</f>
        <v>109538820170101500</v>
      </c>
      <c r="B2417" s="15" t="str">
        <f>IFERROR(__xludf.DUMMYFUNCTION("""COMPUTED_VALUE"""),"Italy")</f>
        <v>Italy</v>
      </c>
      <c r="C2417" s="15" t="str">
        <f>IFERROR(__xludf.DUMMYFUNCTION("""COMPUTED_VALUE"""),"tuscany")</f>
        <v>tuscany</v>
      </c>
      <c r="D2417" s="15" t="str">
        <f>IFERROR(__xludf.DUMMYFUNCTION("""COMPUTED_VALUE"""),"Solaia, Toscana")</f>
        <v>Solaia, Toscana</v>
      </c>
      <c r="E2417" s="15">
        <f>IFERROR(__xludf.DUMMYFUNCTION("""COMPUTED_VALUE"""),2017.0)</f>
        <v>2017</v>
      </c>
      <c r="F2417" s="15">
        <f>IFERROR(__xludf.DUMMYFUNCTION("""COMPUTED_VALUE"""),1500.0)</f>
        <v>1500</v>
      </c>
      <c r="G2417" s="15">
        <f>IFERROR(__xludf.DUMMYFUNCTION("""COMPUTED_VALUE"""),1.0)</f>
        <v>1</v>
      </c>
      <c r="H2417" s="16">
        <f>IFERROR(__xludf.DUMMYFUNCTION("""COMPUTED_VALUE"""),1.0)</f>
        <v>1</v>
      </c>
      <c r="I2417" s="17">
        <f>IFERROR(__xludf.DUMMYFUNCTION("""COMPUTED_VALUE"""),452.0)</f>
        <v>452</v>
      </c>
      <c r="J2417" s="15" t="str">
        <f>IFERROR(__xludf.DUMMYFUNCTION("""COMPUTED_VALUE"""),"UK")</f>
        <v>UK</v>
      </c>
      <c r="L2417" s="18"/>
      <c r="M2417" s="19"/>
      <c r="N2417" s="19"/>
    </row>
    <row r="2418">
      <c r="A2418" s="14" t="str">
        <f>IFERROR(__xludf.DUMMYFUNCTION("""COMPUTED_VALUE"""),"122650420140300750")</f>
        <v>122650420140300750</v>
      </c>
      <c r="B2418" s="15" t="str">
        <f>IFERROR(__xludf.DUMMYFUNCTION("""COMPUTED_VALUE"""),"Italy")</f>
        <v>Italy</v>
      </c>
      <c r="C2418" s="15" t="str">
        <f>IFERROR(__xludf.DUMMYFUNCTION("""COMPUTED_VALUE"""),"tuscany")</f>
        <v>tuscany</v>
      </c>
      <c r="D2418" s="15" t="str">
        <f>IFERROR(__xludf.DUMMYFUNCTION("""COMPUTED_VALUE"""),"Soldera Case Basse, Sangiovese, Toscana")</f>
        <v>Soldera Case Basse, Sangiovese, Toscana</v>
      </c>
      <c r="E2418" s="15">
        <f>IFERROR(__xludf.DUMMYFUNCTION("""COMPUTED_VALUE"""),2014.0)</f>
        <v>2014</v>
      </c>
      <c r="F2418" s="15">
        <f>IFERROR(__xludf.DUMMYFUNCTION("""COMPUTED_VALUE"""),750.0)</f>
        <v>750</v>
      </c>
      <c r="G2418" s="15">
        <f>IFERROR(__xludf.DUMMYFUNCTION("""COMPUTED_VALUE"""),3.0)</f>
        <v>3</v>
      </c>
      <c r="H2418" s="16">
        <f>IFERROR(__xludf.DUMMYFUNCTION("""COMPUTED_VALUE"""),2.0)</f>
        <v>2</v>
      </c>
      <c r="I2418" s="17">
        <f>IFERROR(__xludf.DUMMYFUNCTION("""COMPUTED_VALUE"""),1599.0)</f>
        <v>1599</v>
      </c>
      <c r="J2418" s="15" t="str">
        <f>IFERROR(__xludf.DUMMYFUNCTION("""COMPUTED_VALUE"""),"UK")</f>
        <v>UK</v>
      </c>
      <c r="L2418" s="18"/>
      <c r="M2418" s="19"/>
      <c r="N2418" s="19"/>
    </row>
    <row r="2419">
      <c r="A2419" s="14" t="str">
        <f>IFERROR(__xludf.DUMMYFUNCTION("""COMPUTED_VALUE"""),"122650420140301500")</f>
        <v>122650420140301500</v>
      </c>
      <c r="B2419" s="15" t="str">
        <f>IFERROR(__xludf.DUMMYFUNCTION("""COMPUTED_VALUE"""),"Italy")</f>
        <v>Italy</v>
      </c>
      <c r="C2419" s="15" t="str">
        <f>IFERROR(__xludf.DUMMYFUNCTION("""COMPUTED_VALUE"""),"tuscany")</f>
        <v>tuscany</v>
      </c>
      <c r="D2419" s="15" t="str">
        <f>IFERROR(__xludf.DUMMYFUNCTION("""COMPUTED_VALUE"""),"Soldera Case Basse, Sangiovese, Toscana")</f>
        <v>Soldera Case Basse, Sangiovese, Toscana</v>
      </c>
      <c r="E2419" s="15">
        <f>IFERROR(__xludf.DUMMYFUNCTION("""COMPUTED_VALUE"""),2014.0)</f>
        <v>2014</v>
      </c>
      <c r="F2419" s="15">
        <f>IFERROR(__xludf.DUMMYFUNCTION("""COMPUTED_VALUE"""),1500.0)</f>
        <v>1500</v>
      </c>
      <c r="G2419" s="15">
        <f>IFERROR(__xludf.DUMMYFUNCTION("""COMPUTED_VALUE"""),3.0)</f>
        <v>3</v>
      </c>
      <c r="H2419" s="16">
        <f>IFERROR(__xludf.DUMMYFUNCTION("""COMPUTED_VALUE"""),1.0)</f>
        <v>1</v>
      </c>
      <c r="I2419" s="17">
        <f>IFERROR(__xludf.DUMMYFUNCTION("""COMPUTED_VALUE"""),3250.0)</f>
        <v>3250</v>
      </c>
      <c r="J2419" s="15" t="str">
        <f>IFERROR(__xludf.DUMMYFUNCTION("""COMPUTED_VALUE"""),"UK")</f>
        <v>UK</v>
      </c>
      <c r="L2419" s="18"/>
      <c r="M2419" s="19"/>
      <c r="N2419" s="19"/>
    </row>
    <row r="2420">
      <c r="A2420" s="14" t="str">
        <f>IFERROR(__xludf.DUMMYFUNCTION("""COMPUTED_VALUE"""),"122650420150600750")</f>
        <v>122650420150600750</v>
      </c>
      <c r="B2420" s="15" t="str">
        <f>IFERROR(__xludf.DUMMYFUNCTION("""COMPUTED_VALUE"""),"Italy")</f>
        <v>Italy</v>
      </c>
      <c r="C2420" s="15" t="str">
        <f>IFERROR(__xludf.DUMMYFUNCTION("""COMPUTED_VALUE"""),"tuscany")</f>
        <v>tuscany</v>
      </c>
      <c r="D2420" s="15" t="str">
        <f>IFERROR(__xludf.DUMMYFUNCTION("""COMPUTED_VALUE"""),"Soldera Case Basse, Sangiovese, Toscana")</f>
        <v>Soldera Case Basse, Sangiovese, Toscana</v>
      </c>
      <c r="E2420" s="15">
        <f>IFERROR(__xludf.DUMMYFUNCTION("""COMPUTED_VALUE"""),2015.0)</f>
        <v>2015</v>
      </c>
      <c r="F2420" s="15">
        <f>IFERROR(__xludf.DUMMYFUNCTION("""COMPUTED_VALUE"""),750.0)</f>
        <v>750</v>
      </c>
      <c r="G2420" s="15">
        <f>IFERROR(__xludf.DUMMYFUNCTION("""COMPUTED_VALUE"""),6.0)</f>
        <v>6</v>
      </c>
      <c r="H2420" s="16">
        <f>IFERROR(__xludf.DUMMYFUNCTION("""COMPUTED_VALUE"""),1.0)</f>
        <v>1</v>
      </c>
      <c r="I2420" s="17">
        <f>IFERROR(__xludf.DUMMYFUNCTION("""COMPUTED_VALUE"""),3704.0)</f>
        <v>3704</v>
      </c>
      <c r="J2420" s="15" t="str">
        <f>IFERROR(__xludf.DUMMYFUNCTION("""COMPUTED_VALUE"""),"UK")</f>
        <v>UK</v>
      </c>
      <c r="L2420" s="18"/>
      <c r="M2420" s="19"/>
      <c r="N2420" s="19"/>
    </row>
    <row r="2421">
      <c r="A2421" s="14" t="str">
        <f>IFERROR(__xludf.DUMMYFUNCTION("""COMPUTED_VALUE"""),"122650420150300750")</f>
        <v>122650420150300750</v>
      </c>
      <c r="B2421" s="15" t="str">
        <f>IFERROR(__xludf.DUMMYFUNCTION("""COMPUTED_VALUE"""),"Italy")</f>
        <v>Italy</v>
      </c>
      <c r="C2421" s="15" t="str">
        <f>IFERROR(__xludf.DUMMYFUNCTION("""COMPUTED_VALUE"""),"tuscany")</f>
        <v>tuscany</v>
      </c>
      <c r="D2421" s="15" t="str">
        <f>IFERROR(__xludf.DUMMYFUNCTION("""COMPUTED_VALUE"""),"Soldera Case Basse, Sangiovese, Toscana")</f>
        <v>Soldera Case Basse, Sangiovese, Toscana</v>
      </c>
      <c r="E2421" s="15">
        <f>IFERROR(__xludf.DUMMYFUNCTION("""COMPUTED_VALUE"""),2015.0)</f>
        <v>2015</v>
      </c>
      <c r="F2421" s="15">
        <f>IFERROR(__xludf.DUMMYFUNCTION("""COMPUTED_VALUE"""),750.0)</f>
        <v>750</v>
      </c>
      <c r="G2421" s="15">
        <f>IFERROR(__xludf.DUMMYFUNCTION("""COMPUTED_VALUE"""),3.0)</f>
        <v>3</v>
      </c>
      <c r="H2421" s="16">
        <f>IFERROR(__xludf.DUMMYFUNCTION("""COMPUTED_VALUE"""),7.0)</f>
        <v>7</v>
      </c>
      <c r="I2421" s="17">
        <f>IFERROR(__xludf.DUMMYFUNCTION("""COMPUTED_VALUE"""),1852.0)</f>
        <v>1852</v>
      </c>
      <c r="J2421" s="15" t="str">
        <f>IFERROR(__xludf.DUMMYFUNCTION("""COMPUTED_VALUE"""),"UK")</f>
        <v>UK</v>
      </c>
      <c r="L2421" s="18"/>
      <c r="M2421" s="19"/>
      <c r="N2421" s="19"/>
    </row>
    <row r="2422">
      <c r="A2422" s="14" t="str">
        <f>IFERROR(__xludf.DUMMYFUNCTION("""COMPUTED_VALUE"""),"122650420150101500")</f>
        <v>122650420150101500</v>
      </c>
      <c r="B2422" s="15" t="str">
        <f>IFERROR(__xludf.DUMMYFUNCTION("""COMPUTED_VALUE"""),"Italy")</f>
        <v>Italy</v>
      </c>
      <c r="C2422" s="15" t="str">
        <f>IFERROR(__xludf.DUMMYFUNCTION("""COMPUTED_VALUE"""),"tuscany")</f>
        <v>tuscany</v>
      </c>
      <c r="D2422" s="15" t="str">
        <f>IFERROR(__xludf.DUMMYFUNCTION("""COMPUTED_VALUE"""),"Soldera Case Basse, Sangiovese, Toscana")</f>
        <v>Soldera Case Basse, Sangiovese, Toscana</v>
      </c>
      <c r="E2422" s="15">
        <f>IFERROR(__xludf.DUMMYFUNCTION("""COMPUTED_VALUE"""),2015.0)</f>
        <v>2015</v>
      </c>
      <c r="F2422" s="15">
        <f>IFERROR(__xludf.DUMMYFUNCTION("""COMPUTED_VALUE"""),1500.0)</f>
        <v>1500</v>
      </c>
      <c r="G2422" s="15">
        <f>IFERROR(__xludf.DUMMYFUNCTION("""COMPUTED_VALUE"""),1.0)</f>
        <v>1</v>
      </c>
      <c r="H2422" s="16">
        <f>IFERROR(__xludf.DUMMYFUNCTION("""COMPUTED_VALUE"""),2.0)</f>
        <v>2</v>
      </c>
      <c r="I2422" s="17">
        <f>IFERROR(__xludf.DUMMYFUNCTION("""COMPUTED_VALUE"""),1314.0)</f>
        <v>1314</v>
      </c>
      <c r="J2422" s="15" t="str">
        <f>IFERROR(__xludf.DUMMYFUNCTION("""COMPUTED_VALUE"""),"UK")</f>
        <v>UK</v>
      </c>
      <c r="L2422" s="18"/>
      <c r="M2422" s="19"/>
      <c r="N2422" s="19"/>
    </row>
    <row r="2423">
      <c r="A2423" s="14" t="str">
        <f>IFERROR(__xludf.DUMMYFUNCTION("""COMPUTED_VALUE"""),"122650420160600750")</f>
        <v>122650420160600750</v>
      </c>
      <c r="B2423" s="15" t="str">
        <f>IFERROR(__xludf.DUMMYFUNCTION("""COMPUTED_VALUE"""),"Italy")</f>
        <v>Italy</v>
      </c>
      <c r="C2423" s="15" t="str">
        <f>IFERROR(__xludf.DUMMYFUNCTION("""COMPUTED_VALUE"""),"tuscany")</f>
        <v>tuscany</v>
      </c>
      <c r="D2423" s="15" t="str">
        <f>IFERROR(__xludf.DUMMYFUNCTION("""COMPUTED_VALUE"""),"Soldera Case Basse, Sangiovese, Toscana")</f>
        <v>Soldera Case Basse, Sangiovese, Toscana</v>
      </c>
      <c r="E2423" s="15">
        <f>IFERROR(__xludf.DUMMYFUNCTION("""COMPUTED_VALUE"""),2016.0)</f>
        <v>2016</v>
      </c>
      <c r="F2423" s="15">
        <f>IFERROR(__xludf.DUMMYFUNCTION("""COMPUTED_VALUE"""),750.0)</f>
        <v>750</v>
      </c>
      <c r="G2423" s="15">
        <f>IFERROR(__xludf.DUMMYFUNCTION("""COMPUTED_VALUE"""),6.0)</f>
        <v>6</v>
      </c>
      <c r="H2423" s="16">
        <f>IFERROR(__xludf.DUMMYFUNCTION("""COMPUTED_VALUE"""),3.0)</f>
        <v>3</v>
      </c>
      <c r="I2423" s="17">
        <f>IFERROR(__xludf.DUMMYFUNCTION("""COMPUTED_VALUE"""),3649.0)</f>
        <v>3649</v>
      </c>
      <c r="J2423" s="15" t="str">
        <f>IFERROR(__xludf.DUMMYFUNCTION("""COMPUTED_VALUE"""),"UK")</f>
        <v>UK</v>
      </c>
      <c r="L2423" s="18"/>
      <c r="M2423" s="19"/>
      <c r="N2423" s="19"/>
    </row>
    <row r="2424">
      <c r="A2424" s="14" t="str">
        <f>IFERROR(__xludf.DUMMYFUNCTION("""COMPUTED_VALUE"""),"122650420160300750")</f>
        <v>122650420160300750</v>
      </c>
      <c r="B2424" s="15" t="str">
        <f>IFERROR(__xludf.DUMMYFUNCTION("""COMPUTED_VALUE"""),"Italy")</f>
        <v>Italy</v>
      </c>
      <c r="C2424" s="15" t="str">
        <f>IFERROR(__xludf.DUMMYFUNCTION("""COMPUTED_VALUE"""),"tuscany")</f>
        <v>tuscany</v>
      </c>
      <c r="D2424" s="15" t="str">
        <f>IFERROR(__xludf.DUMMYFUNCTION("""COMPUTED_VALUE"""),"Soldera Case Basse, Sangiovese, Toscana")</f>
        <v>Soldera Case Basse, Sangiovese, Toscana</v>
      </c>
      <c r="E2424" s="15">
        <f>IFERROR(__xludf.DUMMYFUNCTION("""COMPUTED_VALUE"""),2016.0)</f>
        <v>2016</v>
      </c>
      <c r="F2424" s="15">
        <f>IFERROR(__xludf.DUMMYFUNCTION("""COMPUTED_VALUE"""),750.0)</f>
        <v>750</v>
      </c>
      <c r="G2424" s="15">
        <f>IFERROR(__xludf.DUMMYFUNCTION("""COMPUTED_VALUE"""),3.0)</f>
        <v>3</v>
      </c>
      <c r="H2424" s="16">
        <f>IFERROR(__xludf.DUMMYFUNCTION("""COMPUTED_VALUE"""),2.0)</f>
        <v>2</v>
      </c>
      <c r="I2424" s="17">
        <f>IFERROR(__xludf.DUMMYFUNCTION("""COMPUTED_VALUE"""),1825.0)</f>
        <v>1825</v>
      </c>
      <c r="J2424" s="15" t="str">
        <f>IFERROR(__xludf.DUMMYFUNCTION("""COMPUTED_VALUE"""),"UK")</f>
        <v>UK</v>
      </c>
      <c r="L2424" s="18"/>
      <c r="M2424" s="19"/>
      <c r="N2424" s="19"/>
    </row>
    <row r="2425">
      <c r="A2425" s="14" t="str">
        <f>IFERROR(__xludf.DUMMYFUNCTION("""COMPUTED_VALUE"""),"121415620100600750")</f>
        <v>121415620100600750</v>
      </c>
      <c r="B2425" s="15" t="str">
        <f>IFERROR(__xludf.DUMMYFUNCTION("""COMPUTED_VALUE"""),"Italy")</f>
        <v>Italy</v>
      </c>
      <c r="C2425" s="15" t="str">
        <f>IFERROR(__xludf.DUMMYFUNCTION("""COMPUTED_VALUE"""),"tuscany")</f>
        <v>tuscany</v>
      </c>
      <c r="D2425" s="15" t="str">
        <f>IFERROR(__xludf.DUMMYFUNCTION("""COMPUTED_VALUE"""),"Tenuta Luce, della Vite, Toscana")</f>
        <v>Tenuta Luce, della Vite, Toscana</v>
      </c>
      <c r="E2425" s="15">
        <f>IFERROR(__xludf.DUMMYFUNCTION("""COMPUTED_VALUE"""),2010.0)</f>
        <v>2010</v>
      </c>
      <c r="F2425" s="15">
        <f>IFERROR(__xludf.DUMMYFUNCTION("""COMPUTED_VALUE"""),750.0)</f>
        <v>750</v>
      </c>
      <c r="G2425" s="15">
        <f>IFERROR(__xludf.DUMMYFUNCTION("""COMPUTED_VALUE"""),6.0)</f>
        <v>6</v>
      </c>
      <c r="H2425" s="16">
        <f>IFERROR(__xludf.DUMMYFUNCTION("""COMPUTED_VALUE"""),1.0)</f>
        <v>1</v>
      </c>
      <c r="I2425" s="17">
        <f>IFERROR(__xludf.DUMMYFUNCTION("""COMPUTED_VALUE"""),554.0)</f>
        <v>554</v>
      </c>
      <c r="J2425" s="15" t="str">
        <f>IFERROR(__xludf.DUMMYFUNCTION("""COMPUTED_VALUE"""),"UK")</f>
        <v>UK</v>
      </c>
      <c r="L2425" s="18"/>
      <c r="M2425" s="19"/>
      <c r="N2425" s="19"/>
    </row>
    <row r="2426">
      <c r="A2426" s="14" t="str">
        <f>IFERROR(__xludf.DUMMYFUNCTION("""COMPUTED_VALUE"""),"121415620160600750")</f>
        <v>121415620160600750</v>
      </c>
      <c r="B2426" s="15" t="str">
        <f>IFERROR(__xludf.DUMMYFUNCTION("""COMPUTED_VALUE"""),"Italy")</f>
        <v>Italy</v>
      </c>
      <c r="C2426" s="15" t="str">
        <f>IFERROR(__xludf.DUMMYFUNCTION("""COMPUTED_VALUE"""),"tuscany")</f>
        <v>tuscany</v>
      </c>
      <c r="D2426" s="15" t="str">
        <f>IFERROR(__xludf.DUMMYFUNCTION("""COMPUTED_VALUE"""),"Tenuta Luce, della Vite, Toscana")</f>
        <v>Tenuta Luce, della Vite, Toscana</v>
      </c>
      <c r="E2426" s="15">
        <f>IFERROR(__xludf.DUMMYFUNCTION("""COMPUTED_VALUE"""),2016.0)</f>
        <v>2016</v>
      </c>
      <c r="F2426" s="15">
        <f>IFERROR(__xludf.DUMMYFUNCTION("""COMPUTED_VALUE"""),750.0)</f>
        <v>750</v>
      </c>
      <c r="G2426" s="15">
        <f>IFERROR(__xludf.DUMMYFUNCTION("""COMPUTED_VALUE"""),6.0)</f>
        <v>6</v>
      </c>
      <c r="H2426" s="16">
        <f>IFERROR(__xludf.DUMMYFUNCTION("""COMPUTED_VALUE"""),2.0)</f>
        <v>2</v>
      </c>
      <c r="I2426" s="17">
        <f>IFERROR(__xludf.DUMMYFUNCTION("""COMPUTED_VALUE"""),550.0)</f>
        <v>550</v>
      </c>
      <c r="J2426" s="15" t="str">
        <f>IFERROR(__xludf.DUMMYFUNCTION("""COMPUTED_VALUE"""),"UK")</f>
        <v>UK</v>
      </c>
      <c r="L2426" s="18"/>
      <c r="M2426" s="19"/>
      <c r="N2426" s="19"/>
    </row>
    <row r="2427">
      <c r="A2427" s="14" t="str">
        <f>IFERROR(__xludf.DUMMYFUNCTION("""COMPUTED_VALUE"""),"121415620180600750")</f>
        <v>121415620180600750</v>
      </c>
      <c r="B2427" s="15" t="str">
        <f>IFERROR(__xludf.DUMMYFUNCTION("""COMPUTED_VALUE"""),"Italy")</f>
        <v>Italy</v>
      </c>
      <c r="C2427" s="15" t="str">
        <f>IFERROR(__xludf.DUMMYFUNCTION("""COMPUTED_VALUE"""),"tuscany")</f>
        <v>tuscany</v>
      </c>
      <c r="D2427" s="15" t="str">
        <f>IFERROR(__xludf.DUMMYFUNCTION("""COMPUTED_VALUE"""),"Tenuta Luce, della Vite, Toscana")</f>
        <v>Tenuta Luce, della Vite, Toscana</v>
      </c>
      <c r="E2427" s="15">
        <f>IFERROR(__xludf.DUMMYFUNCTION("""COMPUTED_VALUE"""),2018.0)</f>
        <v>2018</v>
      </c>
      <c r="F2427" s="15">
        <f>IFERROR(__xludf.DUMMYFUNCTION("""COMPUTED_VALUE"""),750.0)</f>
        <v>750</v>
      </c>
      <c r="G2427" s="15">
        <f>IFERROR(__xludf.DUMMYFUNCTION("""COMPUTED_VALUE"""),6.0)</f>
        <v>6</v>
      </c>
      <c r="H2427" s="16">
        <f>IFERROR(__xludf.DUMMYFUNCTION("""COMPUTED_VALUE"""),2.0)</f>
        <v>2</v>
      </c>
      <c r="I2427" s="17">
        <f>IFERROR(__xludf.DUMMYFUNCTION("""COMPUTED_VALUE"""),357.0)</f>
        <v>357</v>
      </c>
      <c r="J2427" s="15" t="str">
        <f>IFERROR(__xludf.DUMMYFUNCTION("""COMPUTED_VALUE"""),"UK")</f>
        <v>UK</v>
      </c>
      <c r="L2427" s="18"/>
      <c r="M2427" s="19"/>
      <c r="N2427" s="19"/>
    </row>
    <row r="2428">
      <c r="A2428" s="14" t="str">
        <f>IFERROR(__xludf.DUMMYFUNCTION("""COMPUTED_VALUE"""),"116970420150600750")</f>
        <v>116970420150600750</v>
      </c>
      <c r="B2428" s="15" t="str">
        <f>IFERROR(__xludf.DUMMYFUNCTION("""COMPUTED_VALUE"""),"Italy")</f>
        <v>Italy</v>
      </c>
      <c r="C2428" s="15" t="str">
        <f>IFERROR(__xludf.DUMMYFUNCTION("""COMPUTED_VALUE"""),"tuscany")</f>
        <v>tuscany</v>
      </c>
      <c r="D2428" s="15" t="str">
        <f>IFERROR(__xludf.DUMMYFUNCTION("""COMPUTED_VALUE"""),"Tenuta di Biserno, Biserno Bibbona, Toscana")</f>
        <v>Tenuta di Biserno, Biserno Bibbona, Toscana</v>
      </c>
      <c r="E2428" s="15">
        <f>IFERROR(__xludf.DUMMYFUNCTION("""COMPUTED_VALUE"""),2015.0)</f>
        <v>2015</v>
      </c>
      <c r="F2428" s="15">
        <f>IFERROR(__xludf.DUMMYFUNCTION("""COMPUTED_VALUE"""),750.0)</f>
        <v>750</v>
      </c>
      <c r="G2428" s="15">
        <f>IFERROR(__xludf.DUMMYFUNCTION("""COMPUTED_VALUE"""),6.0)</f>
        <v>6</v>
      </c>
      <c r="H2428" s="16">
        <f>IFERROR(__xludf.DUMMYFUNCTION("""COMPUTED_VALUE"""),1.0)</f>
        <v>1</v>
      </c>
      <c r="I2428" s="17">
        <f>IFERROR(__xludf.DUMMYFUNCTION("""COMPUTED_VALUE"""),923.0)</f>
        <v>923</v>
      </c>
      <c r="J2428" s="15" t="str">
        <f>IFERROR(__xludf.DUMMYFUNCTION("""COMPUTED_VALUE"""),"UK")</f>
        <v>UK</v>
      </c>
      <c r="L2428" s="18"/>
      <c r="M2428" s="19"/>
      <c r="N2428" s="19"/>
    </row>
    <row r="2429">
      <c r="A2429" s="14" t="str">
        <f>IFERROR(__xludf.DUMMYFUNCTION("""COMPUTED_VALUE"""),"126663420150300750")</f>
        <v>126663420150300750</v>
      </c>
      <c r="B2429" s="15" t="str">
        <f>IFERROR(__xludf.DUMMYFUNCTION("""COMPUTED_VALUE"""),"Italy")</f>
        <v>Italy</v>
      </c>
      <c r="C2429" s="15" t="str">
        <f>IFERROR(__xludf.DUMMYFUNCTION("""COMPUTED_VALUE"""),"tuscany")</f>
        <v>tuscany</v>
      </c>
      <c r="D2429" s="15" t="str">
        <f>IFERROR(__xludf.DUMMYFUNCTION("""COMPUTED_VALUE"""),"Tenuta di Biserno, Lodovico, Toscana")</f>
        <v>Tenuta di Biserno, Lodovico, Toscana</v>
      </c>
      <c r="E2429" s="15">
        <f>IFERROR(__xludf.DUMMYFUNCTION("""COMPUTED_VALUE"""),2015.0)</f>
        <v>2015</v>
      </c>
      <c r="F2429" s="15">
        <f>IFERROR(__xludf.DUMMYFUNCTION("""COMPUTED_VALUE"""),750.0)</f>
        <v>750</v>
      </c>
      <c r="G2429" s="15">
        <f>IFERROR(__xludf.DUMMYFUNCTION("""COMPUTED_VALUE"""),3.0)</f>
        <v>3</v>
      </c>
      <c r="H2429" s="16">
        <f>IFERROR(__xludf.DUMMYFUNCTION("""COMPUTED_VALUE"""),1.0)</f>
        <v>1</v>
      </c>
      <c r="I2429" s="17">
        <f>IFERROR(__xludf.DUMMYFUNCTION("""COMPUTED_VALUE"""),1153.0)</f>
        <v>1153</v>
      </c>
      <c r="J2429" s="15" t="str">
        <f>IFERROR(__xludf.DUMMYFUNCTION("""COMPUTED_VALUE"""),"UK")</f>
        <v>UK</v>
      </c>
      <c r="L2429" s="18"/>
      <c r="M2429" s="19"/>
      <c r="N2429" s="19"/>
    </row>
    <row r="2430">
      <c r="A2430" s="14" t="str">
        <f>IFERROR(__xludf.DUMMYFUNCTION("""COMPUTED_VALUE"""),"126663420160300750")</f>
        <v>126663420160300750</v>
      </c>
      <c r="B2430" s="15" t="str">
        <f>IFERROR(__xludf.DUMMYFUNCTION("""COMPUTED_VALUE"""),"Italy")</f>
        <v>Italy</v>
      </c>
      <c r="C2430" s="15" t="str">
        <f>IFERROR(__xludf.DUMMYFUNCTION("""COMPUTED_VALUE"""),"tuscany")</f>
        <v>tuscany</v>
      </c>
      <c r="D2430" s="15" t="str">
        <f>IFERROR(__xludf.DUMMYFUNCTION("""COMPUTED_VALUE"""),"Tenuta di Biserno, Lodovico, Toscana")</f>
        <v>Tenuta di Biserno, Lodovico, Toscana</v>
      </c>
      <c r="E2430" s="15">
        <f>IFERROR(__xludf.DUMMYFUNCTION("""COMPUTED_VALUE"""),2016.0)</f>
        <v>2016</v>
      </c>
      <c r="F2430" s="15">
        <f>IFERROR(__xludf.DUMMYFUNCTION("""COMPUTED_VALUE"""),750.0)</f>
        <v>750</v>
      </c>
      <c r="G2430" s="15">
        <f>IFERROR(__xludf.DUMMYFUNCTION("""COMPUTED_VALUE"""),3.0)</f>
        <v>3</v>
      </c>
      <c r="H2430" s="16">
        <f>IFERROR(__xludf.DUMMYFUNCTION("""COMPUTED_VALUE"""),1.0)</f>
        <v>1</v>
      </c>
      <c r="I2430" s="17">
        <f>IFERROR(__xludf.DUMMYFUNCTION("""COMPUTED_VALUE"""),1052.0)</f>
        <v>1052</v>
      </c>
      <c r="J2430" s="15" t="str">
        <f>IFERROR(__xludf.DUMMYFUNCTION("""COMPUTED_VALUE"""),"UK")</f>
        <v>UK</v>
      </c>
      <c r="L2430" s="18"/>
      <c r="M2430" s="19"/>
      <c r="N2430" s="19"/>
    </row>
    <row r="2431">
      <c r="A2431" s="14" t="str">
        <f>IFERROR(__xludf.DUMMYFUNCTION("""COMPUTED_VALUE"""),"126663420170300750")</f>
        <v>126663420170300750</v>
      </c>
      <c r="B2431" s="15" t="str">
        <f>IFERROR(__xludf.DUMMYFUNCTION("""COMPUTED_VALUE"""),"Italy")</f>
        <v>Italy</v>
      </c>
      <c r="C2431" s="15" t="str">
        <f>IFERROR(__xludf.DUMMYFUNCTION("""COMPUTED_VALUE"""),"tuscany")</f>
        <v>tuscany</v>
      </c>
      <c r="D2431" s="15" t="str">
        <f>IFERROR(__xludf.DUMMYFUNCTION("""COMPUTED_VALUE"""),"Tenuta di Biserno, Lodovico, Toscana")</f>
        <v>Tenuta di Biserno, Lodovico, Toscana</v>
      </c>
      <c r="E2431" s="15">
        <f>IFERROR(__xludf.DUMMYFUNCTION("""COMPUTED_VALUE"""),2017.0)</f>
        <v>2017</v>
      </c>
      <c r="F2431" s="15">
        <f>IFERROR(__xludf.DUMMYFUNCTION("""COMPUTED_VALUE"""),750.0)</f>
        <v>750</v>
      </c>
      <c r="G2431" s="15">
        <f>IFERROR(__xludf.DUMMYFUNCTION("""COMPUTED_VALUE"""),3.0)</f>
        <v>3</v>
      </c>
      <c r="H2431" s="16">
        <f>IFERROR(__xludf.DUMMYFUNCTION("""COMPUTED_VALUE"""),6.0)</f>
        <v>6</v>
      </c>
      <c r="I2431" s="17">
        <f>IFERROR(__xludf.DUMMYFUNCTION("""COMPUTED_VALUE"""),854.0)</f>
        <v>854</v>
      </c>
      <c r="J2431" s="15" t="str">
        <f>IFERROR(__xludf.DUMMYFUNCTION("""COMPUTED_VALUE"""),"UK")</f>
        <v>UK</v>
      </c>
      <c r="L2431" s="18"/>
      <c r="M2431" s="19"/>
      <c r="N2431" s="19"/>
    </row>
    <row r="2432">
      <c r="A2432" s="14" t="str">
        <f>IFERROR(__xludf.DUMMYFUNCTION("""COMPUTED_VALUE"""),"109539120100600750")</f>
        <v>109539120100600750</v>
      </c>
      <c r="B2432" s="15" t="str">
        <f>IFERROR(__xludf.DUMMYFUNCTION("""COMPUTED_VALUE"""),"Italy")</f>
        <v>Italy</v>
      </c>
      <c r="C2432" s="15" t="str">
        <f>IFERROR(__xludf.DUMMYFUNCTION("""COMPUTED_VALUE"""),"tuscany")</f>
        <v>tuscany</v>
      </c>
      <c r="D2432" s="15" t="str">
        <f>IFERROR(__xludf.DUMMYFUNCTION("""COMPUTED_VALUE"""),"Tignanello, Toscana")</f>
        <v>Tignanello, Toscana</v>
      </c>
      <c r="E2432" s="15">
        <f>IFERROR(__xludf.DUMMYFUNCTION("""COMPUTED_VALUE"""),2010.0)</f>
        <v>2010</v>
      </c>
      <c r="F2432" s="15">
        <f>IFERROR(__xludf.DUMMYFUNCTION("""COMPUTED_VALUE"""),750.0)</f>
        <v>750</v>
      </c>
      <c r="G2432" s="15">
        <f>IFERROR(__xludf.DUMMYFUNCTION("""COMPUTED_VALUE"""),6.0)</f>
        <v>6</v>
      </c>
      <c r="H2432" s="16">
        <f>IFERROR(__xludf.DUMMYFUNCTION("""COMPUTED_VALUE"""),1.0)</f>
        <v>1</v>
      </c>
      <c r="I2432" s="17">
        <f>IFERROR(__xludf.DUMMYFUNCTION("""COMPUTED_VALUE"""),912.0)</f>
        <v>912</v>
      </c>
      <c r="J2432" s="15" t="str">
        <f>IFERROR(__xludf.DUMMYFUNCTION("""COMPUTED_VALUE"""),"UK")</f>
        <v>UK</v>
      </c>
      <c r="L2432" s="18"/>
      <c r="M2432" s="19"/>
      <c r="N2432" s="19"/>
    </row>
    <row r="2433">
      <c r="A2433" s="14" t="str">
        <f>IFERROR(__xludf.DUMMYFUNCTION("""COMPUTED_VALUE"""),"109539120130600750")</f>
        <v>109539120130600750</v>
      </c>
      <c r="B2433" s="15" t="str">
        <f>IFERROR(__xludf.DUMMYFUNCTION("""COMPUTED_VALUE"""),"Italy")</f>
        <v>Italy</v>
      </c>
      <c r="C2433" s="15" t="str">
        <f>IFERROR(__xludf.DUMMYFUNCTION("""COMPUTED_VALUE"""),"tuscany")</f>
        <v>tuscany</v>
      </c>
      <c r="D2433" s="15" t="str">
        <f>IFERROR(__xludf.DUMMYFUNCTION("""COMPUTED_VALUE"""),"Tignanello, Toscana")</f>
        <v>Tignanello, Toscana</v>
      </c>
      <c r="E2433" s="15">
        <f>IFERROR(__xludf.DUMMYFUNCTION("""COMPUTED_VALUE"""),2013.0)</f>
        <v>2013</v>
      </c>
      <c r="F2433" s="15">
        <f>IFERROR(__xludf.DUMMYFUNCTION("""COMPUTED_VALUE"""),750.0)</f>
        <v>750</v>
      </c>
      <c r="G2433" s="15">
        <f>IFERROR(__xludf.DUMMYFUNCTION("""COMPUTED_VALUE"""),6.0)</f>
        <v>6</v>
      </c>
      <c r="H2433" s="16">
        <f>IFERROR(__xludf.DUMMYFUNCTION("""COMPUTED_VALUE"""),1.0)</f>
        <v>1</v>
      </c>
      <c r="I2433" s="17">
        <f>IFERROR(__xludf.DUMMYFUNCTION("""COMPUTED_VALUE"""),800.0)</f>
        <v>800</v>
      </c>
      <c r="J2433" s="15" t="str">
        <f>IFERROR(__xludf.DUMMYFUNCTION("""COMPUTED_VALUE"""),"UK")</f>
        <v>UK</v>
      </c>
      <c r="L2433" s="18"/>
      <c r="M2433" s="19"/>
      <c r="N2433" s="19"/>
    </row>
    <row r="2434">
      <c r="A2434" s="14" t="str">
        <f>IFERROR(__xludf.DUMMYFUNCTION("""COMPUTED_VALUE"""),"109539120150600750")</f>
        <v>109539120150600750</v>
      </c>
      <c r="B2434" s="15" t="str">
        <f>IFERROR(__xludf.DUMMYFUNCTION("""COMPUTED_VALUE"""),"Italy")</f>
        <v>Italy</v>
      </c>
      <c r="C2434" s="15" t="str">
        <f>IFERROR(__xludf.DUMMYFUNCTION("""COMPUTED_VALUE"""),"tuscany")</f>
        <v>tuscany</v>
      </c>
      <c r="D2434" s="15" t="str">
        <f>IFERROR(__xludf.DUMMYFUNCTION("""COMPUTED_VALUE"""),"Tignanello, Toscana")</f>
        <v>Tignanello, Toscana</v>
      </c>
      <c r="E2434" s="15">
        <f>IFERROR(__xludf.DUMMYFUNCTION("""COMPUTED_VALUE"""),2015.0)</f>
        <v>2015</v>
      </c>
      <c r="F2434" s="15">
        <f>IFERROR(__xludf.DUMMYFUNCTION("""COMPUTED_VALUE"""),750.0)</f>
        <v>750</v>
      </c>
      <c r="G2434" s="15">
        <f>IFERROR(__xludf.DUMMYFUNCTION("""COMPUTED_VALUE"""),6.0)</f>
        <v>6</v>
      </c>
      <c r="H2434" s="16">
        <f>IFERROR(__xludf.DUMMYFUNCTION("""COMPUTED_VALUE"""),5.0)</f>
        <v>5</v>
      </c>
      <c r="I2434" s="17">
        <f>IFERROR(__xludf.DUMMYFUNCTION("""COMPUTED_VALUE"""),828.0)</f>
        <v>828</v>
      </c>
      <c r="J2434" s="15" t="str">
        <f>IFERROR(__xludf.DUMMYFUNCTION("""COMPUTED_VALUE"""),"UK")</f>
        <v>UK</v>
      </c>
      <c r="L2434" s="18"/>
      <c r="M2434" s="19"/>
      <c r="N2434" s="19"/>
    </row>
    <row r="2435">
      <c r="A2435" s="14" t="str">
        <f>IFERROR(__xludf.DUMMYFUNCTION("""COMPUTED_VALUE"""),"109539120170600750")</f>
        <v>109539120170600750</v>
      </c>
      <c r="B2435" s="15" t="str">
        <f>IFERROR(__xludf.DUMMYFUNCTION("""COMPUTED_VALUE"""),"Italy")</f>
        <v>Italy</v>
      </c>
      <c r="C2435" s="15" t="str">
        <f>IFERROR(__xludf.DUMMYFUNCTION("""COMPUTED_VALUE"""),"tuscany")</f>
        <v>tuscany</v>
      </c>
      <c r="D2435" s="15" t="str">
        <f>IFERROR(__xludf.DUMMYFUNCTION("""COMPUTED_VALUE"""),"Tignanello, Toscana")</f>
        <v>Tignanello, Toscana</v>
      </c>
      <c r="E2435" s="15">
        <f>IFERROR(__xludf.DUMMYFUNCTION("""COMPUTED_VALUE"""),2017.0)</f>
        <v>2017</v>
      </c>
      <c r="F2435" s="15">
        <f>IFERROR(__xludf.DUMMYFUNCTION("""COMPUTED_VALUE"""),750.0)</f>
        <v>750</v>
      </c>
      <c r="G2435" s="15">
        <f>IFERROR(__xludf.DUMMYFUNCTION("""COMPUTED_VALUE"""),6.0)</f>
        <v>6</v>
      </c>
      <c r="H2435" s="16">
        <f>IFERROR(__xludf.DUMMYFUNCTION("""COMPUTED_VALUE"""),22.0)</f>
        <v>22</v>
      </c>
      <c r="I2435" s="17">
        <f>IFERROR(__xludf.DUMMYFUNCTION("""COMPUTED_VALUE"""),693.0)</f>
        <v>693</v>
      </c>
      <c r="J2435" s="15" t="str">
        <f>IFERROR(__xludf.DUMMYFUNCTION("""COMPUTED_VALUE"""),"UK")</f>
        <v>UK</v>
      </c>
      <c r="L2435" s="18"/>
      <c r="M2435" s="19"/>
      <c r="N2435" s="19"/>
    </row>
    <row r="2436">
      <c r="A2436" s="14" t="str">
        <f>IFERROR(__xludf.DUMMYFUNCTION("""COMPUTED_VALUE"""),"109539120180600750")</f>
        <v>109539120180600750</v>
      </c>
      <c r="B2436" s="15" t="str">
        <f>IFERROR(__xludf.DUMMYFUNCTION("""COMPUTED_VALUE"""),"Italy")</f>
        <v>Italy</v>
      </c>
      <c r="C2436" s="15" t="str">
        <f>IFERROR(__xludf.DUMMYFUNCTION("""COMPUTED_VALUE"""),"tuscany")</f>
        <v>tuscany</v>
      </c>
      <c r="D2436" s="15" t="str">
        <f>IFERROR(__xludf.DUMMYFUNCTION("""COMPUTED_VALUE"""),"Tignanello, Toscana")</f>
        <v>Tignanello, Toscana</v>
      </c>
      <c r="E2436" s="15">
        <f>IFERROR(__xludf.DUMMYFUNCTION("""COMPUTED_VALUE"""),2018.0)</f>
        <v>2018</v>
      </c>
      <c r="F2436" s="15">
        <f>IFERROR(__xludf.DUMMYFUNCTION("""COMPUTED_VALUE"""),750.0)</f>
        <v>750</v>
      </c>
      <c r="G2436" s="15">
        <f>IFERROR(__xludf.DUMMYFUNCTION("""COMPUTED_VALUE"""),6.0)</f>
        <v>6</v>
      </c>
      <c r="H2436" s="16">
        <f>IFERROR(__xludf.DUMMYFUNCTION("""COMPUTED_VALUE"""),5.0)</f>
        <v>5</v>
      </c>
      <c r="I2436" s="17">
        <f>IFERROR(__xludf.DUMMYFUNCTION("""COMPUTED_VALUE"""),737.0)</f>
        <v>737</v>
      </c>
      <c r="J2436" s="15" t="str">
        <f>IFERROR(__xludf.DUMMYFUNCTION("""COMPUTED_VALUE"""),"UK")</f>
        <v>UK</v>
      </c>
      <c r="L2436" s="18"/>
      <c r="M2436" s="19"/>
      <c r="N2436" s="19"/>
    </row>
    <row r="2437">
      <c r="A2437" s="14" t="str">
        <f>IFERROR(__xludf.DUMMYFUNCTION("""COMPUTED_VALUE"""),"109539120200600750")</f>
        <v>109539120200600750</v>
      </c>
      <c r="B2437" s="15" t="str">
        <f>IFERROR(__xludf.DUMMYFUNCTION("""COMPUTED_VALUE"""),"Italy")</f>
        <v>Italy</v>
      </c>
      <c r="C2437" s="15" t="str">
        <f>IFERROR(__xludf.DUMMYFUNCTION("""COMPUTED_VALUE"""),"tuscany")</f>
        <v>tuscany</v>
      </c>
      <c r="D2437" s="15" t="str">
        <f>IFERROR(__xludf.DUMMYFUNCTION("""COMPUTED_VALUE"""),"Tignanello, Toscana")</f>
        <v>Tignanello, Toscana</v>
      </c>
      <c r="E2437" s="15">
        <f>IFERROR(__xludf.DUMMYFUNCTION("""COMPUTED_VALUE"""),2020.0)</f>
        <v>2020</v>
      </c>
      <c r="F2437" s="15">
        <f>IFERROR(__xludf.DUMMYFUNCTION("""COMPUTED_VALUE"""),750.0)</f>
        <v>750</v>
      </c>
      <c r="G2437" s="15">
        <f>IFERROR(__xludf.DUMMYFUNCTION("""COMPUTED_VALUE"""),6.0)</f>
        <v>6</v>
      </c>
      <c r="H2437" s="16">
        <f>IFERROR(__xludf.DUMMYFUNCTION("""COMPUTED_VALUE"""),1.0)</f>
        <v>1</v>
      </c>
      <c r="I2437" s="17">
        <f>IFERROR(__xludf.DUMMYFUNCTION("""COMPUTED_VALUE"""),711.0)</f>
        <v>711</v>
      </c>
      <c r="J2437" s="15" t="str">
        <f>IFERROR(__xludf.DUMMYFUNCTION("""COMPUTED_VALUE"""),"UK")</f>
        <v>UK</v>
      </c>
      <c r="L2437" s="18"/>
      <c r="M2437" s="19"/>
      <c r="N2437" s="19"/>
    </row>
    <row r="2438">
      <c r="A2438" s="14" t="str">
        <f>IFERROR(__xludf.DUMMYFUNCTION("""COMPUTED_VALUE"""),"110583620120300750")</f>
        <v>110583620120300750</v>
      </c>
      <c r="B2438" s="15" t="str">
        <f>IFERROR(__xludf.DUMMYFUNCTION("""COMPUTED_VALUE"""),"Italy")</f>
        <v>Italy</v>
      </c>
      <c r="C2438" s="15" t="str">
        <f>IFERROR(__xludf.DUMMYFUNCTION("""COMPUTED_VALUE"""),"tuscany")</f>
        <v>tuscany</v>
      </c>
      <c r="D2438" s="15" t="str">
        <f>IFERROR(__xludf.DUMMYFUNCTION("""COMPUTED_VALUE"""),"Tua Rita, Per Sempre, Toscana IGT")</f>
        <v>Tua Rita, Per Sempre, Toscana IGT</v>
      </c>
      <c r="E2438" s="15">
        <f>IFERROR(__xludf.DUMMYFUNCTION("""COMPUTED_VALUE"""),2012.0)</f>
        <v>2012</v>
      </c>
      <c r="F2438" s="15">
        <f>IFERROR(__xludf.DUMMYFUNCTION("""COMPUTED_VALUE"""),750.0)</f>
        <v>750</v>
      </c>
      <c r="G2438" s="15">
        <f>IFERROR(__xludf.DUMMYFUNCTION("""COMPUTED_VALUE"""),3.0)</f>
        <v>3</v>
      </c>
      <c r="H2438" s="16">
        <f>IFERROR(__xludf.DUMMYFUNCTION("""COMPUTED_VALUE"""),1.0)</f>
        <v>1</v>
      </c>
      <c r="I2438" s="17">
        <f>IFERROR(__xludf.DUMMYFUNCTION("""COMPUTED_VALUE"""),299.0)</f>
        <v>299</v>
      </c>
      <c r="J2438" s="15" t="str">
        <f>IFERROR(__xludf.DUMMYFUNCTION("""COMPUTED_VALUE"""),"UK")</f>
        <v>UK</v>
      </c>
      <c r="L2438" s="18"/>
      <c r="M2438" s="19"/>
      <c r="N2438" s="19"/>
    </row>
    <row r="2439">
      <c r="A2439" s="14" t="str">
        <f>IFERROR(__xludf.DUMMYFUNCTION("""COMPUTED_VALUE"""),"110583620130300750")</f>
        <v>110583620130300750</v>
      </c>
      <c r="B2439" s="15" t="str">
        <f>IFERROR(__xludf.DUMMYFUNCTION("""COMPUTED_VALUE"""),"Italy")</f>
        <v>Italy</v>
      </c>
      <c r="C2439" s="15" t="str">
        <f>IFERROR(__xludf.DUMMYFUNCTION("""COMPUTED_VALUE"""),"tuscany")</f>
        <v>tuscany</v>
      </c>
      <c r="D2439" s="15" t="str">
        <f>IFERROR(__xludf.DUMMYFUNCTION("""COMPUTED_VALUE"""),"Tua Rita, Per Sempre, Toscana IGT")</f>
        <v>Tua Rita, Per Sempre, Toscana IGT</v>
      </c>
      <c r="E2439" s="15">
        <f>IFERROR(__xludf.DUMMYFUNCTION("""COMPUTED_VALUE"""),2013.0)</f>
        <v>2013</v>
      </c>
      <c r="F2439" s="15">
        <f>IFERROR(__xludf.DUMMYFUNCTION("""COMPUTED_VALUE"""),750.0)</f>
        <v>750</v>
      </c>
      <c r="G2439" s="15">
        <f>IFERROR(__xludf.DUMMYFUNCTION("""COMPUTED_VALUE"""),3.0)</f>
        <v>3</v>
      </c>
      <c r="H2439" s="16">
        <f>IFERROR(__xludf.DUMMYFUNCTION("""COMPUTED_VALUE"""),9.0)</f>
        <v>9</v>
      </c>
      <c r="I2439" s="17">
        <f>IFERROR(__xludf.DUMMYFUNCTION("""COMPUTED_VALUE"""),330.0)</f>
        <v>330</v>
      </c>
      <c r="J2439" s="15" t="str">
        <f>IFERROR(__xludf.DUMMYFUNCTION("""COMPUTED_VALUE"""),"UK")</f>
        <v>UK</v>
      </c>
      <c r="L2439" s="18"/>
      <c r="M2439" s="19"/>
      <c r="N2439" s="19"/>
    </row>
    <row r="2440">
      <c r="A2440" s="14" t="str">
        <f>IFERROR(__xludf.DUMMYFUNCTION("""COMPUTED_VALUE"""),"110582320080101500")</f>
        <v>110582320080101500</v>
      </c>
      <c r="B2440" s="15" t="str">
        <f>IFERROR(__xludf.DUMMYFUNCTION("""COMPUTED_VALUE"""),"Italy")</f>
        <v>Italy</v>
      </c>
      <c r="C2440" s="15" t="str">
        <f>IFERROR(__xludf.DUMMYFUNCTION("""COMPUTED_VALUE"""),"tuscany")</f>
        <v>tuscany</v>
      </c>
      <c r="D2440" s="15" t="str">
        <f>IFERROR(__xludf.DUMMYFUNCTION("""COMPUTED_VALUE"""),"Tua Rita, Redigaffi, Toscana")</f>
        <v>Tua Rita, Redigaffi, Toscana</v>
      </c>
      <c r="E2440" s="15">
        <f>IFERROR(__xludf.DUMMYFUNCTION("""COMPUTED_VALUE"""),2008.0)</f>
        <v>2008</v>
      </c>
      <c r="F2440" s="15">
        <f>IFERROR(__xludf.DUMMYFUNCTION("""COMPUTED_VALUE"""),1500.0)</f>
        <v>1500</v>
      </c>
      <c r="G2440" s="15">
        <f>IFERROR(__xludf.DUMMYFUNCTION("""COMPUTED_VALUE"""),1.0)</f>
        <v>1</v>
      </c>
      <c r="H2440" s="16">
        <f>IFERROR(__xludf.DUMMYFUNCTION("""COMPUTED_VALUE"""),3.0)</f>
        <v>3</v>
      </c>
      <c r="I2440" s="17">
        <f>IFERROR(__xludf.DUMMYFUNCTION("""COMPUTED_VALUE"""),344.0)</f>
        <v>344</v>
      </c>
      <c r="J2440" s="15" t="str">
        <f>IFERROR(__xludf.DUMMYFUNCTION("""COMPUTED_VALUE"""),"UK")</f>
        <v>UK</v>
      </c>
      <c r="L2440" s="18"/>
      <c r="M2440" s="19"/>
      <c r="N2440" s="19"/>
    </row>
    <row r="2441">
      <c r="A2441" s="14" t="str">
        <f>IFERROR(__xludf.DUMMYFUNCTION("""COMPUTED_VALUE"""),"110582320090600750")</f>
        <v>110582320090600750</v>
      </c>
      <c r="B2441" s="15" t="str">
        <f>IFERROR(__xludf.DUMMYFUNCTION("""COMPUTED_VALUE"""),"Italy")</f>
        <v>Italy</v>
      </c>
      <c r="C2441" s="15" t="str">
        <f>IFERROR(__xludf.DUMMYFUNCTION("""COMPUTED_VALUE"""),"tuscany")</f>
        <v>tuscany</v>
      </c>
      <c r="D2441" s="15" t="str">
        <f>IFERROR(__xludf.DUMMYFUNCTION("""COMPUTED_VALUE"""),"Tua Rita, Redigaffi, Toscana")</f>
        <v>Tua Rita, Redigaffi, Toscana</v>
      </c>
      <c r="E2441" s="15">
        <f>IFERROR(__xludf.DUMMYFUNCTION("""COMPUTED_VALUE"""),2009.0)</f>
        <v>2009</v>
      </c>
      <c r="F2441" s="15">
        <f>IFERROR(__xludf.DUMMYFUNCTION("""COMPUTED_VALUE"""),750.0)</f>
        <v>750</v>
      </c>
      <c r="G2441" s="15">
        <f>IFERROR(__xludf.DUMMYFUNCTION("""COMPUTED_VALUE"""),6.0)</f>
        <v>6</v>
      </c>
      <c r="H2441" s="16">
        <f>IFERROR(__xludf.DUMMYFUNCTION("""COMPUTED_VALUE"""),1.0)</f>
        <v>1</v>
      </c>
      <c r="I2441" s="17">
        <f>IFERROR(__xludf.DUMMYFUNCTION("""COMPUTED_VALUE"""),1104.0)</f>
        <v>1104</v>
      </c>
      <c r="J2441" s="15" t="str">
        <f>IFERROR(__xludf.DUMMYFUNCTION("""COMPUTED_VALUE"""),"UK")</f>
        <v>UK</v>
      </c>
      <c r="L2441" s="18"/>
      <c r="M2441" s="19"/>
      <c r="N2441" s="19"/>
    </row>
    <row r="2442">
      <c r="A2442" s="14" t="str">
        <f>IFERROR(__xludf.DUMMYFUNCTION("""COMPUTED_VALUE"""),"110582320110600750")</f>
        <v>110582320110600750</v>
      </c>
      <c r="B2442" s="15" t="str">
        <f>IFERROR(__xludf.DUMMYFUNCTION("""COMPUTED_VALUE"""),"Italy")</f>
        <v>Italy</v>
      </c>
      <c r="C2442" s="15" t="str">
        <f>IFERROR(__xludf.DUMMYFUNCTION("""COMPUTED_VALUE"""),"tuscany")</f>
        <v>tuscany</v>
      </c>
      <c r="D2442" s="15" t="str">
        <f>IFERROR(__xludf.DUMMYFUNCTION("""COMPUTED_VALUE"""),"Tua Rita, Redigaffi, Toscana")</f>
        <v>Tua Rita, Redigaffi, Toscana</v>
      </c>
      <c r="E2442" s="15">
        <f>IFERROR(__xludf.DUMMYFUNCTION("""COMPUTED_VALUE"""),2011.0)</f>
        <v>2011</v>
      </c>
      <c r="F2442" s="15">
        <f>IFERROR(__xludf.DUMMYFUNCTION("""COMPUTED_VALUE"""),750.0)</f>
        <v>750</v>
      </c>
      <c r="G2442" s="15">
        <f>IFERROR(__xludf.DUMMYFUNCTION("""COMPUTED_VALUE"""),6.0)</f>
        <v>6</v>
      </c>
      <c r="H2442" s="16">
        <f>IFERROR(__xludf.DUMMYFUNCTION("""COMPUTED_VALUE"""),1.0)</f>
        <v>1</v>
      </c>
      <c r="I2442" s="17">
        <f>IFERROR(__xludf.DUMMYFUNCTION("""COMPUTED_VALUE"""),959.0)</f>
        <v>959</v>
      </c>
      <c r="J2442" s="15" t="str">
        <f>IFERROR(__xludf.DUMMYFUNCTION("""COMPUTED_VALUE"""),"UK")</f>
        <v>UK</v>
      </c>
      <c r="L2442" s="18"/>
      <c r="M2442" s="19"/>
      <c r="N2442" s="19"/>
    </row>
    <row r="2443">
      <c r="A2443" s="14" t="str">
        <f>IFERROR(__xludf.DUMMYFUNCTION("""COMPUTED_VALUE"""),"110582320120600750")</f>
        <v>110582320120600750</v>
      </c>
      <c r="B2443" s="15" t="str">
        <f>IFERROR(__xludf.DUMMYFUNCTION("""COMPUTED_VALUE"""),"Italy")</f>
        <v>Italy</v>
      </c>
      <c r="C2443" s="15" t="str">
        <f>IFERROR(__xludf.DUMMYFUNCTION("""COMPUTED_VALUE"""),"tuscany")</f>
        <v>tuscany</v>
      </c>
      <c r="D2443" s="15" t="str">
        <f>IFERROR(__xludf.DUMMYFUNCTION("""COMPUTED_VALUE"""),"Tua Rita, Redigaffi, Toscana")</f>
        <v>Tua Rita, Redigaffi, Toscana</v>
      </c>
      <c r="E2443" s="15">
        <f>IFERROR(__xludf.DUMMYFUNCTION("""COMPUTED_VALUE"""),2012.0)</f>
        <v>2012</v>
      </c>
      <c r="F2443" s="15">
        <f>IFERROR(__xludf.DUMMYFUNCTION("""COMPUTED_VALUE"""),750.0)</f>
        <v>750</v>
      </c>
      <c r="G2443" s="15">
        <f>IFERROR(__xludf.DUMMYFUNCTION("""COMPUTED_VALUE"""),6.0)</f>
        <v>6</v>
      </c>
      <c r="H2443" s="16">
        <f>IFERROR(__xludf.DUMMYFUNCTION("""COMPUTED_VALUE"""),1.0)</f>
        <v>1</v>
      </c>
      <c r="I2443" s="17">
        <f>IFERROR(__xludf.DUMMYFUNCTION("""COMPUTED_VALUE"""),678.0)</f>
        <v>678</v>
      </c>
      <c r="J2443" s="15" t="str">
        <f>IFERROR(__xludf.DUMMYFUNCTION("""COMPUTED_VALUE"""),"UK")</f>
        <v>UK</v>
      </c>
      <c r="L2443" s="18"/>
      <c r="M2443" s="19"/>
      <c r="N2443" s="19"/>
    </row>
    <row r="2444">
      <c r="A2444" s="14" t="str">
        <f>IFERROR(__xludf.DUMMYFUNCTION("""COMPUTED_VALUE"""),"110582320150300750")</f>
        <v>110582320150300750</v>
      </c>
      <c r="B2444" s="15" t="str">
        <f>IFERROR(__xludf.DUMMYFUNCTION("""COMPUTED_VALUE"""),"Italy")</f>
        <v>Italy</v>
      </c>
      <c r="C2444" s="15" t="str">
        <f>IFERROR(__xludf.DUMMYFUNCTION("""COMPUTED_VALUE"""),"tuscany")</f>
        <v>tuscany</v>
      </c>
      <c r="D2444" s="15" t="str">
        <f>IFERROR(__xludf.DUMMYFUNCTION("""COMPUTED_VALUE"""),"Tua Rita, Redigaffi, Toscana")</f>
        <v>Tua Rita, Redigaffi, Toscana</v>
      </c>
      <c r="E2444" s="15">
        <f>IFERROR(__xludf.DUMMYFUNCTION("""COMPUTED_VALUE"""),2015.0)</f>
        <v>2015</v>
      </c>
      <c r="F2444" s="15">
        <f>IFERROR(__xludf.DUMMYFUNCTION("""COMPUTED_VALUE"""),750.0)</f>
        <v>750</v>
      </c>
      <c r="G2444" s="15">
        <f>IFERROR(__xludf.DUMMYFUNCTION("""COMPUTED_VALUE"""),3.0)</f>
        <v>3</v>
      </c>
      <c r="H2444" s="16">
        <f>IFERROR(__xludf.DUMMYFUNCTION("""COMPUTED_VALUE"""),1.0)</f>
        <v>1</v>
      </c>
      <c r="I2444" s="17">
        <f>IFERROR(__xludf.DUMMYFUNCTION("""COMPUTED_VALUE"""),406.0)</f>
        <v>406</v>
      </c>
      <c r="J2444" s="15" t="str">
        <f>IFERROR(__xludf.DUMMYFUNCTION("""COMPUTED_VALUE"""),"UK")</f>
        <v>UK</v>
      </c>
      <c r="L2444" s="18"/>
      <c r="M2444" s="19"/>
      <c r="N2444" s="19"/>
    </row>
    <row r="2445">
      <c r="A2445" s="14" t="str">
        <f>IFERROR(__xludf.DUMMYFUNCTION("""COMPUTED_VALUE"""),"110582320160300750")</f>
        <v>110582320160300750</v>
      </c>
      <c r="B2445" s="15" t="str">
        <f>IFERROR(__xludf.DUMMYFUNCTION("""COMPUTED_VALUE"""),"Italy")</f>
        <v>Italy</v>
      </c>
      <c r="C2445" s="15" t="str">
        <f>IFERROR(__xludf.DUMMYFUNCTION("""COMPUTED_VALUE"""),"tuscany")</f>
        <v>tuscany</v>
      </c>
      <c r="D2445" s="15" t="str">
        <f>IFERROR(__xludf.DUMMYFUNCTION("""COMPUTED_VALUE"""),"Tua Rita, Redigaffi, Toscana")</f>
        <v>Tua Rita, Redigaffi, Toscana</v>
      </c>
      <c r="E2445" s="15">
        <f>IFERROR(__xludf.DUMMYFUNCTION("""COMPUTED_VALUE"""),2016.0)</f>
        <v>2016</v>
      </c>
      <c r="F2445" s="15">
        <f>IFERROR(__xludf.DUMMYFUNCTION("""COMPUTED_VALUE"""),750.0)</f>
        <v>750</v>
      </c>
      <c r="G2445" s="15">
        <f>IFERROR(__xludf.DUMMYFUNCTION("""COMPUTED_VALUE"""),3.0)</f>
        <v>3</v>
      </c>
      <c r="H2445" s="16">
        <f>IFERROR(__xludf.DUMMYFUNCTION("""COMPUTED_VALUE"""),26.0)</f>
        <v>26</v>
      </c>
      <c r="I2445" s="17">
        <f>IFERROR(__xludf.DUMMYFUNCTION("""COMPUTED_VALUE"""),474.0)</f>
        <v>474</v>
      </c>
      <c r="J2445" s="15" t="str">
        <f>IFERROR(__xludf.DUMMYFUNCTION("""COMPUTED_VALUE"""),"UK")</f>
        <v>UK</v>
      </c>
      <c r="L2445" s="18"/>
      <c r="M2445" s="19"/>
      <c r="N2445" s="19"/>
    </row>
    <row r="2446">
      <c r="A2446" s="14" t="str">
        <f>IFERROR(__xludf.DUMMYFUNCTION("""COMPUTED_VALUE"""),"110582320170600750")</f>
        <v>110582320170600750</v>
      </c>
      <c r="B2446" s="15" t="str">
        <f>IFERROR(__xludf.DUMMYFUNCTION("""COMPUTED_VALUE"""),"Italy")</f>
        <v>Italy</v>
      </c>
      <c r="C2446" s="15" t="str">
        <f>IFERROR(__xludf.DUMMYFUNCTION("""COMPUTED_VALUE"""),"tuscany")</f>
        <v>tuscany</v>
      </c>
      <c r="D2446" s="15" t="str">
        <f>IFERROR(__xludf.DUMMYFUNCTION("""COMPUTED_VALUE"""),"Tua Rita, Redigaffi, Toscana")</f>
        <v>Tua Rita, Redigaffi, Toscana</v>
      </c>
      <c r="E2446" s="15">
        <f>IFERROR(__xludf.DUMMYFUNCTION("""COMPUTED_VALUE"""),2017.0)</f>
        <v>2017</v>
      </c>
      <c r="F2446" s="15">
        <f>IFERROR(__xludf.DUMMYFUNCTION("""COMPUTED_VALUE"""),750.0)</f>
        <v>750</v>
      </c>
      <c r="G2446" s="15">
        <f>IFERROR(__xludf.DUMMYFUNCTION("""COMPUTED_VALUE"""),6.0)</f>
        <v>6</v>
      </c>
      <c r="H2446" s="16">
        <f>IFERROR(__xludf.DUMMYFUNCTION("""COMPUTED_VALUE"""),14.0)</f>
        <v>14</v>
      </c>
      <c r="I2446" s="17">
        <f>IFERROR(__xludf.DUMMYFUNCTION("""COMPUTED_VALUE"""),833.0)</f>
        <v>833</v>
      </c>
      <c r="J2446" s="15" t="str">
        <f>IFERROR(__xludf.DUMMYFUNCTION("""COMPUTED_VALUE"""),"UK")</f>
        <v>UK</v>
      </c>
      <c r="L2446" s="18"/>
      <c r="M2446" s="19"/>
      <c r="N2446" s="19"/>
    </row>
    <row r="2447">
      <c r="A2447" s="14" t="str">
        <f>IFERROR(__xludf.DUMMYFUNCTION("""COMPUTED_VALUE"""),"110582320180300750")</f>
        <v>110582320180300750</v>
      </c>
      <c r="B2447" s="15" t="str">
        <f>IFERROR(__xludf.DUMMYFUNCTION("""COMPUTED_VALUE"""),"Italy")</f>
        <v>Italy</v>
      </c>
      <c r="C2447" s="15" t="str">
        <f>IFERROR(__xludf.DUMMYFUNCTION("""COMPUTED_VALUE"""),"tuscany")</f>
        <v>tuscany</v>
      </c>
      <c r="D2447" s="15" t="str">
        <f>IFERROR(__xludf.DUMMYFUNCTION("""COMPUTED_VALUE"""),"Tua Rita, Redigaffi, Toscana")</f>
        <v>Tua Rita, Redigaffi, Toscana</v>
      </c>
      <c r="E2447" s="15">
        <f>IFERROR(__xludf.DUMMYFUNCTION("""COMPUTED_VALUE"""),2018.0)</f>
        <v>2018</v>
      </c>
      <c r="F2447" s="15">
        <f>IFERROR(__xludf.DUMMYFUNCTION("""COMPUTED_VALUE"""),750.0)</f>
        <v>750</v>
      </c>
      <c r="G2447" s="15">
        <f>IFERROR(__xludf.DUMMYFUNCTION("""COMPUTED_VALUE"""),3.0)</f>
        <v>3</v>
      </c>
      <c r="H2447" s="16">
        <f>IFERROR(__xludf.DUMMYFUNCTION("""COMPUTED_VALUE"""),43.0)</f>
        <v>43</v>
      </c>
      <c r="I2447" s="17">
        <f>IFERROR(__xludf.DUMMYFUNCTION("""COMPUTED_VALUE"""),460.0)</f>
        <v>460</v>
      </c>
      <c r="J2447" s="15" t="str">
        <f>IFERROR(__xludf.DUMMYFUNCTION("""COMPUTED_VALUE"""),"UK")</f>
        <v>UK</v>
      </c>
      <c r="L2447" s="18"/>
      <c r="M2447" s="19"/>
      <c r="N2447" s="19"/>
    </row>
    <row r="2448">
      <c r="A2448" s="14" t="str">
        <f>IFERROR(__xludf.DUMMYFUNCTION("""COMPUTED_VALUE"""),"110594020150600750")</f>
        <v>110594020150600750</v>
      </c>
      <c r="B2448" s="15" t="str">
        <f>IFERROR(__xludf.DUMMYFUNCTION("""COMPUTED_VALUE"""),"Italy")</f>
        <v>Italy</v>
      </c>
      <c r="C2448" s="15" t="str">
        <f>IFERROR(__xludf.DUMMYFUNCTION("""COMPUTED_VALUE"""),"tuscany")</f>
        <v>tuscany</v>
      </c>
      <c r="D2448" s="15" t="str">
        <f>IFERROR(__xludf.DUMMYFUNCTION("""COMPUTED_VALUE"""),"Valdicava, Brunello di Montalcino")</f>
        <v>Valdicava, Brunello di Montalcino</v>
      </c>
      <c r="E2448" s="15">
        <f>IFERROR(__xludf.DUMMYFUNCTION("""COMPUTED_VALUE"""),2015.0)</f>
        <v>2015</v>
      </c>
      <c r="F2448" s="15">
        <f>IFERROR(__xludf.DUMMYFUNCTION("""COMPUTED_VALUE"""),750.0)</f>
        <v>750</v>
      </c>
      <c r="G2448" s="15">
        <f>IFERROR(__xludf.DUMMYFUNCTION("""COMPUTED_VALUE"""),6.0)</f>
        <v>6</v>
      </c>
      <c r="H2448" s="16">
        <f>IFERROR(__xludf.DUMMYFUNCTION("""COMPUTED_VALUE"""),5.0)</f>
        <v>5</v>
      </c>
      <c r="I2448" s="17">
        <f>IFERROR(__xludf.DUMMYFUNCTION("""COMPUTED_VALUE"""),465.0)</f>
        <v>465</v>
      </c>
      <c r="J2448" s="15" t="str">
        <f>IFERROR(__xludf.DUMMYFUNCTION("""COMPUTED_VALUE"""),"UK")</f>
        <v>UK</v>
      </c>
      <c r="L2448" s="18"/>
      <c r="M2448" s="19"/>
      <c r="N2448" s="19"/>
    </row>
    <row r="2449">
      <c r="A2449" s="14" t="str">
        <f>IFERROR(__xludf.DUMMYFUNCTION("""COMPUTED_VALUE"""),"110596620040600750")</f>
        <v>110596620040600750</v>
      </c>
      <c r="B2449" s="15" t="str">
        <f>IFERROR(__xludf.DUMMYFUNCTION("""COMPUTED_VALUE"""),"Italy")</f>
        <v>Italy</v>
      </c>
      <c r="C2449" s="15" t="str">
        <f>IFERROR(__xludf.DUMMYFUNCTION("""COMPUTED_VALUE"""),"tuscany")</f>
        <v>tuscany</v>
      </c>
      <c r="D2449" s="15" t="str">
        <f>IFERROR(__xludf.DUMMYFUNCTION("""COMPUTED_VALUE"""),"Valdicava, Brunello di Montalcino, Riserva Madonna Piano")</f>
        <v>Valdicava, Brunello di Montalcino, Riserva Madonna Piano</v>
      </c>
      <c r="E2449" s="15">
        <f>IFERROR(__xludf.DUMMYFUNCTION("""COMPUTED_VALUE"""),2004.0)</f>
        <v>2004</v>
      </c>
      <c r="F2449" s="15">
        <f>IFERROR(__xludf.DUMMYFUNCTION("""COMPUTED_VALUE"""),750.0)</f>
        <v>750</v>
      </c>
      <c r="G2449" s="15">
        <f>IFERROR(__xludf.DUMMYFUNCTION("""COMPUTED_VALUE"""),6.0)</f>
        <v>6</v>
      </c>
      <c r="H2449" s="16">
        <f>IFERROR(__xludf.DUMMYFUNCTION("""COMPUTED_VALUE"""),1.0)</f>
        <v>1</v>
      </c>
      <c r="I2449" s="17">
        <f>IFERROR(__xludf.DUMMYFUNCTION("""COMPUTED_VALUE"""),792.0)</f>
        <v>792</v>
      </c>
      <c r="J2449" s="15" t="str">
        <f>IFERROR(__xludf.DUMMYFUNCTION("""COMPUTED_VALUE"""),"UK")</f>
        <v>UK</v>
      </c>
      <c r="L2449" s="18"/>
      <c r="M2449" s="19"/>
      <c r="N2449" s="19"/>
    </row>
    <row r="2450">
      <c r="A2450" s="14" t="str">
        <f>IFERROR(__xludf.DUMMYFUNCTION("""COMPUTED_VALUE"""),"110596620070600750")</f>
        <v>110596620070600750</v>
      </c>
      <c r="B2450" s="15" t="str">
        <f>IFERROR(__xludf.DUMMYFUNCTION("""COMPUTED_VALUE"""),"Italy")</f>
        <v>Italy</v>
      </c>
      <c r="C2450" s="15" t="str">
        <f>IFERROR(__xludf.DUMMYFUNCTION("""COMPUTED_VALUE"""),"tuscany")</f>
        <v>tuscany</v>
      </c>
      <c r="D2450" s="15" t="str">
        <f>IFERROR(__xludf.DUMMYFUNCTION("""COMPUTED_VALUE"""),"Valdicava, Brunello di Montalcino, Riserva Madonna Piano")</f>
        <v>Valdicava, Brunello di Montalcino, Riserva Madonna Piano</v>
      </c>
      <c r="E2450" s="15">
        <f>IFERROR(__xludf.DUMMYFUNCTION("""COMPUTED_VALUE"""),2007.0)</f>
        <v>2007</v>
      </c>
      <c r="F2450" s="15">
        <f>IFERROR(__xludf.DUMMYFUNCTION("""COMPUTED_VALUE"""),750.0)</f>
        <v>750</v>
      </c>
      <c r="G2450" s="15">
        <f>IFERROR(__xludf.DUMMYFUNCTION("""COMPUTED_VALUE"""),6.0)</f>
        <v>6</v>
      </c>
      <c r="H2450" s="16">
        <f>IFERROR(__xludf.DUMMYFUNCTION("""COMPUTED_VALUE"""),2.0)</f>
        <v>2</v>
      </c>
      <c r="I2450" s="17">
        <f>IFERROR(__xludf.DUMMYFUNCTION("""COMPUTED_VALUE"""),880.0)</f>
        <v>880</v>
      </c>
      <c r="J2450" s="15" t="str">
        <f>IFERROR(__xludf.DUMMYFUNCTION("""COMPUTED_VALUE"""),"UK")</f>
        <v>UK</v>
      </c>
      <c r="L2450" s="18"/>
      <c r="M2450" s="19"/>
      <c r="N2450" s="19"/>
    </row>
    <row r="2451">
      <c r="A2451" s="14" t="str">
        <f>IFERROR(__xludf.DUMMYFUNCTION("""COMPUTED_VALUE"""),"110596620120600750")</f>
        <v>110596620120600750</v>
      </c>
      <c r="B2451" s="15" t="str">
        <f>IFERROR(__xludf.DUMMYFUNCTION("""COMPUTED_VALUE"""),"Italy")</f>
        <v>Italy</v>
      </c>
      <c r="C2451" s="15" t="str">
        <f>IFERROR(__xludf.DUMMYFUNCTION("""COMPUTED_VALUE"""),"tuscany")</f>
        <v>tuscany</v>
      </c>
      <c r="D2451" s="15" t="str">
        <f>IFERROR(__xludf.DUMMYFUNCTION("""COMPUTED_VALUE"""),"Valdicava, Brunello di Montalcino, Riserva Madonna Piano")</f>
        <v>Valdicava, Brunello di Montalcino, Riserva Madonna Piano</v>
      </c>
      <c r="E2451" s="15">
        <f>IFERROR(__xludf.DUMMYFUNCTION("""COMPUTED_VALUE"""),2012.0)</f>
        <v>2012</v>
      </c>
      <c r="F2451" s="15">
        <f>IFERROR(__xludf.DUMMYFUNCTION("""COMPUTED_VALUE"""),750.0)</f>
        <v>750</v>
      </c>
      <c r="G2451" s="15">
        <f>IFERROR(__xludf.DUMMYFUNCTION("""COMPUTED_VALUE"""),6.0)</f>
        <v>6</v>
      </c>
      <c r="H2451" s="16">
        <f>IFERROR(__xludf.DUMMYFUNCTION("""COMPUTED_VALUE"""),16.0)</f>
        <v>16</v>
      </c>
      <c r="I2451" s="17">
        <f>IFERROR(__xludf.DUMMYFUNCTION("""COMPUTED_VALUE"""),1394.0)</f>
        <v>1394</v>
      </c>
      <c r="J2451" s="15" t="str">
        <f>IFERROR(__xludf.DUMMYFUNCTION("""COMPUTED_VALUE"""),"UK")</f>
        <v>UK</v>
      </c>
      <c r="L2451" s="18"/>
      <c r="M2451" s="19"/>
      <c r="N2451" s="19"/>
    </row>
    <row r="2452">
      <c r="A2452" s="14" t="str">
        <f>IFERROR(__xludf.DUMMYFUNCTION("""COMPUTED_VALUE"""),"135870820180300750")</f>
        <v>135870820180300750</v>
      </c>
      <c r="B2452" s="15" t="str">
        <f>IFERROR(__xludf.DUMMYFUNCTION("""COMPUTED_VALUE"""),"Italy")</f>
        <v>Italy</v>
      </c>
      <c r="C2452" s="15" t="str">
        <f>IFERROR(__xludf.DUMMYFUNCTION("""COMPUTED_VALUE"""),"tuscany")</f>
        <v>tuscany</v>
      </c>
      <c r="D2452" s="15" t="str">
        <f>IFERROR(__xludf.DUMMYFUNCTION("""COMPUTED_VALUE"""),"Ornellaia, Bianco, Toscana")</f>
        <v>Ornellaia, Bianco, Toscana</v>
      </c>
      <c r="E2452" s="15">
        <f>IFERROR(__xludf.DUMMYFUNCTION("""COMPUTED_VALUE"""),2018.0)</f>
        <v>2018</v>
      </c>
      <c r="F2452" s="15">
        <f>IFERROR(__xludf.DUMMYFUNCTION("""COMPUTED_VALUE"""),750.0)</f>
        <v>750</v>
      </c>
      <c r="G2452" s="15">
        <f>IFERROR(__xludf.DUMMYFUNCTION("""COMPUTED_VALUE"""),3.0)</f>
        <v>3</v>
      </c>
      <c r="H2452" s="16">
        <f>IFERROR(__xludf.DUMMYFUNCTION("""COMPUTED_VALUE"""),1.0)</f>
        <v>1</v>
      </c>
      <c r="I2452" s="17">
        <f>IFERROR(__xludf.DUMMYFUNCTION("""COMPUTED_VALUE"""),644.0)</f>
        <v>644</v>
      </c>
      <c r="J2452" s="15" t="str">
        <f>IFERROR(__xludf.DUMMYFUNCTION("""COMPUTED_VALUE"""),"UK")</f>
        <v>UK</v>
      </c>
      <c r="L2452" s="18"/>
      <c r="M2452" s="19"/>
      <c r="N2452" s="19"/>
    </row>
    <row r="2453">
      <c r="A2453" s="14" t="str">
        <f>IFERROR(__xludf.DUMMYFUNCTION("""COMPUTED_VALUE"""),"200204810000300750")</f>
        <v>200204810000300750</v>
      </c>
      <c r="B2453" s="15" t="str">
        <f>IFERROR(__xludf.DUMMYFUNCTION("""COMPUTED_VALUE"""),"Italy")</f>
        <v>Italy</v>
      </c>
      <c r="C2453" s="15" t="str">
        <f>IFERROR(__xludf.DUMMYFUNCTION("""COMPUTED_VALUE"""),"veneto")</f>
        <v>veneto</v>
      </c>
      <c r="D2453" s="15" t="str">
        <f>IFERROR(__xludf.DUMMYFUNCTION("""COMPUTED_VALUE"""),"Dal Forno Romano, NV Assortment Case")</f>
        <v>Dal Forno Romano, NV Assortment Case</v>
      </c>
      <c r="E2453" s="15">
        <f>IFERROR(__xludf.DUMMYFUNCTION("""COMPUTED_VALUE"""),1000.0)</f>
        <v>1000</v>
      </c>
      <c r="F2453" s="15">
        <f>IFERROR(__xludf.DUMMYFUNCTION("""COMPUTED_VALUE"""),750.0)</f>
        <v>750</v>
      </c>
      <c r="G2453" s="15">
        <f>IFERROR(__xludf.DUMMYFUNCTION("""COMPUTED_VALUE"""),3.0)</f>
        <v>3</v>
      </c>
      <c r="H2453" s="16">
        <f>IFERROR(__xludf.DUMMYFUNCTION("""COMPUTED_VALUE"""),5.0)</f>
        <v>5</v>
      </c>
      <c r="I2453" s="17">
        <f>IFERROR(__xludf.DUMMYFUNCTION("""COMPUTED_VALUE"""),805.0)</f>
        <v>805</v>
      </c>
      <c r="J2453" s="15" t="str">
        <f>IFERROR(__xludf.DUMMYFUNCTION("""COMPUTED_VALUE"""),"UK")</f>
        <v>UK</v>
      </c>
      <c r="L2453" s="18"/>
      <c r="M2453" s="19"/>
      <c r="N2453" s="19"/>
    </row>
    <row r="2454">
      <c r="A2454" s="14" t="str">
        <f>IFERROR(__xludf.DUMMYFUNCTION("""COMPUTED_VALUE"""),"112226820150600750")</f>
        <v>112226820150600750</v>
      </c>
      <c r="B2454" s="15" t="str">
        <f>IFERROR(__xludf.DUMMYFUNCTION("""COMPUTED_VALUE"""),"United States")</f>
        <v>United States</v>
      </c>
      <c r="C2454" s="15" t="str">
        <f>IFERROR(__xludf.DUMMYFUNCTION("""COMPUTED_VALUE"""),"california")</f>
        <v>california</v>
      </c>
      <c r="D2454" s="15" t="str">
        <f>IFERROR(__xludf.DUMMYFUNCTION("""COMPUTED_VALUE"""),"Heitz Cellar, Martha's Vineyard Cabernet Sauvignon, Napa Valley")</f>
        <v>Heitz Cellar, Martha's Vineyard Cabernet Sauvignon, Napa Valley</v>
      </c>
      <c r="E2454" s="15">
        <f>IFERROR(__xludf.DUMMYFUNCTION("""COMPUTED_VALUE"""),2015.0)</f>
        <v>2015</v>
      </c>
      <c r="F2454" s="15">
        <f>IFERROR(__xludf.DUMMYFUNCTION("""COMPUTED_VALUE"""),750.0)</f>
        <v>750</v>
      </c>
      <c r="G2454" s="15">
        <f>IFERROR(__xludf.DUMMYFUNCTION("""COMPUTED_VALUE"""),6.0)</f>
        <v>6</v>
      </c>
      <c r="H2454" s="16">
        <f>IFERROR(__xludf.DUMMYFUNCTION("""COMPUTED_VALUE"""),2.0)</f>
        <v>2</v>
      </c>
      <c r="I2454" s="17">
        <f>IFERROR(__xludf.DUMMYFUNCTION("""COMPUTED_VALUE"""),1410.0)</f>
        <v>1410</v>
      </c>
      <c r="J2454" s="15" t="str">
        <f>IFERROR(__xludf.DUMMYFUNCTION("""COMPUTED_VALUE"""),"USA")</f>
        <v>USA</v>
      </c>
      <c r="L2454" s="18"/>
      <c r="M2454" s="19"/>
      <c r="N2454" s="19"/>
    </row>
    <row r="2455">
      <c r="A2455" s="14"/>
      <c r="B2455" s="15" t="str">
        <f>IFERROR(__xludf.DUMMYFUNCTION("""COMPUTED_VALUE"""),"")</f>
        <v/>
      </c>
      <c r="C2455" s="15"/>
      <c r="D2455" s="15"/>
      <c r="E2455" s="15"/>
      <c r="F2455" s="15"/>
      <c r="G2455" s="15"/>
      <c r="H2455" s="15"/>
      <c r="I2455" s="17" t="str">
        <f>IFERROR(__xludf.DUMMYFUNCTION("""COMPUTED_VALUE"""),"")</f>
        <v/>
      </c>
      <c r="J2455" s="15"/>
      <c r="L2455" s="18"/>
      <c r="M2455" s="19"/>
      <c r="N2455" s="19"/>
    </row>
    <row r="2456">
      <c r="A2456" s="14"/>
      <c r="B2456" s="15" t="str">
        <f>IFERROR(__xludf.DUMMYFUNCTION("""COMPUTED_VALUE"""),"")</f>
        <v/>
      </c>
      <c r="C2456" s="15"/>
      <c r="D2456" s="15"/>
      <c r="E2456" s="15"/>
      <c r="F2456" s="15"/>
      <c r="G2456" s="15"/>
      <c r="H2456" s="15"/>
      <c r="I2456" s="17" t="str">
        <f>IFERROR(__xludf.DUMMYFUNCTION("""COMPUTED_VALUE"""),"")</f>
        <v/>
      </c>
      <c r="J2456" s="15"/>
      <c r="L2456" s="18"/>
      <c r="M2456" s="19"/>
      <c r="N2456" s="19"/>
    </row>
    <row r="2457">
      <c r="A2457" s="14"/>
      <c r="B2457" s="15" t="str">
        <f>IFERROR(__xludf.DUMMYFUNCTION("""COMPUTED_VALUE"""),"")</f>
        <v/>
      </c>
      <c r="C2457" s="15"/>
      <c r="D2457" s="15"/>
      <c r="E2457" s="15"/>
      <c r="F2457" s="15"/>
      <c r="G2457" s="15"/>
      <c r="H2457" s="15"/>
      <c r="I2457" s="17" t="str">
        <f>IFERROR(__xludf.DUMMYFUNCTION("""COMPUTED_VALUE"""),"")</f>
        <v/>
      </c>
      <c r="J2457" s="15"/>
      <c r="L2457" s="18"/>
      <c r="M2457" s="19"/>
      <c r="N2457" s="19"/>
    </row>
    <row r="2458">
      <c r="A2458" s="14"/>
      <c r="B2458" s="15" t="str">
        <f>IFERROR(__xludf.DUMMYFUNCTION("""COMPUTED_VALUE"""),"")</f>
        <v/>
      </c>
      <c r="C2458" s="15"/>
      <c r="D2458" s="15"/>
      <c r="E2458" s="15"/>
      <c r="F2458" s="15"/>
      <c r="G2458" s="15"/>
      <c r="H2458" s="15"/>
      <c r="I2458" s="17" t="str">
        <f>IFERROR(__xludf.DUMMYFUNCTION("""COMPUTED_VALUE"""),"")</f>
        <v/>
      </c>
      <c r="J2458" s="15"/>
      <c r="L2458" s="18"/>
      <c r="M2458" s="19"/>
      <c r="N2458" s="19"/>
    </row>
    <row r="2459">
      <c r="A2459" s="14"/>
      <c r="B2459" s="15" t="str">
        <f>IFERROR(__xludf.DUMMYFUNCTION("""COMPUTED_VALUE"""),"")</f>
        <v/>
      </c>
      <c r="C2459" s="15"/>
      <c r="D2459" s="15"/>
      <c r="E2459" s="15"/>
      <c r="F2459" s="15"/>
      <c r="G2459" s="15"/>
      <c r="H2459" s="15"/>
      <c r="I2459" s="17" t="str">
        <f>IFERROR(__xludf.DUMMYFUNCTION("""COMPUTED_VALUE"""),"")</f>
        <v/>
      </c>
      <c r="J2459" s="15"/>
      <c r="L2459" s="18"/>
      <c r="M2459" s="19"/>
      <c r="N2459" s="19"/>
    </row>
    <row r="2460">
      <c r="A2460" s="14"/>
      <c r="B2460" s="15" t="str">
        <f>IFERROR(__xludf.DUMMYFUNCTION("""COMPUTED_VALUE"""),"")</f>
        <v/>
      </c>
      <c r="C2460" s="15"/>
      <c r="D2460" s="15"/>
      <c r="E2460" s="15"/>
      <c r="F2460" s="15"/>
      <c r="G2460" s="15"/>
      <c r="H2460" s="15"/>
      <c r="I2460" s="17" t="str">
        <f>IFERROR(__xludf.DUMMYFUNCTION("""COMPUTED_VALUE"""),"")</f>
        <v/>
      </c>
      <c r="J2460" s="15"/>
      <c r="L2460" s="18"/>
      <c r="M2460" s="19"/>
      <c r="N2460" s="19"/>
    </row>
    <row r="2461">
      <c r="A2461" s="14"/>
      <c r="B2461" s="15" t="str">
        <f>IFERROR(__xludf.DUMMYFUNCTION("""COMPUTED_VALUE"""),"")</f>
        <v/>
      </c>
      <c r="C2461" s="15"/>
      <c r="D2461" s="15"/>
      <c r="E2461" s="15"/>
      <c r="F2461" s="15"/>
      <c r="G2461" s="15"/>
      <c r="H2461" s="15"/>
      <c r="I2461" s="17" t="str">
        <f>IFERROR(__xludf.DUMMYFUNCTION("""COMPUTED_VALUE"""),"")</f>
        <v/>
      </c>
      <c r="J2461" s="15"/>
      <c r="L2461" s="18"/>
      <c r="M2461" s="19"/>
      <c r="N2461" s="19"/>
    </row>
    <row r="2462">
      <c r="A2462" s="14"/>
      <c r="B2462" s="15" t="str">
        <f>IFERROR(__xludf.DUMMYFUNCTION("""COMPUTED_VALUE"""),"")</f>
        <v/>
      </c>
      <c r="C2462" s="15"/>
      <c r="D2462" s="15"/>
      <c r="E2462" s="15"/>
      <c r="F2462" s="15"/>
      <c r="G2462" s="15"/>
      <c r="H2462" s="15"/>
      <c r="I2462" s="17" t="str">
        <f>IFERROR(__xludf.DUMMYFUNCTION("""COMPUTED_VALUE"""),"")</f>
        <v/>
      </c>
      <c r="J2462" s="15"/>
      <c r="L2462" s="18"/>
      <c r="M2462" s="19"/>
      <c r="N2462" s="19"/>
    </row>
    <row r="2463">
      <c r="A2463" s="14"/>
      <c r="B2463" s="15" t="str">
        <f>IFERROR(__xludf.DUMMYFUNCTION("""COMPUTED_VALUE"""),"")</f>
        <v/>
      </c>
      <c r="C2463" s="15"/>
      <c r="D2463" s="15"/>
      <c r="E2463" s="15"/>
      <c r="F2463" s="15"/>
      <c r="G2463" s="15"/>
      <c r="H2463" s="15"/>
      <c r="I2463" s="17" t="str">
        <f>IFERROR(__xludf.DUMMYFUNCTION("""COMPUTED_VALUE"""),"")</f>
        <v/>
      </c>
      <c r="J2463" s="15"/>
      <c r="L2463" s="18"/>
      <c r="M2463" s="19"/>
      <c r="N2463" s="19"/>
    </row>
    <row r="2464">
      <c r="A2464" s="14"/>
      <c r="B2464" s="15" t="str">
        <f>IFERROR(__xludf.DUMMYFUNCTION("""COMPUTED_VALUE"""),"")</f>
        <v/>
      </c>
      <c r="C2464" s="15"/>
      <c r="D2464" s="15"/>
      <c r="E2464" s="15"/>
      <c r="F2464" s="15"/>
      <c r="G2464" s="15"/>
      <c r="H2464" s="15"/>
      <c r="I2464" s="17" t="str">
        <f>IFERROR(__xludf.DUMMYFUNCTION("""COMPUTED_VALUE"""),"")</f>
        <v/>
      </c>
      <c r="J2464" s="15"/>
      <c r="L2464" s="18"/>
      <c r="M2464" s="19"/>
      <c r="N2464" s="19"/>
    </row>
    <row r="2465">
      <c r="A2465" s="14"/>
      <c r="B2465" s="15" t="str">
        <f>IFERROR(__xludf.DUMMYFUNCTION("""COMPUTED_VALUE"""),"")</f>
        <v/>
      </c>
      <c r="C2465" s="15"/>
      <c r="D2465" s="15"/>
      <c r="E2465" s="15"/>
      <c r="F2465" s="15"/>
      <c r="G2465" s="15"/>
      <c r="H2465" s="15"/>
      <c r="I2465" s="17" t="str">
        <f>IFERROR(__xludf.DUMMYFUNCTION("""COMPUTED_VALUE"""),"")</f>
        <v/>
      </c>
      <c r="J2465" s="15"/>
      <c r="L2465" s="18"/>
      <c r="M2465" s="19"/>
      <c r="N2465" s="19"/>
    </row>
    <row r="2466">
      <c r="A2466" s="14"/>
      <c r="B2466" s="15" t="str">
        <f>IFERROR(__xludf.DUMMYFUNCTION("""COMPUTED_VALUE"""),"")</f>
        <v/>
      </c>
      <c r="C2466" s="15"/>
      <c r="D2466" s="15"/>
      <c r="E2466" s="15"/>
      <c r="F2466" s="15"/>
      <c r="G2466" s="15"/>
      <c r="H2466" s="15"/>
      <c r="I2466" s="17" t="str">
        <f>IFERROR(__xludf.DUMMYFUNCTION("""COMPUTED_VALUE"""),"")</f>
        <v/>
      </c>
      <c r="J2466" s="15"/>
      <c r="L2466" s="18"/>
      <c r="M2466" s="19"/>
      <c r="N2466" s="19"/>
    </row>
    <row r="2467">
      <c r="A2467" s="14"/>
      <c r="B2467" s="15" t="str">
        <f>IFERROR(__xludf.DUMMYFUNCTION("""COMPUTED_VALUE"""),"")</f>
        <v/>
      </c>
      <c r="C2467" s="15"/>
      <c r="D2467" s="15"/>
      <c r="E2467" s="15"/>
      <c r="F2467" s="15"/>
      <c r="G2467" s="15"/>
      <c r="H2467" s="15"/>
      <c r="I2467" s="17" t="str">
        <f>IFERROR(__xludf.DUMMYFUNCTION("""COMPUTED_VALUE"""),"")</f>
        <v/>
      </c>
      <c r="J2467" s="15"/>
      <c r="L2467" s="18"/>
      <c r="M2467" s="19"/>
      <c r="N2467" s="19"/>
    </row>
    <row r="2468">
      <c r="A2468" s="14"/>
      <c r="B2468" s="15" t="str">
        <f>IFERROR(__xludf.DUMMYFUNCTION("""COMPUTED_VALUE"""),"")</f>
        <v/>
      </c>
      <c r="C2468" s="15"/>
      <c r="D2468" s="15"/>
      <c r="E2468" s="15"/>
      <c r="F2468" s="15"/>
      <c r="G2468" s="15"/>
      <c r="H2468" s="15"/>
      <c r="I2468" s="17" t="str">
        <f>IFERROR(__xludf.DUMMYFUNCTION("""COMPUTED_VALUE"""),"")</f>
        <v/>
      </c>
      <c r="J2468" s="15"/>
      <c r="L2468" s="18"/>
      <c r="M2468" s="19"/>
      <c r="N2468" s="19"/>
    </row>
    <row r="2469">
      <c r="A2469" s="14"/>
      <c r="B2469" s="15" t="str">
        <f>IFERROR(__xludf.DUMMYFUNCTION("""COMPUTED_VALUE"""),"")</f>
        <v/>
      </c>
      <c r="C2469" s="15"/>
      <c r="D2469" s="15"/>
      <c r="E2469" s="15"/>
      <c r="F2469" s="15"/>
      <c r="G2469" s="15"/>
      <c r="H2469" s="15"/>
      <c r="I2469" s="17" t="str">
        <f>IFERROR(__xludf.DUMMYFUNCTION("""COMPUTED_VALUE"""),"")</f>
        <v/>
      </c>
      <c r="J2469" s="15"/>
      <c r="L2469" s="18"/>
      <c r="M2469" s="19"/>
      <c r="N2469" s="19"/>
    </row>
    <row r="2470">
      <c r="A2470" s="14"/>
      <c r="B2470" s="15" t="str">
        <f>IFERROR(__xludf.DUMMYFUNCTION("""COMPUTED_VALUE"""),"")</f>
        <v/>
      </c>
      <c r="C2470" s="15"/>
      <c r="D2470" s="15"/>
      <c r="E2470" s="15"/>
      <c r="F2470" s="15"/>
      <c r="G2470" s="15"/>
      <c r="H2470" s="15"/>
      <c r="I2470" s="17" t="str">
        <f>IFERROR(__xludf.DUMMYFUNCTION("""COMPUTED_VALUE"""),"")</f>
        <v/>
      </c>
      <c r="J2470" s="15"/>
      <c r="L2470" s="18"/>
      <c r="M2470" s="19"/>
      <c r="N2470" s="19"/>
    </row>
    <row r="2471">
      <c r="A2471" s="14"/>
      <c r="B2471" s="15" t="str">
        <f>IFERROR(__xludf.DUMMYFUNCTION("""COMPUTED_VALUE"""),"")</f>
        <v/>
      </c>
      <c r="C2471" s="15"/>
      <c r="D2471" s="15"/>
      <c r="E2471" s="15"/>
      <c r="F2471" s="15"/>
      <c r="G2471" s="15"/>
      <c r="H2471" s="15"/>
      <c r="I2471" s="17" t="str">
        <f>IFERROR(__xludf.DUMMYFUNCTION("""COMPUTED_VALUE"""),"")</f>
        <v/>
      </c>
      <c r="J2471" s="15"/>
      <c r="L2471" s="18"/>
      <c r="M2471" s="19"/>
      <c r="N2471" s="19"/>
    </row>
    <row r="2472">
      <c r="A2472" s="14"/>
      <c r="B2472" s="15" t="str">
        <f>IFERROR(__xludf.DUMMYFUNCTION("""COMPUTED_VALUE"""),"")</f>
        <v/>
      </c>
      <c r="C2472" s="15"/>
      <c r="D2472" s="15"/>
      <c r="E2472" s="15"/>
      <c r="F2472" s="15"/>
      <c r="G2472" s="15"/>
      <c r="H2472" s="15"/>
      <c r="I2472" s="17" t="str">
        <f>IFERROR(__xludf.DUMMYFUNCTION("""COMPUTED_VALUE"""),"")</f>
        <v/>
      </c>
      <c r="J2472" s="15"/>
      <c r="L2472" s="18"/>
      <c r="M2472" s="19"/>
      <c r="N2472" s="19"/>
    </row>
    <row r="2473">
      <c r="A2473" s="14"/>
      <c r="B2473" s="15" t="str">
        <f>IFERROR(__xludf.DUMMYFUNCTION("""COMPUTED_VALUE"""),"")</f>
        <v/>
      </c>
      <c r="C2473" s="15"/>
      <c r="D2473" s="15"/>
      <c r="E2473" s="15"/>
      <c r="F2473" s="15"/>
      <c r="G2473" s="15"/>
      <c r="H2473" s="15"/>
      <c r="I2473" s="17" t="str">
        <f>IFERROR(__xludf.DUMMYFUNCTION("""COMPUTED_VALUE"""),"")</f>
        <v/>
      </c>
      <c r="J2473" s="15"/>
      <c r="L2473" s="18"/>
      <c r="M2473" s="19"/>
      <c r="N2473" s="19"/>
    </row>
    <row r="2474">
      <c r="A2474" s="14"/>
      <c r="B2474" s="15" t="str">
        <f>IFERROR(__xludf.DUMMYFUNCTION("""COMPUTED_VALUE"""),"")</f>
        <v/>
      </c>
      <c r="C2474" s="15"/>
      <c r="D2474" s="15"/>
      <c r="E2474" s="15"/>
      <c r="F2474" s="15"/>
      <c r="G2474" s="15"/>
      <c r="H2474" s="15"/>
      <c r="I2474" s="17" t="str">
        <f>IFERROR(__xludf.DUMMYFUNCTION("""COMPUTED_VALUE"""),"")</f>
        <v/>
      </c>
      <c r="J2474" s="15"/>
      <c r="L2474" s="18"/>
      <c r="M2474" s="19"/>
      <c r="N2474" s="19"/>
    </row>
    <row r="2475">
      <c r="A2475" s="14"/>
      <c r="B2475" s="15" t="str">
        <f>IFERROR(__xludf.DUMMYFUNCTION("""COMPUTED_VALUE"""),"")</f>
        <v/>
      </c>
      <c r="C2475" s="15"/>
      <c r="D2475" s="15"/>
      <c r="E2475" s="15"/>
      <c r="F2475" s="15"/>
      <c r="G2475" s="15"/>
      <c r="H2475" s="15"/>
      <c r="I2475" s="17" t="str">
        <f>IFERROR(__xludf.DUMMYFUNCTION("""COMPUTED_VALUE"""),"")</f>
        <v/>
      </c>
      <c r="J2475" s="15"/>
      <c r="L2475" s="18"/>
      <c r="M2475" s="19"/>
      <c r="N2475" s="19"/>
    </row>
    <row r="2476">
      <c r="A2476" s="14"/>
      <c r="B2476" s="15" t="str">
        <f>IFERROR(__xludf.DUMMYFUNCTION("""COMPUTED_VALUE"""),"")</f>
        <v/>
      </c>
      <c r="C2476" s="15"/>
      <c r="D2476" s="15"/>
      <c r="E2476" s="15"/>
      <c r="F2476" s="15"/>
      <c r="G2476" s="15"/>
      <c r="H2476" s="15"/>
      <c r="I2476" s="17" t="str">
        <f>IFERROR(__xludf.DUMMYFUNCTION("""COMPUTED_VALUE"""),"")</f>
        <v/>
      </c>
      <c r="J2476" s="15"/>
      <c r="L2476" s="18"/>
      <c r="M2476" s="19"/>
      <c r="N2476" s="19"/>
    </row>
    <row r="2477">
      <c r="A2477" s="14"/>
      <c r="B2477" s="15" t="str">
        <f>IFERROR(__xludf.DUMMYFUNCTION("""COMPUTED_VALUE"""),"")</f>
        <v/>
      </c>
      <c r="C2477" s="15"/>
      <c r="D2477" s="15"/>
      <c r="E2477" s="15"/>
      <c r="F2477" s="15"/>
      <c r="G2477" s="15"/>
      <c r="H2477" s="15"/>
      <c r="I2477" s="17" t="str">
        <f>IFERROR(__xludf.DUMMYFUNCTION("""COMPUTED_VALUE"""),"")</f>
        <v/>
      </c>
      <c r="J2477" s="15"/>
      <c r="L2477" s="18"/>
      <c r="M2477" s="19"/>
      <c r="N2477" s="19"/>
    </row>
    <row r="2478">
      <c r="A2478" s="14"/>
      <c r="B2478" s="15" t="str">
        <f>IFERROR(__xludf.DUMMYFUNCTION("""COMPUTED_VALUE"""),"")</f>
        <v/>
      </c>
      <c r="C2478" s="15"/>
      <c r="D2478" s="15"/>
      <c r="E2478" s="15"/>
      <c r="F2478" s="15"/>
      <c r="G2478" s="15"/>
      <c r="H2478" s="15"/>
      <c r="I2478" s="17" t="str">
        <f>IFERROR(__xludf.DUMMYFUNCTION("""COMPUTED_VALUE"""),"")</f>
        <v/>
      </c>
      <c r="J2478" s="15"/>
      <c r="L2478" s="18"/>
      <c r="M2478" s="19"/>
      <c r="N2478" s="19"/>
    </row>
    <row r="2479">
      <c r="A2479" s="14"/>
      <c r="B2479" s="15" t="str">
        <f>IFERROR(__xludf.DUMMYFUNCTION("""COMPUTED_VALUE"""),"")</f>
        <v/>
      </c>
      <c r="C2479" s="15"/>
      <c r="D2479" s="15"/>
      <c r="E2479" s="15"/>
      <c r="F2479" s="15"/>
      <c r="G2479" s="15"/>
      <c r="H2479" s="15"/>
      <c r="I2479" s="17" t="str">
        <f>IFERROR(__xludf.DUMMYFUNCTION("""COMPUTED_VALUE"""),"")</f>
        <v/>
      </c>
      <c r="J2479" s="15"/>
      <c r="L2479" s="18"/>
      <c r="M2479" s="19"/>
      <c r="N2479" s="19"/>
    </row>
    <row r="2480">
      <c r="A2480" s="14"/>
      <c r="B2480" s="15" t="str">
        <f>IFERROR(__xludf.DUMMYFUNCTION("""COMPUTED_VALUE"""),"")</f>
        <v/>
      </c>
      <c r="C2480" s="15"/>
      <c r="D2480" s="15"/>
      <c r="E2480" s="15"/>
      <c r="F2480" s="15"/>
      <c r="G2480" s="15"/>
      <c r="H2480" s="15"/>
      <c r="I2480" s="17" t="str">
        <f>IFERROR(__xludf.DUMMYFUNCTION("""COMPUTED_VALUE"""),"")</f>
        <v/>
      </c>
      <c r="J2480" s="15"/>
      <c r="L2480" s="18"/>
      <c r="M2480" s="19"/>
      <c r="N2480" s="19"/>
    </row>
    <row r="2481">
      <c r="A2481" s="14"/>
      <c r="B2481" s="15" t="str">
        <f>IFERROR(__xludf.DUMMYFUNCTION("""COMPUTED_VALUE"""),"")</f>
        <v/>
      </c>
      <c r="C2481" s="15"/>
      <c r="D2481" s="15"/>
      <c r="E2481" s="15"/>
      <c r="F2481" s="15"/>
      <c r="G2481" s="15"/>
      <c r="H2481" s="15"/>
      <c r="I2481" s="17" t="str">
        <f>IFERROR(__xludf.DUMMYFUNCTION("""COMPUTED_VALUE"""),"")</f>
        <v/>
      </c>
      <c r="J2481" s="15"/>
      <c r="L2481" s="18"/>
      <c r="M2481" s="19"/>
      <c r="N2481" s="19"/>
    </row>
    <row r="2482">
      <c r="A2482" s="14"/>
      <c r="B2482" s="15" t="str">
        <f>IFERROR(__xludf.DUMMYFUNCTION("""COMPUTED_VALUE"""),"")</f>
        <v/>
      </c>
      <c r="C2482" s="15"/>
      <c r="D2482" s="15"/>
      <c r="E2482" s="15"/>
      <c r="F2482" s="15"/>
      <c r="G2482" s="15"/>
      <c r="H2482" s="15"/>
      <c r="I2482" s="17" t="str">
        <f>IFERROR(__xludf.DUMMYFUNCTION("""COMPUTED_VALUE"""),"")</f>
        <v/>
      </c>
      <c r="J2482" s="15"/>
      <c r="L2482" s="18"/>
      <c r="M2482" s="19"/>
      <c r="N2482" s="19"/>
    </row>
    <row r="2483">
      <c r="A2483" s="14"/>
      <c r="B2483" s="15" t="str">
        <f>IFERROR(__xludf.DUMMYFUNCTION("""COMPUTED_VALUE"""),"")</f>
        <v/>
      </c>
      <c r="C2483" s="15"/>
      <c r="D2483" s="15"/>
      <c r="E2483" s="15"/>
      <c r="F2483" s="15"/>
      <c r="G2483" s="15"/>
      <c r="H2483" s="15"/>
      <c r="I2483" s="17" t="str">
        <f>IFERROR(__xludf.DUMMYFUNCTION("""COMPUTED_VALUE"""),"")</f>
        <v/>
      </c>
      <c r="J2483" s="15"/>
      <c r="L2483" s="18"/>
      <c r="M2483" s="19"/>
      <c r="N2483" s="19"/>
    </row>
    <row r="2484">
      <c r="A2484" s="14"/>
      <c r="B2484" s="15" t="str">
        <f>IFERROR(__xludf.DUMMYFUNCTION("""COMPUTED_VALUE"""),"")</f>
        <v/>
      </c>
      <c r="C2484" s="15"/>
      <c r="D2484" s="15"/>
      <c r="E2484" s="15"/>
      <c r="F2484" s="15"/>
      <c r="G2484" s="15"/>
      <c r="H2484" s="15"/>
      <c r="I2484" s="17" t="str">
        <f>IFERROR(__xludf.DUMMYFUNCTION("""COMPUTED_VALUE"""),"")</f>
        <v/>
      </c>
      <c r="J2484" s="15"/>
      <c r="L2484" s="18"/>
      <c r="M2484" s="19"/>
      <c r="N2484" s="19"/>
    </row>
    <row r="2485">
      <c r="A2485" s="14"/>
      <c r="B2485" s="15" t="str">
        <f>IFERROR(__xludf.DUMMYFUNCTION("""COMPUTED_VALUE"""),"")</f>
        <v/>
      </c>
      <c r="C2485" s="15"/>
      <c r="D2485" s="15"/>
      <c r="E2485" s="15"/>
      <c r="F2485" s="15"/>
      <c r="G2485" s="15"/>
      <c r="H2485" s="15"/>
      <c r="I2485" s="17" t="str">
        <f>IFERROR(__xludf.DUMMYFUNCTION("""COMPUTED_VALUE"""),"")</f>
        <v/>
      </c>
      <c r="J2485" s="15"/>
      <c r="L2485" s="18"/>
      <c r="M2485" s="19"/>
      <c r="N2485" s="19"/>
    </row>
    <row r="2486">
      <c r="A2486" s="14"/>
      <c r="B2486" s="15" t="str">
        <f>IFERROR(__xludf.DUMMYFUNCTION("""COMPUTED_VALUE"""),"")</f>
        <v/>
      </c>
      <c r="C2486" s="15"/>
      <c r="D2486" s="15"/>
      <c r="E2486" s="15"/>
      <c r="F2486" s="15"/>
      <c r="G2486" s="15"/>
      <c r="H2486" s="15"/>
      <c r="I2486" s="17" t="str">
        <f>IFERROR(__xludf.DUMMYFUNCTION("""COMPUTED_VALUE"""),"")</f>
        <v/>
      </c>
      <c r="J2486" s="15"/>
      <c r="L2486" s="18"/>
      <c r="M2486" s="19"/>
      <c r="N2486" s="19"/>
    </row>
    <row r="2487">
      <c r="A2487" s="14"/>
      <c r="B2487" s="15" t="str">
        <f>IFERROR(__xludf.DUMMYFUNCTION("""COMPUTED_VALUE"""),"")</f>
        <v/>
      </c>
      <c r="C2487" s="15"/>
      <c r="D2487" s="15"/>
      <c r="E2487" s="15"/>
      <c r="F2487" s="15"/>
      <c r="G2487" s="15"/>
      <c r="H2487" s="15"/>
      <c r="I2487" s="17" t="str">
        <f>IFERROR(__xludf.DUMMYFUNCTION("""COMPUTED_VALUE"""),"")</f>
        <v/>
      </c>
      <c r="J2487" s="15"/>
      <c r="L2487" s="18"/>
      <c r="M2487" s="19"/>
      <c r="N2487" s="19"/>
    </row>
    <row r="2488">
      <c r="A2488" s="14"/>
      <c r="B2488" s="15" t="str">
        <f>IFERROR(__xludf.DUMMYFUNCTION("""COMPUTED_VALUE"""),"")</f>
        <v/>
      </c>
      <c r="C2488" s="15"/>
      <c r="D2488" s="15"/>
      <c r="E2488" s="15"/>
      <c r="F2488" s="15"/>
      <c r="G2488" s="15"/>
      <c r="H2488" s="15"/>
      <c r="I2488" s="17" t="str">
        <f>IFERROR(__xludf.DUMMYFUNCTION("""COMPUTED_VALUE"""),"")</f>
        <v/>
      </c>
      <c r="J2488" s="15"/>
      <c r="L2488" s="18"/>
      <c r="M2488" s="19"/>
      <c r="N2488" s="19"/>
    </row>
    <row r="2489">
      <c r="A2489" s="14"/>
      <c r="B2489" s="15" t="str">
        <f>IFERROR(__xludf.DUMMYFUNCTION("""COMPUTED_VALUE"""),"")</f>
        <v/>
      </c>
      <c r="C2489" s="15"/>
      <c r="D2489" s="15"/>
      <c r="E2489" s="15"/>
      <c r="F2489" s="15"/>
      <c r="G2489" s="15"/>
      <c r="H2489" s="15"/>
      <c r="I2489" s="17" t="str">
        <f>IFERROR(__xludf.DUMMYFUNCTION("""COMPUTED_VALUE"""),"")</f>
        <v/>
      </c>
      <c r="J2489" s="15"/>
      <c r="L2489" s="18"/>
      <c r="M2489" s="19"/>
      <c r="N2489" s="19"/>
    </row>
    <row r="2490">
      <c r="A2490" s="14"/>
      <c r="B2490" s="15" t="str">
        <f>IFERROR(__xludf.DUMMYFUNCTION("""COMPUTED_VALUE"""),"")</f>
        <v/>
      </c>
      <c r="C2490" s="15"/>
      <c r="D2490" s="15"/>
      <c r="E2490" s="15"/>
      <c r="F2490" s="15"/>
      <c r="G2490" s="15"/>
      <c r="H2490" s="15"/>
      <c r="I2490" s="17" t="str">
        <f>IFERROR(__xludf.DUMMYFUNCTION("""COMPUTED_VALUE"""),"")</f>
        <v/>
      </c>
      <c r="J2490" s="15"/>
      <c r="L2490" s="18"/>
      <c r="M2490" s="19"/>
      <c r="N2490" s="19"/>
    </row>
    <row r="2491">
      <c r="A2491" s="14"/>
      <c r="B2491" s="15" t="str">
        <f>IFERROR(__xludf.DUMMYFUNCTION("""COMPUTED_VALUE"""),"")</f>
        <v/>
      </c>
      <c r="C2491" s="15"/>
      <c r="D2491" s="15"/>
      <c r="E2491" s="15"/>
      <c r="F2491" s="15"/>
      <c r="G2491" s="15"/>
      <c r="H2491" s="15"/>
      <c r="I2491" s="17" t="str">
        <f>IFERROR(__xludf.DUMMYFUNCTION("""COMPUTED_VALUE"""),"")</f>
        <v/>
      </c>
      <c r="J2491" s="15"/>
      <c r="L2491" s="18"/>
      <c r="M2491" s="19"/>
      <c r="N2491" s="19"/>
    </row>
    <row r="2492">
      <c r="A2492" s="14"/>
      <c r="B2492" s="15" t="str">
        <f>IFERROR(__xludf.DUMMYFUNCTION("""COMPUTED_VALUE"""),"")</f>
        <v/>
      </c>
      <c r="C2492" s="15"/>
      <c r="D2492" s="15"/>
      <c r="E2492" s="15"/>
      <c r="F2492" s="15"/>
      <c r="G2492" s="15"/>
      <c r="H2492" s="15"/>
      <c r="I2492" s="17" t="str">
        <f>IFERROR(__xludf.DUMMYFUNCTION("""COMPUTED_VALUE"""),"")</f>
        <v/>
      </c>
      <c r="J2492" s="15"/>
      <c r="L2492" s="18"/>
      <c r="M2492" s="19"/>
      <c r="N2492" s="19"/>
    </row>
    <row r="2493">
      <c r="A2493" s="14"/>
      <c r="B2493" s="15" t="str">
        <f>IFERROR(__xludf.DUMMYFUNCTION("""COMPUTED_VALUE"""),"")</f>
        <v/>
      </c>
      <c r="C2493" s="15"/>
      <c r="D2493" s="15"/>
      <c r="E2493" s="15"/>
      <c r="F2493" s="15"/>
      <c r="G2493" s="15"/>
      <c r="H2493" s="15"/>
      <c r="I2493" s="17" t="str">
        <f>IFERROR(__xludf.DUMMYFUNCTION("""COMPUTED_VALUE"""),"")</f>
        <v/>
      </c>
      <c r="J2493" s="15"/>
      <c r="L2493" s="18"/>
      <c r="M2493" s="19"/>
      <c r="N2493" s="19"/>
    </row>
    <row r="2494">
      <c r="A2494" s="14"/>
      <c r="B2494" s="15" t="str">
        <f>IFERROR(__xludf.DUMMYFUNCTION("""COMPUTED_VALUE"""),"")</f>
        <v/>
      </c>
      <c r="C2494" s="15"/>
      <c r="D2494" s="15"/>
      <c r="E2494" s="15"/>
      <c r="F2494" s="15"/>
      <c r="G2494" s="15"/>
      <c r="H2494" s="15"/>
      <c r="I2494" s="17" t="str">
        <f>IFERROR(__xludf.DUMMYFUNCTION("""COMPUTED_VALUE"""),"")</f>
        <v/>
      </c>
      <c r="J2494" s="15"/>
      <c r="L2494" s="18"/>
      <c r="M2494" s="19"/>
      <c r="N2494" s="19"/>
    </row>
    <row r="2495">
      <c r="A2495" s="14"/>
      <c r="B2495" s="15" t="str">
        <f>IFERROR(__xludf.DUMMYFUNCTION("""COMPUTED_VALUE"""),"")</f>
        <v/>
      </c>
      <c r="C2495" s="15"/>
      <c r="D2495" s="15"/>
      <c r="E2495" s="15"/>
      <c r="F2495" s="15"/>
      <c r="G2495" s="15"/>
      <c r="H2495" s="15"/>
      <c r="I2495" s="17" t="str">
        <f>IFERROR(__xludf.DUMMYFUNCTION("""COMPUTED_VALUE"""),"")</f>
        <v/>
      </c>
      <c r="J2495" s="15"/>
      <c r="L2495" s="18"/>
      <c r="M2495" s="19"/>
      <c r="N2495" s="19"/>
    </row>
    <row r="2496">
      <c r="A2496" s="14"/>
      <c r="B2496" s="15" t="str">
        <f>IFERROR(__xludf.DUMMYFUNCTION("""COMPUTED_VALUE"""),"")</f>
        <v/>
      </c>
      <c r="C2496" s="15"/>
      <c r="D2496" s="15"/>
      <c r="E2496" s="15"/>
      <c r="F2496" s="15"/>
      <c r="G2496" s="15"/>
      <c r="H2496" s="15"/>
      <c r="I2496" s="17" t="str">
        <f>IFERROR(__xludf.DUMMYFUNCTION("""COMPUTED_VALUE"""),"")</f>
        <v/>
      </c>
      <c r="J2496" s="15"/>
      <c r="L2496" s="18"/>
      <c r="M2496" s="19"/>
      <c r="N2496" s="19"/>
    </row>
    <row r="2497">
      <c r="A2497" s="14"/>
      <c r="B2497" s="15" t="str">
        <f>IFERROR(__xludf.DUMMYFUNCTION("""COMPUTED_VALUE"""),"")</f>
        <v/>
      </c>
      <c r="C2497" s="15"/>
      <c r="D2497" s="15"/>
      <c r="E2497" s="15"/>
      <c r="F2497" s="15"/>
      <c r="G2497" s="15"/>
      <c r="H2497" s="15"/>
      <c r="I2497" s="17" t="str">
        <f>IFERROR(__xludf.DUMMYFUNCTION("""COMPUTED_VALUE"""),"")</f>
        <v/>
      </c>
      <c r="J2497" s="15"/>
      <c r="L2497" s="18"/>
      <c r="M2497" s="19"/>
      <c r="N2497" s="19"/>
    </row>
    <row r="2498">
      <c r="A2498" s="14"/>
      <c r="B2498" s="15" t="str">
        <f>IFERROR(__xludf.DUMMYFUNCTION("""COMPUTED_VALUE"""),"")</f>
        <v/>
      </c>
      <c r="C2498" s="15"/>
      <c r="D2498" s="15"/>
      <c r="E2498" s="15"/>
      <c r="F2498" s="15"/>
      <c r="G2498" s="15"/>
      <c r="H2498" s="15"/>
      <c r="I2498" s="17" t="str">
        <f>IFERROR(__xludf.DUMMYFUNCTION("""COMPUTED_VALUE"""),"")</f>
        <v/>
      </c>
      <c r="J2498" s="15"/>
      <c r="L2498" s="18"/>
      <c r="M2498" s="19"/>
      <c r="N2498" s="19"/>
    </row>
    <row r="2499">
      <c r="A2499" s="14"/>
      <c r="B2499" s="15" t="str">
        <f>IFERROR(__xludf.DUMMYFUNCTION("""COMPUTED_VALUE"""),"")</f>
        <v/>
      </c>
      <c r="C2499" s="15"/>
      <c r="D2499" s="15"/>
      <c r="E2499" s="15"/>
      <c r="F2499" s="15"/>
      <c r="G2499" s="15"/>
      <c r="H2499" s="15"/>
      <c r="I2499" s="17" t="str">
        <f>IFERROR(__xludf.DUMMYFUNCTION("""COMPUTED_VALUE"""),"")</f>
        <v/>
      </c>
      <c r="J2499" s="15"/>
      <c r="L2499" s="18"/>
      <c r="M2499" s="19"/>
      <c r="N2499" s="19"/>
    </row>
    <row r="2500">
      <c r="A2500" s="14"/>
      <c r="B2500" s="15" t="str">
        <f>IFERROR(__xludf.DUMMYFUNCTION("""COMPUTED_VALUE"""),"")</f>
        <v/>
      </c>
      <c r="C2500" s="15"/>
      <c r="D2500" s="15"/>
      <c r="E2500" s="15"/>
      <c r="F2500" s="15"/>
      <c r="G2500" s="15"/>
      <c r="H2500" s="15"/>
      <c r="I2500" s="17" t="str">
        <f>IFERROR(__xludf.DUMMYFUNCTION("""COMPUTED_VALUE"""),"")</f>
        <v/>
      </c>
      <c r="J2500" s="15"/>
      <c r="L2500" s="18"/>
      <c r="M2500" s="19"/>
      <c r="N2500" s="19"/>
    </row>
    <row r="2501">
      <c r="A2501" s="14"/>
      <c r="B2501" s="15" t="str">
        <f>IFERROR(__xludf.DUMMYFUNCTION("""COMPUTED_VALUE"""),"")</f>
        <v/>
      </c>
      <c r="C2501" s="15"/>
      <c r="D2501" s="15"/>
      <c r="E2501" s="15"/>
      <c r="F2501" s="15"/>
      <c r="G2501" s="15"/>
      <c r="H2501" s="15"/>
      <c r="I2501" s="17" t="str">
        <f>IFERROR(__xludf.DUMMYFUNCTION("""COMPUTED_VALUE"""),"")</f>
        <v/>
      </c>
      <c r="J2501" s="15"/>
      <c r="L2501" s="18"/>
      <c r="M2501" s="19"/>
      <c r="N2501" s="19"/>
    </row>
    <row r="2502">
      <c r="A2502" s="14"/>
      <c r="B2502" s="15" t="str">
        <f>IFERROR(__xludf.DUMMYFUNCTION("""COMPUTED_VALUE"""),"")</f>
        <v/>
      </c>
      <c r="C2502" s="15"/>
      <c r="D2502" s="15"/>
      <c r="E2502" s="15"/>
      <c r="F2502" s="15"/>
      <c r="G2502" s="15"/>
      <c r="H2502" s="15"/>
      <c r="I2502" s="17" t="str">
        <f>IFERROR(__xludf.DUMMYFUNCTION("""COMPUTED_VALUE"""),"")</f>
        <v/>
      </c>
      <c r="J2502" s="15"/>
      <c r="L2502" s="18"/>
      <c r="M2502" s="19"/>
      <c r="N2502" s="19"/>
    </row>
    <row r="2503">
      <c r="A2503" s="14"/>
      <c r="B2503" s="15" t="str">
        <f>IFERROR(__xludf.DUMMYFUNCTION("""COMPUTED_VALUE"""),"")</f>
        <v/>
      </c>
      <c r="C2503" s="15"/>
      <c r="D2503" s="15"/>
      <c r="E2503" s="15"/>
      <c r="F2503" s="15"/>
      <c r="G2503" s="15"/>
      <c r="H2503" s="15"/>
      <c r="I2503" s="17" t="str">
        <f>IFERROR(__xludf.DUMMYFUNCTION("""COMPUTED_VALUE"""),"")</f>
        <v/>
      </c>
      <c r="J2503" s="15"/>
      <c r="L2503" s="18"/>
      <c r="M2503" s="19"/>
      <c r="N2503" s="19"/>
    </row>
    <row r="2504">
      <c r="A2504" s="14"/>
      <c r="B2504" s="15" t="str">
        <f>IFERROR(__xludf.DUMMYFUNCTION("""COMPUTED_VALUE"""),"")</f>
        <v/>
      </c>
      <c r="C2504" s="15"/>
      <c r="D2504" s="15"/>
      <c r="E2504" s="15"/>
      <c r="F2504" s="15"/>
      <c r="G2504" s="15"/>
      <c r="H2504" s="15"/>
      <c r="I2504" s="17" t="str">
        <f>IFERROR(__xludf.DUMMYFUNCTION("""COMPUTED_VALUE"""),"")</f>
        <v/>
      </c>
      <c r="J2504" s="15"/>
      <c r="L2504" s="18"/>
      <c r="M2504" s="19"/>
      <c r="N2504" s="19"/>
    </row>
    <row r="2505">
      <c r="A2505" s="14"/>
      <c r="B2505" s="15" t="str">
        <f>IFERROR(__xludf.DUMMYFUNCTION("""COMPUTED_VALUE"""),"")</f>
        <v/>
      </c>
      <c r="C2505" s="15"/>
      <c r="D2505" s="15"/>
      <c r="E2505" s="15"/>
      <c r="F2505" s="15"/>
      <c r="G2505" s="15"/>
      <c r="H2505" s="15"/>
      <c r="I2505" s="17" t="str">
        <f>IFERROR(__xludf.DUMMYFUNCTION("""COMPUTED_VALUE"""),"")</f>
        <v/>
      </c>
      <c r="J2505" s="15"/>
      <c r="L2505" s="18"/>
      <c r="M2505" s="19"/>
      <c r="N2505" s="19"/>
    </row>
    <row r="2506">
      <c r="A2506" s="14"/>
      <c r="B2506" s="15" t="str">
        <f>IFERROR(__xludf.DUMMYFUNCTION("""COMPUTED_VALUE"""),"")</f>
        <v/>
      </c>
      <c r="C2506" s="15"/>
      <c r="D2506" s="15"/>
      <c r="E2506" s="15"/>
      <c r="F2506" s="15"/>
      <c r="G2506" s="15"/>
      <c r="H2506" s="15"/>
      <c r="I2506" s="17" t="str">
        <f>IFERROR(__xludf.DUMMYFUNCTION("""COMPUTED_VALUE"""),"")</f>
        <v/>
      </c>
      <c r="J2506" s="15"/>
      <c r="L2506" s="18"/>
      <c r="M2506" s="19"/>
      <c r="N2506" s="19"/>
    </row>
    <row r="2507">
      <c r="A2507" s="14"/>
      <c r="B2507" s="15" t="str">
        <f>IFERROR(__xludf.DUMMYFUNCTION("""COMPUTED_VALUE"""),"")</f>
        <v/>
      </c>
      <c r="C2507" s="15"/>
      <c r="D2507" s="15"/>
      <c r="E2507" s="15"/>
      <c r="F2507" s="15"/>
      <c r="G2507" s="15"/>
      <c r="H2507" s="15"/>
      <c r="I2507" s="17" t="str">
        <f>IFERROR(__xludf.DUMMYFUNCTION("""COMPUTED_VALUE"""),"")</f>
        <v/>
      </c>
      <c r="J2507" s="15"/>
      <c r="L2507" s="18"/>
      <c r="M2507" s="19"/>
      <c r="N2507" s="19"/>
    </row>
    <row r="2508">
      <c r="A2508" s="14"/>
      <c r="B2508" s="15" t="str">
        <f>IFERROR(__xludf.DUMMYFUNCTION("""COMPUTED_VALUE"""),"")</f>
        <v/>
      </c>
      <c r="C2508" s="15"/>
      <c r="D2508" s="15"/>
      <c r="E2508" s="15"/>
      <c r="F2508" s="15"/>
      <c r="G2508" s="15"/>
      <c r="H2508" s="15"/>
      <c r="I2508" s="17" t="str">
        <f>IFERROR(__xludf.DUMMYFUNCTION("""COMPUTED_VALUE"""),"")</f>
        <v/>
      </c>
      <c r="J2508" s="15"/>
      <c r="L2508" s="18"/>
      <c r="M2508" s="19"/>
      <c r="N2508" s="19"/>
    </row>
    <row r="2509">
      <c r="A2509" s="14"/>
      <c r="B2509" s="15" t="str">
        <f>IFERROR(__xludf.DUMMYFUNCTION("""COMPUTED_VALUE"""),"")</f>
        <v/>
      </c>
      <c r="C2509" s="15"/>
      <c r="D2509" s="15"/>
      <c r="E2509" s="15"/>
      <c r="F2509" s="15"/>
      <c r="G2509" s="15"/>
      <c r="H2509" s="15"/>
      <c r="I2509" s="17" t="str">
        <f>IFERROR(__xludf.DUMMYFUNCTION("""COMPUTED_VALUE"""),"")</f>
        <v/>
      </c>
      <c r="J2509" s="15"/>
      <c r="L2509" s="18"/>
      <c r="M2509" s="19"/>
      <c r="N2509" s="19"/>
    </row>
    <row r="2510">
      <c r="A2510" s="14"/>
      <c r="B2510" s="15" t="str">
        <f>IFERROR(__xludf.DUMMYFUNCTION("""COMPUTED_VALUE"""),"")</f>
        <v/>
      </c>
      <c r="C2510" s="15"/>
      <c r="D2510" s="15"/>
      <c r="E2510" s="15"/>
      <c r="F2510" s="15"/>
      <c r="G2510" s="15"/>
      <c r="H2510" s="15"/>
      <c r="I2510" s="17" t="str">
        <f>IFERROR(__xludf.DUMMYFUNCTION("""COMPUTED_VALUE"""),"")</f>
        <v/>
      </c>
      <c r="J2510" s="15"/>
      <c r="L2510" s="18"/>
      <c r="M2510" s="19"/>
      <c r="N2510" s="19"/>
    </row>
    <row r="2511">
      <c r="A2511" s="14"/>
      <c r="B2511" s="15" t="str">
        <f>IFERROR(__xludf.DUMMYFUNCTION("""COMPUTED_VALUE"""),"")</f>
        <v/>
      </c>
      <c r="C2511" s="15"/>
      <c r="D2511" s="15"/>
      <c r="E2511" s="15"/>
      <c r="F2511" s="15"/>
      <c r="G2511" s="15"/>
      <c r="H2511" s="15"/>
      <c r="I2511" s="17" t="str">
        <f>IFERROR(__xludf.DUMMYFUNCTION("""COMPUTED_VALUE"""),"")</f>
        <v/>
      </c>
      <c r="J2511" s="15"/>
      <c r="L2511" s="18"/>
      <c r="M2511" s="19"/>
      <c r="N2511" s="19"/>
    </row>
    <row r="2512">
      <c r="A2512" s="14"/>
      <c r="B2512" s="15" t="str">
        <f>IFERROR(__xludf.DUMMYFUNCTION("""COMPUTED_VALUE"""),"")</f>
        <v/>
      </c>
      <c r="C2512" s="15"/>
      <c r="D2512" s="15"/>
      <c r="E2512" s="15"/>
      <c r="F2512" s="15"/>
      <c r="G2512" s="15"/>
      <c r="H2512" s="15"/>
      <c r="I2512" s="17" t="str">
        <f>IFERROR(__xludf.DUMMYFUNCTION("""COMPUTED_VALUE"""),"")</f>
        <v/>
      </c>
      <c r="J2512" s="15"/>
      <c r="L2512" s="18"/>
      <c r="M2512" s="19"/>
      <c r="N2512" s="19"/>
    </row>
    <row r="2513">
      <c r="A2513" s="14"/>
      <c r="B2513" s="15" t="str">
        <f>IFERROR(__xludf.DUMMYFUNCTION("""COMPUTED_VALUE"""),"")</f>
        <v/>
      </c>
      <c r="C2513" s="15"/>
      <c r="D2513" s="15"/>
      <c r="E2513" s="15"/>
      <c r="F2513" s="15"/>
      <c r="G2513" s="15"/>
      <c r="H2513" s="15"/>
      <c r="I2513" s="17" t="str">
        <f>IFERROR(__xludf.DUMMYFUNCTION("""COMPUTED_VALUE"""),"")</f>
        <v/>
      </c>
      <c r="J2513" s="15"/>
      <c r="L2513" s="18"/>
      <c r="M2513" s="19"/>
      <c r="N2513" s="19"/>
    </row>
    <row r="2514">
      <c r="A2514" s="14"/>
      <c r="B2514" s="15" t="str">
        <f>IFERROR(__xludf.DUMMYFUNCTION("""COMPUTED_VALUE"""),"")</f>
        <v/>
      </c>
      <c r="C2514" s="15"/>
      <c r="D2514" s="15"/>
      <c r="E2514" s="15"/>
      <c r="F2514" s="15"/>
      <c r="G2514" s="15"/>
      <c r="H2514" s="15"/>
      <c r="I2514" s="17" t="str">
        <f>IFERROR(__xludf.DUMMYFUNCTION("""COMPUTED_VALUE"""),"")</f>
        <v/>
      </c>
      <c r="J2514" s="15"/>
      <c r="L2514" s="18"/>
      <c r="M2514" s="19"/>
      <c r="N2514" s="19"/>
    </row>
    <row r="2515">
      <c r="A2515" s="14"/>
      <c r="B2515" s="15" t="str">
        <f>IFERROR(__xludf.DUMMYFUNCTION("""COMPUTED_VALUE"""),"")</f>
        <v/>
      </c>
      <c r="C2515" s="15"/>
      <c r="D2515" s="15"/>
      <c r="E2515" s="15"/>
      <c r="F2515" s="15"/>
      <c r="G2515" s="15"/>
      <c r="H2515" s="15"/>
      <c r="I2515" s="17" t="str">
        <f>IFERROR(__xludf.DUMMYFUNCTION("""COMPUTED_VALUE"""),"")</f>
        <v/>
      </c>
      <c r="J2515" s="15"/>
      <c r="L2515" s="18"/>
      <c r="M2515" s="19"/>
      <c r="N2515" s="19"/>
    </row>
    <row r="2516">
      <c r="A2516" s="14"/>
      <c r="B2516" s="15" t="str">
        <f>IFERROR(__xludf.DUMMYFUNCTION("""COMPUTED_VALUE"""),"")</f>
        <v/>
      </c>
      <c r="C2516" s="15"/>
      <c r="D2516" s="15"/>
      <c r="E2516" s="15"/>
      <c r="F2516" s="15"/>
      <c r="G2516" s="15"/>
      <c r="H2516" s="15"/>
      <c r="I2516" s="17" t="str">
        <f>IFERROR(__xludf.DUMMYFUNCTION("""COMPUTED_VALUE"""),"")</f>
        <v/>
      </c>
      <c r="J2516" s="15"/>
      <c r="L2516" s="18"/>
      <c r="M2516" s="19"/>
      <c r="N2516" s="19"/>
    </row>
    <row r="2517">
      <c r="A2517" s="14"/>
      <c r="B2517" s="15" t="str">
        <f>IFERROR(__xludf.DUMMYFUNCTION("""COMPUTED_VALUE"""),"")</f>
        <v/>
      </c>
      <c r="C2517" s="15"/>
      <c r="D2517" s="15"/>
      <c r="E2517" s="15"/>
      <c r="F2517" s="15"/>
      <c r="G2517" s="15"/>
      <c r="H2517" s="15"/>
      <c r="I2517" s="17" t="str">
        <f>IFERROR(__xludf.DUMMYFUNCTION("""COMPUTED_VALUE"""),"")</f>
        <v/>
      </c>
      <c r="J2517" s="15"/>
      <c r="L2517" s="18"/>
      <c r="M2517" s="19"/>
      <c r="N2517" s="19"/>
    </row>
    <row r="2518">
      <c r="A2518" s="14"/>
      <c r="B2518" s="15" t="str">
        <f>IFERROR(__xludf.DUMMYFUNCTION("""COMPUTED_VALUE"""),"")</f>
        <v/>
      </c>
      <c r="C2518" s="15"/>
      <c r="D2518" s="15"/>
      <c r="E2518" s="15"/>
      <c r="F2518" s="15"/>
      <c r="G2518" s="15"/>
      <c r="H2518" s="15"/>
      <c r="I2518" s="17" t="str">
        <f>IFERROR(__xludf.DUMMYFUNCTION("""COMPUTED_VALUE"""),"")</f>
        <v/>
      </c>
      <c r="J2518" s="15"/>
      <c r="L2518" s="18"/>
      <c r="M2518" s="19"/>
      <c r="N2518" s="19"/>
    </row>
    <row r="2519">
      <c r="A2519" s="14"/>
      <c r="B2519" s="15" t="str">
        <f>IFERROR(__xludf.DUMMYFUNCTION("""COMPUTED_VALUE"""),"")</f>
        <v/>
      </c>
      <c r="C2519" s="15"/>
      <c r="D2519" s="15"/>
      <c r="E2519" s="15"/>
      <c r="F2519" s="15"/>
      <c r="G2519" s="15"/>
      <c r="H2519" s="15"/>
      <c r="I2519" s="17" t="str">
        <f>IFERROR(__xludf.DUMMYFUNCTION("""COMPUTED_VALUE"""),"")</f>
        <v/>
      </c>
      <c r="J2519" s="15"/>
      <c r="L2519" s="18"/>
      <c r="M2519" s="19"/>
      <c r="N2519" s="19"/>
    </row>
    <row r="2520">
      <c r="A2520" s="14"/>
      <c r="B2520" s="15" t="str">
        <f>IFERROR(__xludf.DUMMYFUNCTION("""COMPUTED_VALUE"""),"")</f>
        <v/>
      </c>
      <c r="C2520" s="15"/>
      <c r="D2520" s="15"/>
      <c r="E2520" s="15"/>
      <c r="F2520" s="15"/>
      <c r="G2520" s="15"/>
      <c r="H2520" s="15"/>
      <c r="I2520" s="17" t="str">
        <f>IFERROR(__xludf.DUMMYFUNCTION("""COMPUTED_VALUE"""),"")</f>
        <v/>
      </c>
      <c r="J2520" s="15"/>
      <c r="L2520" s="18"/>
      <c r="M2520" s="19"/>
      <c r="N2520" s="19"/>
    </row>
    <row r="2521">
      <c r="A2521" s="14"/>
      <c r="B2521" s="15" t="str">
        <f>IFERROR(__xludf.DUMMYFUNCTION("""COMPUTED_VALUE"""),"")</f>
        <v/>
      </c>
      <c r="C2521" s="15"/>
      <c r="D2521" s="15"/>
      <c r="E2521" s="15"/>
      <c r="F2521" s="15"/>
      <c r="G2521" s="15"/>
      <c r="H2521" s="15"/>
      <c r="I2521" s="17" t="str">
        <f>IFERROR(__xludf.DUMMYFUNCTION("""COMPUTED_VALUE"""),"")</f>
        <v/>
      </c>
      <c r="J2521" s="15"/>
      <c r="L2521" s="18"/>
      <c r="M2521" s="19"/>
      <c r="N2521" s="19"/>
    </row>
    <row r="2522">
      <c r="A2522" s="14"/>
      <c r="B2522" s="15" t="str">
        <f>IFERROR(__xludf.DUMMYFUNCTION("""COMPUTED_VALUE"""),"")</f>
        <v/>
      </c>
      <c r="C2522" s="15"/>
      <c r="D2522" s="15"/>
      <c r="E2522" s="15"/>
      <c r="F2522" s="15"/>
      <c r="G2522" s="15"/>
      <c r="H2522" s="15"/>
      <c r="I2522" s="17" t="str">
        <f>IFERROR(__xludf.DUMMYFUNCTION("""COMPUTED_VALUE"""),"")</f>
        <v/>
      </c>
      <c r="J2522" s="15"/>
      <c r="L2522" s="18"/>
      <c r="M2522" s="19"/>
      <c r="N2522" s="19"/>
    </row>
    <row r="2523">
      <c r="A2523" s="14"/>
      <c r="B2523" s="15" t="str">
        <f>IFERROR(__xludf.DUMMYFUNCTION("""COMPUTED_VALUE"""),"")</f>
        <v/>
      </c>
      <c r="C2523" s="15"/>
      <c r="D2523" s="15"/>
      <c r="E2523" s="15"/>
      <c r="F2523" s="15"/>
      <c r="G2523" s="15"/>
      <c r="H2523" s="15"/>
      <c r="I2523" s="17" t="str">
        <f>IFERROR(__xludf.DUMMYFUNCTION("""COMPUTED_VALUE"""),"")</f>
        <v/>
      </c>
      <c r="J2523" s="15"/>
      <c r="L2523" s="18"/>
      <c r="M2523" s="19"/>
      <c r="N2523" s="19"/>
    </row>
    <row r="2524">
      <c r="A2524" s="14"/>
      <c r="B2524" s="15" t="str">
        <f>IFERROR(__xludf.DUMMYFUNCTION("""COMPUTED_VALUE"""),"")</f>
        <v/>
      </c>
      <c r="C2524" s="15"/>
      <c r="D2524" s="15"/>
      <c r="E2524" s="15"/>
      <c r="F2524" s="15"/>
      <c r="G2524" s="15"/>
      <c r="H2524" s="15"/>
      <c r="I2524" s="17" t="str">
        <f>IFERROR(__xludf.DUMMYFUNCTION("""COMPUTED_VALUE"""),"")</f>
        <v/>
      </c>
      <c r="J2524" s="15"/>
      <c r="L2524" s="18"/>
      <c r="M2524" s="19"/>
      <c r="N2524" s="19"/>
    </row>
    <row r="2525">
      <c r="A2525" s="14"/>
      <c r="B2525" s="15" t="str">
        <f>IFERROR(__xludf.DUMMYFUNCTION("""COMPUTED_VALUE"""),"")</f>
        <v/>
      </c>
      <c r="C2525" s="15"/>
      <c r="D2525" s="15"/>
      <c r="E2525" s="15"/>
      <c r="F2525" s="15"/>
      <c r="G2525" s="15"/>
      <c r="H2525" s="15"/>
      <c r="I2525" s="17" t="str">
        <f>IFERROR(__xludf.DUMMYFUNCTION("""COMPUTED_VALUE"""),"")</f>
        <v/>
      </c>
      <c r="J2525" s="15"/>
      <c r="L2525" s="18"/>
      <c r="M2525" s="19"/>
      <c r="N2525" s="19"/>
    </row>
    <row r="2526">
      <c r="A2526" s="14"/>
      <c r="B2526" s="15" t="str">
        <f>IFERROR(__xludf.DUMMYFUNCTION("""COMPUTED_VALUE"""),"")</f>
        <v/>
      </c>
      <c r="C2526" s="15"/>
      <c r="D2526" s="15"/>
      <c r="E2526" s="15"/>
      <c r="F2526" s="15"/>
      <c r="G2526" s="15"/>
      <c r="H2526" s="15"/>
      <c r="I2526" s="17" t="str">
        <f>IFERROR(__xludf.DUMMYFUNCTION("""COMPUTED_VALUE"""),"")</f>
        <v/>
      </c>
      <c r="J2526" s="15"/>
      <c r="L2526" s="18"/>
      <c r="M2526" s="19"/>
      <c r="N2526" s="19"/>
    </row>
    <row r="2527">
      <c r="A2527" s="14"/>
      <c r="B2527" s="15" t="str">
        <f>IFERROR(__xludf.DUMMYFUNCTION("""COMPUTED_VALUE"""),"")</f>
        <v/>
      </c>
      <c r="C2527" s="15"/>
      <c r="D2527" s="15"/>
      <c r="E2527" s="15"/>
      <c r="F2527" s="15"/>
      <c r="G2527" s="15"/>
      <c r="H2527" s="15"/>
      <c r="I2527" s="17" t="str">
        <f>IFERROR(__xludf.DUMMYFUNCTION("""COMPUTED_VALUE"""),"")</f>
        <v/>
      </c>
      <c r="J2527" s="15"/>
      <c r="L2527" s="18"/>
      <c r="M2527" s="19"/>
      <c r="N2527" s="19"/>
    </row>
    <row r="2528">
      <c r="A2528" s="14"/>
      <c r="B2528" s="15" t="str">
        <f>IFERROR(__xludf.DUMMYFUNCTION("""COMPUTED_VALUE"""),"")</f>
        <v/>
      </c>
      <c r="C2528" s="15"/>
      <c r="D2528" s="15"/>
      <c r="E2528" s="15"/>
      <c r="F2528" s="15"/>
      <c r="G2528" s="15"/>
      <c r="H2528" s="15"/>
      <c r="I2528" s="17" t="str">
        <f>IFERROR(__xludf.DUMMYFUNCTION("""COMPUTED_VALUE"""),"")</f>
        <v/>
      </c>
      <c r="J2528" s="15"/>
      <c r="L2528" s="18"/>
      <c r="M2528" s="19"/>
      <c r="N2528" s="19"/>
    </row>
    <row r="2529">
      <c r="A2529" s="14"/>
      <c r="B2529" s="15" t="str">
        <f>IFERROR(__xludf.DUMMYFUNCTION("""COMPUTED_VALUE"""),"")</f>
        <v/>
      </c>
      <c r="C2529" s="15"/>
      <c r="D2529" s="15"/>
      <c r="E2529" s="15"/>
      <c r="F2529" s="15"/>
      <c r="G2529" s="15"/>
      <c r="H2529" s="15"/>
      <c r="I2529" s="17" t="str">
        <f>IFERROR(__xludf.DUMMYFUNCTION("""COMPUTED_VALUE"""),"")</f>
        <v/>
      </c>
      <c r="J2529" s="15"/>
      <c r="L2529" s="18"/>
      <c r="M2529" s="19"/>
      <c r="N2529" s="19"/>
    </row>
    <row r="2530">
      <c r="A2530" s="14"/>
      <c r="B2530" s="15" t="str">
        <f>IFERROR(__xludf.DUMMYFUNCTION("""COMPUTED_VALUE"""),"")</f>
        <v/>
      </c>
      <c r="C2530" s="15"/>
      <c r="D2530" s="15"/>
      <c r="E2530" s="15"/>
      <c r="F2530" s="15"/>
      <c r="G2530" s="15"/>
      <c r="H2530" s="15"/>
      <c r="I2530" s="17" t="str">
        <f>IFERROR(__xludf.DUMMYFUNCTION("""COMPUTED_VALUE"""),"")</f>
        <v/>
      </c>
      <c r="J2530" s="15"/>
      <c r="L2530" s="18"/>
      <c r="M2530" s="19"/>
      <c r="N2530" s="19"/>
    </row>
    <row r="2531">
      <c r="A2531" s="14"/>
      <c r="B2531" s="15" t="str">
        <f>IFERROR(__xludf.DUMMYFUNCTION("""COMPUTED_VALUE"""),"")</f>
        <v/>
      </c>
      <c r="C2531" s="15"/>
      <c r="D2531" s="15"/>
      <c r="E2531" s="15"/>
      <c r="F2531" s="15"/>
      <c r="G2531" s="15"/>
      <c r="H2531" s="15"/>
      <c r="I2531" s="17" t="str">
        <f>IFERROR(__xludf.DUMMYFUNCTION("""COMPUTED_VALUE"""),"")</f>
        <v/>
      </c>
      <c r="J2531" s="15"/>
      <c r="L2531" s="18"/>
      <c r="M2531" s="19"/>
      <c r="N2531" s="19"/>
    </row>
    <row r="2532">
      <c r="A2532" s="14"/>
      <c r="B2532" s="15" t="str">
        <f>IFERROR(__xludf.DUMMYFUNCTION("""COMPUTED_VALUE"""),"")</f>
        <v/>
      </c>
      <c r="C2532" s="15"/>
      <c r="D2532" s="15"/>
      <c r="E2532" s="15"/>
      <c r="F2532" s="15"/>
      <c r="G2532" s="15"/>
      <c r="H2532" s="15"/>
      <c r="I2532" s="17" t="str">
        <f>IFERROR(__xludf.DUMMYFUNCTION("""COMPUTED_VALUE"""),"")</f>
        <v/>
      </c>
      <c r="J2532" s="15"/>
      <c r="L2532" s="18"/>
      <c r="M2532" s="19"/>
      <c r="N2532" s="19"/>
    </row>
    <row r="2533">
      <c r="A2533" s="14"/>
      <c r="B2533" s="15" t="str">
        <f>IFERROR(__xludf.DUMMYFUNCTION("""COMPUTED_VALUE"""),"")</f>
        <v/>
      </c>
      <c r="C2533" s="15"/>
      <c r="D2533" s="15"/>
      <c r="E2533" s="15"/>
      <c r="F2533" s="15"/>
      <c r="G2533" s="15"/>
      <c r="H2533" s="15"/>
      <c r="I2533" s="17" t="str">
        <f>IFERROR(__xludf.DUMMYFUNCTION("""COMPUTED_VALUE"""),"")</f>
        <v/>
      </c>
      <c r="J2533" s="15"/>
      <c r="L2533" s="18"/>
      <c r="M2533" s="19"/>
      <c r="N2533" s="19"/>
    </row>
    <row r="2534">
      <c r="A2534" s="14"/>
      <c r="B2534" s="15" t="str">
        <f>IFERROR(__xludf.DUMMYFUNCTION("""COMPUTED_VALUE"""),"")</f>
        <v/>
      </c>
      <c r="C2534" s="15"/>
      <c r="D2534" s="15"/>
      <c r="E2534" s="15"/>
      <c r="F2534" s="15"/>
      <c r="G2534" s="15"/>
      <c r="H2534" s="15"/>
      <c r="I2534" s="17" t="str">
        <f>IFERROR(__xludf.DUMMYFUNCTION("""COMPUTED_VALUE"""),"")</f>
        <v/>
      </c>
      <c r="J2534" s="15"/>
      <c r="L2534" s="18"/>
      <c r="M2534" s="19"/>
      <c r="N2534" s="19"/>
    </row>
    <row r="2535">
      <c r="A2535" s="14"/>
      <c r="B2535" s="15" t="str">
        <f>IFERROR(__xludf.DUMMYFUNCTION("""COMPUTED_VALUE"""),"")</f>
        <v/>
      </c>
      <c r="C2535" s="15"/>
      <c r="D2535" s="15"/>
      <c r="E2535" s="15"/>
      <c r="F2535" s="15"/>
      <c r="G2535" s="15"/>
      <c r="H2535" s="15"/>
      <c r="I2535" s="17" t="str">
        <f>IFERROR(__xludf.DUMMYFUNCTION("""COMPUTED_VALUE"""),"")</f>
        <v/>
      </c>
      <c r="J2535" s="15"/>
      <c r="L2535" s="18"/>
      <c r="M2535" s="19"/>
      <c r="N2535" s="19"/>
    </row>
    <row r="2536">
      <c r="A2536" s="14"/>
      <c r="B2536" s="15" t="str">
        <f>IFERROR(__xludf.DUMMYFUNCTION("""COMPUTED_VALUE"""),"")</f>
        <v/>
      </c>
      <c r="C2536" s="15"/>
      <c r="D2536" s="15"/>
      <c r="E2536" s="15"/>
      <c r="F2536" s="15"/>
      <c r="G2536" s="15"/>
      <c r="H2536" s="15"/>
      <c r="I2536" s="17" t="str">
        <f>IFERROR(__xludf.DUMMYFUNCTION("""COMPUTED_VALUE"""),"")</f>
        <v/>
      </c>
      <c r="J2536" s="15"/>
      <c r="L2536" s="18"/>
      <c r="M2536" s="19"/>
      <c r="N2536" s="19"/>
    </row>
    <row r="2537">
      <c r="A2537" s="14"/>
      <c r="B2537" s="15" t="str">
        <f>IFERROR(__xludf.DUMMYFUNCTION("""COMPUTED_VALUE"""),"")</f>
        <v/>
      </c>
      <c r="C2537" s="15"/>
      <c r="D2537" s="15"/>
      <c r="E2537" s="15"/>
      <c r="F2537" s="15"/>
      <c r="G2537" s="15"/>
      <c r="H2537" s="15"/>
      <c r="I2537" s="17" t="str">
        <f>IFERROR(__xludf.DUMMYFUNCTION("""COMPUTED_VALUE"""),"")</f>
        <v/>
      </c>
      <c r="J2537" s="15"/>
      <c r="L2537" s="18"/>
      <c r="M2537" s="19"/>
      <c r="N2537" s="19"/>
    </row>
    <row r="2538">
      <c r="A2538" s="14"/>
      <c r="B2538" s="15" t="str">
        <f>IFERROR(__xludf.DUMMYFUNCTION("""COMPUTED_VALUE"""),"")</f>
        <v/>
      </c>
      <c r="C2538" s="15"/>
      <c r="D2538" s="15"/>
      <c r="E2538" s="15"/>
      <c r="F2538" s="15"/>
      <c r="G2538" s="15"/>
      <c r="H2538" s="15"/>
      <c r="I2538" s="17" t="str">
        <f>IFERROR(__xludf.DUMMYFUNCTION("""COMPUTED_VALUE"""),"")</f>
        <v/>
      </c>
      <c r="J2538" s="15"/>
      <c r="L2538" s="18"/>
      <c r="M2538" s="19"/>
      <c r="N2538" s="19"/>
    </row>
    <row r="2539">
      <c r="A2539" s="14"/>
      <c r="B2539" s="15" t="str">
        <f>IFERROR(__xludf.DUMMYFUNCTION("""COMPUTED_VALUE"""),"")</f>
        <v/>
      </c>
      <c r="C2539" s="15"/>
      <c r="D2539" s="15"/>
      <c r="E2539" s="15"/>
      <c r="F2539" s="15"/>
      <c r="G2539" s="15"/>
      <c r="H2539" s="15"/>
      <c r="I2539" s="17" t="str">
        <f>IFERROR(__xludf.DUMMYFUNCTION("""COMPUTED_VALUE"""),"")</f>
        <v/>
      </c>
      <c r="J2539" s="15"/>
      <c r="L2539" s="18"/>
      <c r="M2539" s="19"/>
      <c r="N2539" s="19"/>
    </row>
    <row r="2540">
      <c r="A2540" s="14"/>
      <c r="B2540" s="15" t="str">
        <f>IFERROR(__xludf.DUMMYFUNCTION("""COMPUTED_VALUE"""),"")</f>
        <v/>
      </c>
      <c r="C2540" s="15"/>
      <c r="D2540" s="15"/>
      <c r="E2540" s="15"/>
      <c r="F2540" s="15"/>
      <c r="G2540" s="15"/>
      <c r="H2540" s="15"/>
      <c r="I2540" s="17" t="str">
        <f>IFERROR(__xludf.DUMMYFUNCTION("""COMPUTED_VALUE"""),"")</f>
        <v/>
      </c>
      <c r="J2540" s="15"/>
      <c r="L2540" s="18"/>
      <c r="M2540" s="19"/>
      <c r="N2540" s="19"/>
    </row>
    <row r="2541">
      <c r="A2541" s="14"/>
      <c r="B2541" s="15" t="str">
        <f>IFERROR(__xludf.DUMMYFUNCTION("""COMPUTED_VALUE"""),"")</f>
        <v/>
      </c>
      <c r="C2541" s="15"/>
      <c r="D2541" s="15"/>
      <c r="E2541" s="15"/>
      <c r="F2541" s="15"/>
      <c r="G2541" s="15"/>
      <c r="H2541" s="15"/>
      <c r="I2541" s="17" t="str">
        <f>IFERROR(__xludf.DUMMYFUNCTION("""COMPUTED_VALUE"""),"")</f>
        <v/>
      </c>
      <c r="J2541" s="15"/>
      <c r="L2541" s="18"/>
      <c r="M2541" s="19"/>
      <c r="N2541" s="19"/>
    </row>
    <row r="2542">
      <c r="A2542" s="14"/>
      <c r="B2542" s="15" t="str">
        <f>IFERROR(__xludf.DUMMYFUNCTION("""COMPUTED_VALUE"""),"")</f>
        <v/>
      </c>
      <c r="C2542" s="15"/>
      <c r="D2542" s="15"/>
      <c r="E2542" s="15"/>
      <c r="F2542" s="15"/>
      <c r="G2542" s="15"/>
      <c r="H2542" s="15"/>
      <c r="I2542" s="17" t="str">
        <f>IFERROR(__xludf.DUMMYFUNCTION("""COMPUTED_VALUE"""),"")</f>
        <v/>
      </c>
      <c r="J2542" s="15"/>
      <c r="L2542" s="18"/>
      <c r="M2542" s="19"/>
      <c r="N2542" s="19"/>
    </row>
    <row r="2543">
      <c r="A2543" s="14"/>
      <c r="B2543" s="15" t="str">
        <f>IFERROR(__xludf.DUMMYFUNCTION("""COMPUTED_VALUE"""),"")</f>
        <v/>
      </c>
      <c r="C2543" s="15"/>
      <c r="D2543" s="15"/>
      <c r="E2543" s="15"/>
      <c r="F2543" s="15"/>
      <c r="G2543" s="15"/>
      <c r="H2543" s="15"/>
      <c r="I2543" s="17" t="str">
        <f>IFERROR(__xludf.DUMMYFUNCTION("""COMPUTED_VALUE"""),"")</f>
        <v/>
      </c>
      <c r="J2543" s="15"/>
      <c r="L2543" s="18"/>
      <c r="M2543" s="19"/>
      <c r="N2543" s="19"/>
    </row>
    <row r="2544">
      <c r="A2544" s="14"/>
      <c r="B2544" s="15" t="str">
        <f>IFERROR(__xludf.DUMMYFUNCTION("""COMPUTED_VALUE"""),"")</f>
        <v/>
      </c>
      <c r="C2544" s="15"/>
      <c r="D2544" s="15"/>
      <c r="E2544" s="15"/>
      <c r="F2544" s="15"/>
      <c r="G2544" s="15"/>
      <c r="H2544" s="15"/>
      <c r="I2544" s="17" t="str">
        <f>IFERROR(__xludf.DUMMYFUNCTION("""COMPUTED_VALUE"""),"")</f>
        <v/>
      </c>
      <c r="J2544" s="15"/>
      <c r="L2544" s="18"/>
      <c r="M2544" s="19"/>
      <c r="N2544" s="19"/>
    </row>
    <row r="2545">
      <c r="A2545" s="14"/>
      <c r="B2545" s="15" t="str">
        <f>IFERROR(__xludf.DUMMYFUNCTION("""COMPUTED_VALUE"""),"")</f>
        <v/>
      </c>
      <c r="C2545" s="15"/>
      <c r="D2545" s="15"/>
      <c r="E2545" s="15"/>
      <c r="F2545" s="15"/>
      <c r="G2545" s="15"/>
      <c r="H2545" s="15"/>
      <c r="I2545" s="17" t="str">
        <f>IFERROR(__xludf.DUMMYFUNCTION("""COMPUTED_VALUE"""),"")</f>
        <v/>
      </c>
      <c r="J2545" s="15"/>
      <c r="L2545" s="18"/>
      <c r="M2545" s="19"/>
      <c r="N2545" s="19"/>
    </row>
    <row r="2546">
      <c r="A2546" s="14"/>
      <c r="B2546" s="15" t="str">
        <f>IFERROR(__xludf.DUMMYFUNCTION("""COMPUTED_VALUE"""),"")</f>
        <v/>
      </c>
      <c r="C2546" s="15"/>
      <c r="D2546" s="15"/>
      <c r="E2546" s="15"/>
      <c r="F2546" s="15"/>
      <c r="G2546" s="15"/>
      <c r="H2546" s="15"/>
      <c r="I2546" s="17" t="str">
        <f>IFERROR(__xludf.DUMMYFUNCTION("""COMPUTED_VALUE"""),"")</f>
        <v/>
      </c>
      <c r="J2546" s="15"/>
      <c r="L2546" s="18"/>
      <c r="M2546" s="19"/>
      <c r="N2546" s="19"/>
    </row>
    <row r="2547">
      <c r="A2547" s="14"/>
      <c r="B2547" s="15" t="str">
        <f>IFERROR(__xludf.DUMMYFUNCTION("""COMPUTED_VALUE"""),"")</f>
        <v/>
      </c>
      <c r="C2547" s="15"/>
      <c r="D2547" s="15"/>
      <c r="E2547" s="15"/>
      <c r="F2547" s="15"/>
      <c r="G2547" s="15"/>
      <c r="H2547" s="15"/>
      <c r="I2547" s="17" t="str">
        <f>IFERROR(__xludf.DUMMYFUNCTION("""COMPUTED_VALUE"""),"")</f>
        <v/>
      </c>
      <c r="J2547" s="15"/>
      <c r="L2547" s="18"/>
      <c r="M2547" s="19"/>
      <c r="N2547" s="19"/>
    </row>
    <row r="2548">
      <c r="A2548" s="14"/>
      <c r="B2548" s="15" t="str">
        <f>IFERROR(__xludf.DUMMYFUNCTION("""COMPUTED_VALUE"""),"")</f>
        <v/>
      </c>
      <c r="C2548" s="15"/>
      <c r="D2548" s="15"/>
      <c r="E2548" s="15"/>
      <c r="F2548" s="15"/>
      <c r="G2548" s="15"/>
      <c r="H2548" s="15"/>
      <c r="I2548" s="17" t="str">
        <f>IFERROR(__xludf.DUMMYFUNCTION("""COMPUTED_VALUE"""),"")</f>
        <v/>
      </c>
      <c r="J2548" s="15"/>
      <c r="L2548" s="18"/>
      <c r="M2548" s="19"/>
      <c r="N2548" s="19"/>
    </row>
    <row r="2549">
      <c r="A2549" s="14"/>
      <c r="B2549" s="15" t="str">
        <f>IFERROR(__xludf.DUMMYFUNCTION("""COMPUTED_VALUE"""),"")</f>
        <v/>
      </c>
      <c r="C2549" s="15"/>
      <c r="D2549" s="15"/>
      <c r="E2549" s="15"/>
      <c r="F2549" s="15"/>
      <c r="G2549" s="15"/>
      <c r="H2549" s="15"/>
      <c r="I2549" s="17" t="str">
        <f>IFERROR(__xludf.DUMMYFUNCTION("""COMPUTED_VALUE"""),"")</f>
        <v/>
      </c>
      <c r="J2549" s="15"/>
      <c r="L2549" s="18"/>
      <c r="M2549" s="19"/>
      <c r="N2549" s="19"/>
    </row>
    <row r="2550">
      <c r="A2550" s="14"/>
      <c r="B2550" s="15" t="str">
        <f>IFERROR(__xludf.DUMMYFUNCTION("""COMPUTED_VALUE"""),"")</f>
        <v/>
      </c>
      <c r="C2550" s="15"/>
      <c r="D2550" s="15"/>
      <c r="E2550" s="15"/>
      <c r="F2550" s="15"/>
      <c r="G2550" s="15"/>
      <c r="H2550" s="15"/>
      <c r="I2550" s="17" t="str">
        <f>IFERROR(__xludf.DUMMYFUNCTION("""COMPUTED_VALUE"""),"")</f>
        <v/>
      </c>
      <c r="J2550" s="15"/>
      <c r="L2550" s="18"/>
      <c r="M2550" s="19"/>
      <c r="N2550" s="19"/>
    </row>
    <row r="2551">
      <c r="A2551" s="14"/>
      <c r="B2551" s="15" t="str">
        <f>IFERROR(__xludf.DUMMYFUNCTION("""COMPUTED_VALUE"""),"")</f>
        <v/>
      </c>
      <c r="C2551" s="15"/>
      <c r="D2551" s="15"/>
      <c r="E2551" s="15"/>
      <c r="F2551" s="15"/>
      <c r="G2551" s="15"/>
      <c r="H2551" s="15"/>
      <c r="I2551" s="17" t="str">
        <f>IFERROR(__xludf.DUMMYFUNCTION("""COMPUTED_VALUE"""),"")</f>
        <v/>
      </c>
      <c r="J2551" s="15"/>
      <c r="L2551" s="18"/>
      <c r="M2551" s="19"/>
      <c r="N2551" s="19"/>
    </row>
    <row r="2552">
      <c r="A2552" s="14"/>
      <c r="B2552" s="15" t="str">
        <f>IFERROR(__xludf.DUMMYFUNCTION("""COMPUTED_VALUE"""),"")</f>
        <v/>
      </c>
      <c r="C2552" s="15"/>
      <c r="D2552" s="15"/>
      <c r="E2552" s="15"/>
      <c r="F2552" s="15"/>
      <c r="G2552" s="15"/>
      <c r="H2552" s="15"/>
      <c r="I2552" s="17" t="str">
        <f>IFERROR(__xludf.DUMMYFUNCTION("""COMPUTED_VALUE"""),"")</f>
        <v/>
      </c>
      <c r="J2552" s="15"/>
      <c r="L2552" s="18"/>
      <c r="M2552" s="19"/>
      <c r="N2552" s="19"/>
    </row>
    <row r="2553">
      <c r="A2553" s="14"/>
      <c r="B2553" s="15" t="str">
        <f>IFERROR(__xludf.DUMMYFUNCTION("""COMPUTED_VALUE"""),"")</f>
        <v/>
      </c>
      <c r="C2553" s="15"/>
      <c r="D2553" s="15"/>
      <c r="E2553" s="15"/>
      <c r="F2553" s="15"/>
      <c r="G2553" s="15"/>
      <c r="H2553" s="15"/>
      <c r="I2553" s="17" t="str">
        <f>IFERROR(__xludf.DUMMYFUNCTION("""COMPUTED_VALUE"""),"")</f>
        <v/>
      </c>
      <c r="J2553" s="15"/>
      <c r="L2553" s="18"/>
      <c r="M2553" s="19"/>
      <c r="N2553" s="19"/>
    </row>
    <row r="2554">
      <c r="A2554" s="14"/>
      <c r="B2554" s="15" t="str">
        <f>IFERROR(__xludf.DUMMYFUNCTION("""COMPUTED_VALUE"""),"")</f>
        <v/>
      </c>
      <c r="C2554" s="15"/>
      <c r="D2554" s="15"/>
      <c r="E2554" s="15"/>
      <c r="F2554" s="15"/>
      <c r="G2554" s="15"/>
      <c r="H2554" s="15"/>
      <c r="I2554" s="17" t="str">
        <f>IFERROR(__xludf.DUMMYFUNCTION("""COMPUTED_VALUE"""),"")</f>
        <v/>
      </c>
      <c r="J2554" s="15"/>
      <c r="L2554" s="18"/>
      <c r="M2554" s="19"/>
      <c r="N2554" s="19"/>
    </row>
    <row r="2555">
      <c r="A2555" s="14"/>
      <c r="B2555" s="15" t="str">
        <f>IFERROR(__xludf.DUMMYFUNCTION("""COMPUTED_VALUE"""),"")</f>
        <v/>
      </c>
      <c r="C2555" s="15"/>
      <c r="D2555" s="15"/>
      <c r="E2555" s="15"/>
      <c r="F2555" s="15"/>
      <c r="G2555" s="15"/>
      <c r="H2555" s="15"/>
      <c r="I2555" s="17" t="str">
        <f>IFERROR(__xludf.DUMMYFUNCTION("""COMPUTED_VALUE"""),"")</f>
        <v/>
      </c>
      <c r="J2555" s="15"/>
      <c r="L2555" s="18"/>
      <c r="M2555" s="19"/>
      <c r="N2555" s="19"/>
    </row>
    <row r="2556">
      <c r="A2556" s="14"/>
      <c r="B2556" s="15" t="str">
        <f>IFERROR(__xludf.DUMMYFUNCTION("""COMPUTED_VALUE"""),"")</f>
        <v/>
      </c>
      <c r="C2556" s="15"/>
      <c r="D2556" s="15"/>
      <c r="E2556" s="15"/>
      <c r="F2556" s="15"/>
      <c r="G2556" s="15"/>
      <c r="H2556" s="15"/>
      <c r="I2556" s="17" t="str">
        <f>IFERROR(__xludf.DUMMYFUNCTION("""COMPUTED_VALUE"""),"")</f>
        <v/>
      </c>
      <c r="J2556" s="15"/>
      <c r="L2556" s="18"/>
      <c r="M2556" s="19"/>
      <c r="N2556" s="19"/>
    </row>
    <row r="2557">
      <c r="A2557" s="14"/>
      <c r="B2557" s="15" t="str">
        <f>IFERROR(__xludf.DUMMYFUNCTION("""COMPUTED_VALUE"""),"")</f>
        <v/>
      </c>
      <c r="C2557" s="15"/>
      <c r="D2557" s="15"/>
      <c r="E2557" s="15"/>
      <c r="F2557" s="15"/>
      <c r="G2557" s="15"/>
      <c r="H2557" s="15"/>
      <c r="I2557" s="17" t="str">
        <f>IFERROR(__xludf.DUMMYFUNCTION("""COMPUTED_VALUE"""),"")</f>
        <v/>
      </c>
      <c r="J2557" s="15"/>
      <c r="L2557" s="18"/>
      <c r="M2557" s="19"/>
      <c r="N2557" s="19"/>
    </row>
    <row r="2558">
      <c r="A2558" s="14"/>
      <c r="B2558" s="15" t="str">
        <f>IFERROR(__xludf.DUMMYFUNCTION("""COMPUTED_VALUE"""),"")</f>
        <v/>
      </c>
      <c r="C2558" s="15"/>
      <c r="D2558" s="15"/>
      <c r="E2558" s="15"/>
      <c r="F2558" s="15"/>
      <c r="G2558" s="15"/>
      <c r="H2558" s="15"/>
      <c r="I2558" s="17" t="str">
        <f>IFERROR(__xludf.DUMMYFUNCTION("""COMPUTED_VALUE"""),"")</f>
        <v/>
      </c>
      <c r="J2558" s="15"/>
      <c r="L2558" s="18"/>
      <c r="M2558" s="19"/>
      <c r="N2558" s="19"/>
    </row>
    <row r="2559">
      <c r="A2559" s="14"/>
      <c r="B2559" s="15" t="str">
        <f>IFERROR(__xludf.DUMMYFUNCTION("""COMPUTED_VALUE"""),"")</f>
        <v/>
      </c>
      <c r="C2559" s="15"/>
      <c r="D2559" s="15"/>
      <c r="E2559" s="15"/>
      <c r="F2559" s="15"/>
      <c r="G2559" s="15"/>
      <c r="H2559" s="15"/>
      <c r="I2559" s="17" t="str">
        <f>IFERROR(__xludf.DUMMYFUNCTION("""COMPUTED_VALUE"""),"")</f>
        <v/>
      </c>
      <c r="J2559" s="15"/>
      <c r="L2559" s="18"/>
      <c r="M2559" s="19"/>
      <c r="N2559" s="19"/>
    </row>
    <row r="2560">
      <c r="A2560" s="14"/>
      <c r="B2560" s="15" t="str">
        <f>IFERROR(__xludf.DUMMYFUNCTION("""COMPUTED_VALUE"""),"")</f>
        <v/>
      </c>
      <c r="C2560" s="15"/>
      <c r="D2560" s="15"/>
      <c r="E2560" s="15"/>
      <c r="F2560" s="15"/>
      <c r="G2560" s="15"/>
      <c r="H2560" s="15"/>
      <c r="I2560" s="17" t="str">
        <f>IFERROR(__xludf.DUMMYFUNCTION("""COMPUTED_VALUE"""),"")</f>
        <v/>
      </c>
      <c r="J2560" s="15"/>
      <c r="L2560" s="18"/>
      <c r="M2560" s="19"/>
      <c r="N2560" s="19"/>
    </row>
    <row r="2561">
      <c r="A2561" s="14"/>
      <c r="B2561" s="15" t="str">
        <f>IFERROR(__xludf.DUMMYFUNCTION("""COMPUTED_VALUE"""),"")</f>
        <v/>
      </c>
      <c r="C2561" s="15"/>
      <c r="D2561" s="15"/>
      <c r="E2561" s="15"/>
      <c r="F2561" s="15"/>
      <c r="G2561" s="15"/>
      <c r="H2561" s="15"/>
      <c r="I2561" s="17" t="str">
        <f>IFERROR(__xludf.DUMMYFUNCTION("""COMPUTED_VALUE"""),"")</f>
        <v/>
      </c>
      <c r="J2561" s="15"/>
      <c r="L2561" s="18"/>
      <c r="M2561" s="19"/>
      <c r="N2561" s="19"/>
    </row>
    <row r="2562">
      <c r="A2562" s="14"/>
      <c r="B2562" s="15" t="str">
        <f>IFERROR(__xludf.DUMMYFUNCTION("""COMPUTED_VALUE"""),"")</f>
        <v/>
      </c>
      <c r="C2562" s="15"/>
      <c r="D2562" s="15"/>
      <c r="E2562" s="15"/>
      <c r="F2562" s="15"/>
      <c r="G2562" s="15"/>
      <c r="H2562" s="15"/>
      <c r="I2562" s="17" t="str">
        <f>IFERROR(__xludf.DUMMYFUNCTION("""COMPUTED_VALUE"""),"")</f>
        <v/>
      </c>
      <c r="J2562" s="15"/>
      <c r="L2562" s="18"/>
      <c r="M2562" s="19"/>
      <c r="N2562" s="19"/>
    </row>
    <row r="2563">
      <c r="A2563" s="14"/>
      <c r="B2563" s="15" t="str">
        <f>IFERROR(__xludf.DUMMYFUNCTION("""COMPUTED_VALUE"""),"")</f>
        <v/>
      </c>
      <c r="C2563" s="15"/>
      <c r="D2563" s="15"/>
      <c r="E2563" s="15"/>
      <c r="F2563" s="15"/>
      <c r="G2563" s="15"/>
      <c r="H2563" s="15"/>
      <c r="I2563" s="17" t="str">
        <f>IFERROR(__xludf.DUMMYFUNCTION("""COMPUTED_VALUE"""),"")</f>
        <v/>
      </c>
      <c r="J2563" s="15"/>
      <c r="L2563" s="18"/>
      <c r="M2563" s="19"/>
      <c r="N2563" s="19"/>
    </row>
    <row r="2564">
      <c r="A2564" s="14"/>
      <c r="B2564" s="15" t="str">
        <f>IFERROR(__xludf.DUMMYFUNCTION("""COMPUTED_VALUE"""),"")</f>
        <v/>
      </c>
      <c r="C2564" s="15"/>
      <c r="D2564" s="15"/>
      <c r="E2564" s="15"/>
      <c r="F2564" s="15"/>
      <c r="G2564" s="15"/>
      <c r="H2564" s="15"/>
      <c r="I2564" s="17" t="str">
        <f>IFERROR(__xludf.DUMMYFUNCTION("""COMPUTED_VALUE"""),"")</f>
        <v/>
      </c>
      <c r="J2564" s="15"/>
      <c r="L2564" s="18"/>
      <c r="M2564" s="19"/>
      <c r="N2564" s="19"/>
    </row>
    <row r="2565">
      <c r="A2565" s="14"/>
      <c r="B2565" s="15" t="str">
        <f>IFERROR(__xludf.DUMMYFUNCTION("""COMPUTED_VALUE"""),"")</f>
        <v/>
      </c>
      <c r="C2565" s="15"/>
      <c r="D2565" s="15"/>
      <c r="E2565" s="15"/>
      <c r="F2565" s="15"/>
      <c r="G2565" s="15"/>
      <c r="H2565" s="15"/>
      <c r="I2565" s="17" t="str">
        <f>IFERROR(__xludf.DUMMYFUNCTION("""COMPUTED_VALUE"""),"")</f>
        <v/>
      </c>
      <c r="J2565" s="15"/>
      <c r="L2565" s="18"/>
      <c r="M2565" s="19"/>
      <c r="N2565" s="19"/>
    </row>
    <row r="2566">
      <c r="A2566" s="14"/>
      <c r="B2566" s="15" t="str">
        <f>IFERROR(__xludf.DUMMYFUNCTION("""COMPUTED_VALUE"""),"")</f>
        <v/>
      </c>
      <c r="C2566" s="15"/>
      <c r="D2566" s="15"/>
      <c r="E2566" s="15"/>
      <c r="F2566" s="15"/>
      <c r="G2566" s="15"/>
      <c r="H2566" s="15"/>
      <c r="I2566" s="17" t="str">
        <f>IFERROR(__xludf.DUMMYFUNCTION("""COMPUTED_VALUE"""),"")</f>
        <v/>
      </c>
      <c r="J2566" s="15"/>
      <c r="L2566" s="18"/>
      <c r="M2566" s="19"/>
      <c r="N2566" s="19"/>
    </row>
    <row r="2567">
      <c r="A2567" s="14"/>
      <c r="B2567" s="15" t="str">
        <f>IFERROR(__xludf.DUMMYFUNCTION("""COMPUTED_VALUE"""),"")</f>
        <v/>
      </c>
      <c r="C2567" s="15"/>
      <c r="D2567" s="15"/>
      <c r="E2567" s="15"/>
      <c r="F2567" s="15"/>
      <c r="G2567" s="15"/>
      <c r="H2567" s="15"/>
      <c r="I2567" s="17" t="str">
        <f>IFERROR(__xludf.DUMMYFUNCTION("""COMPUTED_VALUE"""),"")</f>
        <v/>
      </c>
      <c r="J2567" s="15"/>
      <c r="L2567" s="18"/>
      <c r="M2567" s="19"/>
      <c r="N2567" s="19"/>
    </row>
    <row r="2568">
      <c r="A2568" s="14"/>
      <c r="B2568" s="15" t="str">
        <f>IFERROR(__xludf.DUMMYFUNCTION("""COMPUTED_VALUE"""),"")</f>
        <v/>
      </c>
      <c r="C2568" s="15"/>
      <c r="D2568" s="15"/>
      <c r="E2568" s="15"/>
      <c r="F2568" s="15"/>
      <c r="G2568" s="15"/>
      <c r="H2568" s="15"/>
      <c r="I2568" s="17" t="str">
        <f>IFERROR(__xludf.DUMMYFUNCTION("""COMPUTED_VALUE"""),"")</f>
        <v/>
      </c>
      <c r="J2568" s="15"/>
      <c r="L2568" s="18"/>
      <c r="M2568" s="19"/>
      <c r="N2568" s="19"/>
    </row>
    <row r="2569">
      <c r="A2569" s="14"/>
      <c r="B2569" s="15" t="str">
        <f>IFERROR(__xludf.DUMMYFUNCTION("""COMPUTED_VALUE"""),"")</f>
        <v/>
      </c>
      <c r="C2569" s="15"/>
      <c r="D2569" s="15"/>
      <c r="E2569" s="15"/>
      <c r="F2569" s="15"/>
      <c r="G2569" s="15"/>
      <c r="H2569" s="15"/>
      <c r="I2569" s="17" t="str">
        <f>IFERROR(__xludf.DUMMYFUNCTION("""COMPUTED_VALUE"""),"")</f>
        <v/>
      </c>
      <c r="J2569" s="15"/>
      <c r="L2569" s="18"/>
      <c r="M2569" s="19"/>
      <c r="N2569" s="19"/>
    </row>
    <row r="2570">
      <c r="A2570" s="14"/>
      <c r="B2570" s="15" t="str">
        <f>IFERROR(__xludf.DUMMYFUNCTION("""COMPUTED_VALUE"""),"")</f>
        <v/>
      </c>
      <c r="C2570" s="15"/>
      <c r="D2570" s="15"/>
      <c r="E2570" s="15"/>
      <c r="F2570" s="15"/>
      <c r="G2570" s="15"/>
      <c r="H2570" s="15"/>
      <c r="I2570" s="17" t="str">
        <f>IFERROR(__xludf.DUMMYFUNCTION("""COMPUTED_VALUE"""),"")</f>
        <v/>
      </c>
      <c r="J2570" s="15"/>
      <c r="L2570" s="18"/>
      <c r="M2570" s="19"/>
      <c r="N2570" s="19"/>
    </row>
    <row r="2571">
      <c r="A2571" s="14"/>
      <c r="B2571" s="15" t="str">
        <f>IFERROR(__xludf.DUMMYFUNCTION("""COMPUTED_VALUE"""),"")</f>
        <v/>
      </c>
      <c r="C2571" s="15"/>
      <c r="D2571" s="15"/>
      <c r="E2571" s="15"/>
      <c r="F2571" s="15"/>
      <c r="G2571" s="15"/>
      <c r="H2571" s="15"/>
      <c r="I2571" s="17" t="str">
        <f>IFERROR(__xludf.DUMMYFUNCTION("""COMPUTED_VALUE"""),"")</f>
        <v/>
      </c>
      <c r="J2571" s="15"/>
      <c r="L2571" s="18"/>
      <c r="M2571" s="19"/>
      <c r="N2571" s="19"/>
    </row>
    <row r="2572">
      <c r="A2572" s="14"/>
      <c r="B2572" s="15" t="str">
        <f>IFERROR(__xludf.DUMMYFUNCTION("""COMPUTED_VALUE"""),"")</f>
        <v/>
      </c>
      <c r="C2572" s="15"/>
      <c r="D2572" s="15"/>
      <c r="E2572" s="15"/>
      <c r="F2572" s="15"/>
      <c r="G2572" s="15"/>
      <c r="H2572" s="15"/>
      <c r="I2572" s="17" t="str">
        <f>IFERROR(__xludf.DUMMYFUNCTION("""COMPUTED_VALUE"""),"")</f>
        <v/>
      </c>
      <c r="J2572" s="15"/>
      <c r="L2572" s="18"/>
      <c r="M2572" s="19"/>
      <c r="N2572" s="19"/>
    </row>
    <row r="2573">
      <c r="A2573" s="14"/>
      <c r="B2573" s="15" t="str">
        <f>IFERROR(__xludf.DUMMYFUNCTION("""COMPUTED_VALUE"""),"")</f>
        <v/>
      </c>
      <c r="C2573" s="15"/>
      <c r="D2573" s="15"/>
      <c r="E2573" s="15"/>
      <c r="F2573" s="15"/>
      <c r="G2573" s="15"/>
      <c r="H2573" s="15"/>
      <c r="I2573" s="17" t="str">
        <f>IFERROR(__xludf.DUMMYFUNCTION("""COMPUTED_VALUE"""),"")</f>
        <v/>
      </c>
      <c r="J2573" s="15"/>
      <c r="L2573" s="18"/>
      <c r="M2573" s="19"/>
      <c r="N2573" s="19"/>
    </row>
    <row r="2574">
      <c r="A2574" s="14"/>
      <c r="B2574" s="15" t="str">
        <f>IFERROR(__xludf.DUMMYFUNCTION("""COMPUTED_VALUE"""),"")</f>
        <v/>
      </c>
      <c r="C2574" s="15"/>
      <c r="D2574" s="15"/>
      <c r="E2574" s="15"/>
      <c r="F2574" s="15"/>
      <c r="G2574" s="15"/>
      <c r="H2574" s="15"/>
      <c r="I2574" s="17" t="str">
        <f>IFERROR(__xludf.DUMMYFUNCTION("""COMPUTED_VALUE"""),"")</f>
        <v/>
      </c>
      <c r="J2574" s="15"/>
      <c r="L2574" s="18"/>
      <c r="M2574" s="19"/>
      <c r="N2574" s="19"/>
    </row>
    <row r="2575">
      <c r="A2575" s="14"/>
      <c r="B2575" s="15" t="str">
        <f>IFERROR(__xludf.DUMMYFUNCTION("""COMPUTED_VALUE"""),"")</f>
        <v/>
      </c>
      <c r="C2575" s="15"/>
      <c r="D2575" s="15"/>
      <c r="E2575" s="15"/>
      <c r="F2575" s="15"/>
      <c r="G2575" s="15"/>
      <c r="H2575" s="15"/>
      <c r="I2575" s="17" t="str">
        <f>IFERROR(__xludf.DUMMYFUNCTION("""COMPUTED_VALUE"""),"")</f>
        <v/>
      </c>
      <c r="J2575" s="15"/>
      <c r="L2575" s="18"/>
      <c r="M2575" s="19"/>
      <c r="N2575" s="19"/>
    </row>
    <row r="2576">
      <c r="A2576" s="14"/>
      <c r="B2576" s="15" t="str">
        <f>IFERROR(__xludf.DUMMYFUNCTION("""COMPUTED_VALUE"""),"")</f>
        <v/>
      </c>
      <c r="C2576" s="15"/>
      <c r="D2576" s="15"/>
      <c r="E2576" s="15"/>
      <c r="F2576" s="15"/>
      <c r="G2576" s="15"/>
      <c r="H2576" s="15"/>
      <c r="I2576" s="17" t="str">
        <f>IFERROR(__xludf.DUMMYFUNCTION("""COMPUTED_VALUE"""),"")</f>
        <v/>
      </c>
      <c r="J2576" s="15"/>
      <c r="L2576" s="18"/>
      <c r="M2576" s="19"/>
      <c r="N2576" s="19"/>
    </row>
    <row r="2577">
      <c r="A2577" s="14"/>
      <c r="B2577" s="15" t="str">
        <f>IFERROR(__xludf.DUMMYFUNCTION("""COMPUTED_VALUE"""),"")</f>
        <v/>
      </c>
      <c r="C2577" s="15"/>
      <c r="D2577" s="15"/>
      <c r="E2577" s="15"/>
      <c r="F2577" s="15"/>
      <c r="G2577" s="15"/>
      <c r="H2577" s="15"/>
      <c r="I2577" s="17" t="str">
        <f>IFERROR(__xludf.DUMMYFUNCTION("""COMPUTED_VALUE"""),"")</f>
        <v/>
      </c>
      <c r="J2577" s="15"/>
      <c r="L2577" s="18"/>
      <c r="M2577" s="19"/>
      <c r="N2577" s="19"/>
    </row>
    <row r="2578">
      <c r="A2578" s="14"/>
      <c r="B2578" s="15" t="str">
        <f>IFERROR(__xludf.DUMMYFUNCTION("""COMPUTED_VALUE"""),"")</f>
        <v/>
      </c>
      <c r="C2578" s="15"/>
      <c r="D2578" s="15"/>
      <c r="E2578" s="15"/>
      <c r="F2578" s="15"/>
      <c r="G2578" s="15"/>
      <c r="H2578" s="15"/>
      <c r="I2578" s="17" t="str">
        <f>IFERROR(__xludf.DUMMYFUNCTION("""COMPUTED_VALUE"""),"")</f>
        <v/>
      </c>
      <c r="J2578" s="15"/>
      <c r="L2578" s="18"/>
      <c r="M2578" s="19"/>
      <c r="N2578" s="19"/>
    </row>
    <row r="2579">
      <c r="A2579" s="14"/>
      <c r="B2579" s="15" t="str">
        <f>IFERROR(__xludf.DUMMYFUNCTION("""COMPUTED_VALUE"""),"")</f>
        <v/>
      </c>
      <c r="C2579" s="15"/>
      <c r="D2579" s="15"/>
      <c r="E2579" s="15"/>
      <c r="F2579" s="15"/>
      <c r="G2579" s="15"/>
      <c r="H2579" s="15"/>
      <c r="I2579" s="17" t="str">
        <f>IFERROR(__xludf.DUMMYFUNCTION("""COMPUTED_VALUE"""),"")</f>
        <v/>
      </c>
      <c r="J2579" s="15"/>
      <c r="L2579" s="18"/>
      <c r="M2579" s="19"/>
      <c r="N2579" s="19"/>
    </row>
    <row r="2580">
      <c r="A2580" s="14"/>
      <c r="B2580" s="15" t="str">
        <f>IFERROR(__xludf.DUMMYFUNCTION("""COMPUTED_VALUE"""),"")</f>
        <v/>
      </c>
      <c r="C2580" s="15"/>
      <c r="D2580" s="15"/>
      <c r="E2580" s="15"/>
      <c r="F2580" s="15"/>
      <c r="G2580" s="15"/>
      <c r="H2580" s="15"/>
      <c r="I2580" s="17" t="str">
        <f>IFERROR(__xludf.DUMMYFUNCTION("""COMPUTED_VALUE"""),"")</f>
        <v/>
      </c>
      <c r="J2580" s="15"/>
      <c r="L2580" s="18"/>
      <c r="M2580" s="19"/>
      <c r="N2580" s="19"/>
    </row>
    <row r="2581">
      <c r="A2581" s="14"/>
      <c r="B2581" s="15" t="str">
        <f>IFERROR(__xludf.DUMMYFUNCTION("""COMPUTED_VALUE"""),"")</f>
        <v/>
      </c>
      <c r="C2581" s="15"/>
      <c r="D2581" s="15"/>
      <c r="E2581" s="15"/>
      <c r="F2581" s="15"/>
      <c r="G2581" s="15"/>
      <c r="H2581" s="15"/>
      <c r="I2581" s="17" t="str">
        <f>IFERROR(__xludf.DUMMYFUNCTION("""COMPUTED_VALUE"""),"")</f>
        <v/>
      </c>
      <c r="J2581" s="15"/>
      <c r="L2581" s="18"/>
      <c r="M2581" s="19"/>
      <c r="N2581" s="19"/>
    </row>
    <row r="2582">
      <c r="A2582" s="14"/>
      <c r="B2582" s="15" t="str">
        <f>IFERROR(__xludf.DUMMYFUNCTION("""COMPUTED_VALUE"""),"")</f>
        <v/>
      </c>
      <c r="C2582" s="15"/>
      <c r="D2582" s="15"/>
      <c r="E2582" s="15"/>
      <c r="F2582" s="15"/>
      <c r="G2582" s="15"/>
      <c r="H2582" s="15"/>
      <c r="I2582" s="17" t="str">
        <f>IFERROR(__xludf.DUMMYFUNCTION("""COMPUTED_VALUE"""),"")</f>
        <v/>
      </c>
      <c r="J2582" s="15"/>
      <c r="L2582" s="18"/>
      <c r="M2582" s="19"/>
      <c r="N2582" s="19"/>
    </row>
    <row r="2583">
      <c r="A2583" s="14"/>
      <c r="B2583" s="15" t="str">
        <f>IFERROR(__xludf.DUMMYFUNCTION("""COMPUTED_VALUE"""),"")</f>
        <v/>
      </c>
      <c r="C2583" s="15"/>
      <c r="D2583" s="15"/>
      <c r="E2583" s="15"/>
      <c r="F2583" s="15"/>
      <c r="G2583" s="15"/>
      <c r="H2583" s="15"/>
      <c r="I2583" s="17" t="str">
        <f>IFERROR(__xludf.DUMMYFUNCTION("""COMPUTED_VALUE"""),"")</f>
        <v/>
      </c>
      <c r="J2583" s="15"/>
      <c r="L2583" s="18"/>
      <c r="M2583" s="19"/>
      <c r="N2583" s="19"/>
    </row>
    <row r="2584">
      <c r="A2584" s="14"/>
      <c r="B2584" s="15" t="str">
        <f>IFERROR(__xludf.DUMMYFUNCTION("""COMPUTED_VALUE"""),"")</f>
        <v/>
      </c>
      <c r="C2584" s="15"/>
      <c r="D2584" s="15"/>
      <c r="E2584" s="15"/>
      <c r="F2584" s="15"/>
      <c r="G2584" s="15"/>
      <c r="H2584" s="15"/>
      <c r="I2584" s="17" t="str">
        <f>IFERROR(__xludf.DUMMYFUNCTION("""COMPUTED_VALUE"""),"")</f>
        <v/>
      </c>
      <c r="J2584" s="15"/>
      <c r="L2584" s="18"/>
      <c r="M2584" s="19"/>
      <c r="N2584" s="19"/>
    </row>
    <row r="2585">
      <c r="A2585" s="14"/>
      <c r="B2585" s="15" t="str">
        <f>IFERROR(__xludf.DUMMYFUNCTION("""COMPUTED_VALUE"""),"")</f>
        <v/>
      </c>
      <c r="C2585" s="15"/>
      <c r="D2585" s="15"/>
      <c r="E2585" s="15"/>
      <c r="F2585" s="15"/>
      <c r="G2585" s="15"/>
      <c r="H2585" s="15"/>
      <c r="I2585" s="17" t="str">
        <f>IFERROR(__xludf.DUMMYFUNCTION("""COMPUTED_VALUE"""),"")</f>
        <v/>
      </c>
      <c r="J2585" s="15"/>
      <c r="L2585" s="18"/>
      <c r="M2585" s="19"/>
      <c r="N2585" s="19"/>
    </row>
    <row r="2586">
      <c r="A2586" s="14"/>
      <c r="B2586" s="15" t="str">
        <f>IFERROR(__xludf.DUMMYFUNCTION("""COMPUTED_VALUE"""),"")</f>
        <v/>
      </c>
      <c r="C2586" s="15"/>
      <c r="D2586" s="15"/>
      <c r="E2586" s="15"/>
      <c r="F2586" s="15"/>
      <c r="G2586" s="15"/>
      <c r="H2586" s="15"/>
      <c r="I2586" s="17" t="str">
        <f>IFERROR(__xludf.DUMMYFUNCTION("""COMPUTED_VALUE"""),"")</f>
        <v/>
      </c>
      <c r="J2586" s="15"/>
      <c r="L2586" s="18"/>
      <c r="M2586" s="19"/>
      <c r="N2586" s="19"/>
    </row>
    <row r="2587">
      <c r="A2587" s="14"/>
      <c r="B2587" s="15" t="str">
        <f>IFERROR(__xludf.DUMMYFUNCTION("""COMPUTED_VALUE"""),"")</f>
        <v/>
      </c>
      <c r="C2587" s="15"/>
      <c r="D2587" s="15"/>
      <c r="E2587" s="15"/>
      <c r="F2587" s="15"/>
      <c r="G2587" s="15"/>
      <c r="H2587" s="15"/>
      <c r="I2587" s="17" t="str">
        <f>IFERROR(__xludf.DUMMYFUNCTION("""COMPUTED_VALUE"""),"")</f>
        <v/>
      </c>
      <c r="J2587" s="15"/>
      <c r="L2587" s="18"/>
      <c r="M2587" s="19"/>
      <c r="N2587" s="19"/>
    </row>
    <row r="2588">
      <c r="A2588" s="14"/>
      <c r="B2588" s="15" t="str">
        <f>IFERROR(__xludf.DUMMYFUNCTION("""COMPUTED_VALUE"""),"")</f>
        <v/>
      </c>
      <c r="C2588" s="15"/>
      <c r="D2588" s="15"/>
      <c r="E2588" s="15"/>
      <c r="F2588" s="15"/>
      <c r="G2588" s="15"/>
      <c r="H2588" s="15"/>
      <c r="I2588" s="17" t="str">
        <f>IFERROR(__xludf.DUMMYFUNCTION("""COMPUTED_VALUE"""),"")</f>
        <v/>
      </c>
      <c r="J2588" s="15"/>
      <c r="L2588" s="18"/>
      <c r="M2588" s="19"/>
      <c r="N2588" s="19"/>
    </row>
    <row r="2589">
      <c r="A2589" s="14"/>
      <c r="B2589" s="15" t="str">
        <f>IFERROR(__xludf.DUMMYFUNCTION("""COMPUTED_VALUE"""),"")</f>
        <v/>
      </c>
      <c r="C2589" s="15"/>
      <c r="D2589" s="15"/>
      <c r="E2589" s="15"/>
      <c r="F2589" s="15"/>
      <c r="G2589" s="15"/>
      <c r="H2589" s="15"/>
      <c r="I2589" s="17" t="str">
        <f>IFERROR(__xludf.DUMMYFUNCTION("""COMPUTED_VALUE"""),"")</f>
        <v/>
      </c>
      <c r="J2589" s="15"/>
      <c r="L2589" s="18"/>
      <c r="M2589" s="19"/>
      <c r="N2589" s="19"/>
    </row>
    <row r="2590">
      <c r="A2590" s="14"/>
      <c r="B2590" s="15" t="str">
        <f>IFERROR(__xludf.DUMMYFUNCTION("""COMPUTED_VALUE"""),"")</f>
        <v/>
      </c>
      <c r="C2590" s="15"/>
      <c r="D2590" s="15"/>
      <c r="E2590" s="15"/>
      <c r="F2590" s="15"/>
      <c r="G2590" s="15"/>
      <c r="H2590" s="15"/>
      <c r="I2590" s="17" t="str">
        <f>IFERROR(__xludf.DUMMYFUNCTION("""COMPUTED_VALUE"""),"")</f>
        <v/>
      </c>
      <c r="J2590" s="15"/>
      <c r="L2590" s="18"/>
      <c r="M2590" s="19"/>
      <c r="N2590" s="19"/>
    </row>
    <row r="2591">
      <c r="A2591" s="14"/>
      <c r="B2591" s="15" t="str">
        <f>IFERROR(__xludf.DUMMYFUNCTION("""COMPUTED_VALUE"""),"")</f>
        <v/>
      </c>
      <c r="C2591" s="15"/>
      <c r="D2591" s="15"/>
      <c r="E2591" s="15"/>
      <c r="F2591" s="15"/>
      <c r="G2591" s="15"/>
      <c r="H2591" s="15"/>
      <c r="I2591" s="17" t="str">
        <f>IFERROR(__xludf.DUMMYFUNCTION("""COMPUTED_VALUE"""),"")</f>
        <v/>
      </c>
      <c r="J2591" s="15"/>
      <c r="L2591" s="18"/>
      <c r="M2591" s="19"/>
      <c r="N2591" s="19"/>
    </row>
    <row r="2592">
      <c r="A2592" s="14"/>
      <c r="B2592" s="15" t="str">
        <f>IFERROR(__xludf.DUMMYFUNCTION("""COMPUTED_VALUE"""),"")</f>
        <v/>
      </c>
      <c r="C2592" s="15"/>
      <c r="D2592" s="15"/>
      <c r="E2592" s="15"/>
      <c r="F2592" s="15"/>
      <c r="G2592" s="15"/>
      <c r="H2592" s="15"/>
      <c r="I2592" s="17" t="str">
        <f>IFERROR(__xludf.DUMMYFUNCTION("""COMPUTED_VALUE"""),"")</f>
        <v/>
      </c>
      <c r="J2592" s="15"/>
      <c r="L2592" s="18"/>
      <c r="M2592" s="19"/>
      <c r="N2592" s="19"/>
    </row>
    <row r="2593">
      <c r="A2593" s="14"/>
      <c r="B2593" s="15" t="str">
        <f>IFERROR(__xludf.DUMMYFUNCTION("""COMPUTED_VALUE"""),"")</f>
        <v/>
      </c>
      <c r="C2593" s="15"/>
      <c r="D2593" s="15"/>
      <c r="E2593" s="15"/>
      <c r="F2593" s="15"/>
      <c r="G2593" s="15"/>
      <c r="H2593" s="15"/>
      <c r="I2593" s="17" t="str">
        <f>IFERROR(__xludf.DUMMYFUNCTION("""COMPUTED_VALUE"""),"")</f>
        <v/>
      </c>
      <c r="J2593" s="15"/>
      <c r="L2593" s="18"/>
      <c r="M2593" s="19"/>
      <c r="N2593" s="19"/>
    </row>
    <row r="2594">
      <c r="A2594" s="14"/>
      <c r="B2594" s="15" t="str">
        <f>IFERROR(__xludf.DUMMYFUNCTION("""COMPUTED_VALUE"""),"")</f>
        <v/>
      </c>
      <c r="C2594" s="15"/>
      <c r="D2594" s="15"/>
      <c r="E2594" s="15"/>
      <c r="F2594" s="15"/>
      <c r="G2594" s="15"/>
      <c r="H2594" s="15"/>
      <c r="I2594" s="17" t="str">
        <f>IFERROR(__xludf.DUMMYFUNCTION("""COMPUTED_VALUE"""),"")</f>
        <v/>
      </c>
      <c r="J2594" s="15"/>
      <c r="L2594" s="18"/>
      <c r="M2594" s="19"/>
      <c r="N2594" s="19"/>
    </row>
    <row r="2595">
      <c r="A2595" s="14"/>
      <c r="B2595" s="15" t="str">
        <f>IFERROR(__xludf.DUMMYFUNCTION("""COMPUTED_VALUE"""),"")</f>
        <v/>
      </c>
      <c r="C2595" s="15"/>
      <c r="D2595" s="15"/>
      <c r="E2595" s="15"/>
      <c r="F2595" s="15"/>
      <c r="G2595" s="15"/>
      <c r="H2595" s="15"/>
      <c r="I2595" s="17" t="str">
        <f>IFERROR(__xludf.DUMMYFUNCTION("""COMPUTED_VALUE"""),"")</f>
        <v/>
      </c>
      <c r="J2595" s="15"/>
      <c r="L2595" s="18"/>
      <c r="M2595" s="19"/>
      <c r="N2595" s="19"/>
    </row>
    <row r="2596">
      <c r="A2596" s="14"/>
      <c r="B2596" s="15" t="str">
        <f>IFERROR(__xludf.DUMMYFUNCTION("""COMPUTED_VALUE"""),"")</f>
        <v/>
      </c>
      <c r="C2596" s="15"/>
      <c r="D2596" s="15"/>
      <c r="E2596" s="15"/>
      <c r="F2596" s="15"/>
      <c r="G2596" s="15"/>
      <c r="H2596" s="15"/>
      <c r="I2596" s="17" t="str">
        <f>IFERROR(__xludf.DUMMYFUNCTION("""COMPUTED_VALUE"""),"")</f>
        <v/>
      </c>
      <c r="J2596" s="15"/>
      <c r="L2596" s="18"/>
      <c r="M2596" s="19"/>
      <c r="N2596" s="19"/>
    </row>
    <row r="2597">
      <c r="A2597" s="14"/>
      <c r="B2597" s="15" t="str">
        <f>IFERROR(__xludf.DUMMYFUNCTION("""COMPUTED_VALUE"""),"")</f>
        <v/>
      </c>
      <c r="C2597" s="15"/>
      <c r="D2597" s="15"/>
      <c r="E2597" s="15"/>
      <c r="F2597" s="15"/>
      <c r="G2597" s="15"/>
      <c r="H2597" s="15"/>
      <c r="I2597" s="17" t="str">
        <f>IFERROR(__xludf.DUMMYFUNCTION("""COMPUTED_VALUE"""),"")</f>
        <v/>
      </c>
      <c r="J2597" s="15"/>
      <c r="L2597" s="18"/>
      <c r="M2597" s="19"/>
      <c r="N2597" s="19"/>
    </row>
    <row r="2598">
      <c r="A2598" s="14"/>
      <c r="B2598" s="15" t="str">
        <f>IFERROR(__xludf.DUMMYFUNCTION("""COMPUTED_VALUE"""),"")</f>
        <v/>
      </c>
      <c r="C2598" s="15"/>
      <c r="D2598" s="15"/>
      <c r="E2598" s="15"/>
      <c r="F2598" s="15"/>
      <c r="G2598" s="15"/>
      <c r="H2598" s="15"/>
      <c r="I2598" s="17" t="str">
        <f>IFERROR(__xludf.DUMMYFUNCTION("""COMPUTED_VALUE"""),"")</f>
        <v/>
      </c>
      <c r="J2598" s="15"/>
      <c r="L2598" s="18"/>
      <c r="M2598" s="19"/>
      <c r="N2598" s="19"/>
    </row>
    <row r="2599">
      <c r="A2599" s="14"/>
      <c r="B2599" s="15" t="str">
        <f>IFERROR(__xludf.DUMMYFUNCTION("""COMPUTED_VALUE"""),"")</f>
        <v/>
      </c>
      <c r="C2599" s="15"/>
      <c r="D2599" s="15"/>
      <c r="E2599" s="15"/>
      <c r="F2599" s="15"/>
      <c r="G2599" s="15"/>
      <c r="H2599" s="15"/>
      <c r="I2599" s="17" t="str">
        <f>IFERROR(__xludf.DUMMYFUNCTION("""COMPUTED_VALUE"""),"")</f>
        <v/>
      </c>
      <c r="J2599" s="15"/>
      <c r="L2599" s="18"/>
      <c r="M2599" s="19"/>
      <c r="N2599" s="19"/>
    </row>
    <row r="2600">
      <c r="A2600" s="14"/>
      <c r="B2600" s="15" t="str">
        <f>IFERROR(__xludf.DUMMYFUNCTION("""COMPUTED_VALUE"""),"")</f>
        <v/>
      </c>
      <c r="C2600" s="15"/>
      <c r="D2600" s="15"/>
      <c r="E2600" s="15"/>
      <c r="F2600" s="15"/>
      <c r="G2600" s="15"/>
      <c r="H2600" s="15"/>
      <c r="I2600" s="17" t="str">
        <f>IFERROR(__xludf.DUMMYFUNCTION("""COMPUTED_VALUE"""),"")</f>
        <v/>
      </c>
      <c r="J2600" s="15"/>
      <c r="L2600" s="18"/>
      <c r="M2600" s="19"/>
      <c r="N2600" s="19"/>
    </row>
    <row r="2601">
      <c r="A2601" s="14"/>
      <c r="B2601" s="15" t="str">
        <f>IFERROR(__xludf.DUMMYFUNCTION("""COMPUTED_VALUE"""),"")</f>
        <v/>
      </c>
      <c r="C2601" s="15"/>
      <c r="D2601" s="15"/>
      <c r="E2601" s="15"/>
      <c r="F2601" s="15"/>
      <c r="G2601" s="15"/>
      <c r="H2601" s="15"/>
      <c r="I2601" s="17" t="str">
        <f>IFERROR(__xludf.DUMMYFUNCTION("""COMPUTED_VALUE"""),"")</f>
        <v/>
      </c>
      <c r="J2601" s="15"/>
      <c r="L2601" s="18"/>
      <c r="M2601" s="19"/>
      <c r="N2601" s="19"/>
    </row>
    <row r="2602">
      <c r="A2602" s="14"/>
      <c r="B2602" s="15" t="str">
        <f>IFERROR(__xludf.DUMMYFUNCTION("""COMPUTED_VALUE"""),"")</f>
        <v/>
      </c>
      <c r="C2602" s="15"/>
      <c r="D2602" s="15"/>
      <c r="E2602" s="15"/>
      <c r="F2602" s="15"/>
      <c r="G2602" s="15"/>
      <c r="H2602" s="15"/>
      <c r="I2602" s="17" t="str">
        <f>IFERROR(__xludf.DUMMYFUNCTION("""COMPUTED_VALUE"""),"")</f>
        <v/>
      </c>
      <c r="J2602" s="15"/>
      <c r="L2602" s="18"/>
      <c r="M2602" s="19"/>
      <c r="N2602" s="19"/>
    </row>
    <row r="2603">
      <c r="A2603" s="14"/>
      <c r="B2603" s="15" t="str">
        <f>IFERROR(__xludf.DUMMYFUNCTION("""COMPUTED_VALUE"""),"")</f>
        <v/>
      </c>
      <c r="C2603" s="15"/>
      <c r="D2603" s="15"/>
      <c r="E2603" s="15"/>
      <c r="F2603" s="15"/>
      <c r="G2603" s="15"/>
      <c r="H2603" s="15"/>
      <c r="I2603" s="17" t="str">
        <f>IFERROR(__xludf.DUMMYFUNCTION("""COMPUTED_VALUE"""),"")</f>
        <v/>
      </c>
      <c r="J2603" s="15"/>
      <c r="L2603" s="18"/>
      <c r="M2603" s="19"/>
      <c r="N2603" s="19"/>
    </row>
    <row r="2604">
      <c r="A2604" s="14"/>
      <c r="B2604" s="15" t="str">
        <f>IFERROR(__xludf.DUMMYFUNCTION("""COMPUTED_VALUE"""),"")</f>
        <v/>
      </c>
      <c r="C2604" s="15"/>
      <c r="D2604" s="15"/>
      <c r="E2604" s="15"/>
      <c r="F2604" s="15"/>
      <c r="G2604" s="15"/>
      <c r="H2604" s="15"/>
      <c r="I2604" s="17" t="str">
        <f>IFERROR(__xludf.DUMMYFUNCTION("""COMPUTED_VALUE"""),"")</f>
        <v/>
      </c>
      <c r="J2604" s="15"/>
      <c r="L2604" s="18"/>
      <c r="M2604" s="19"/>
      <c r="N2604" s="19"/>
    </row>
    <row r="2605">
      <c r="A2605" s="14"/>
      <c r="B2605" s="15" t="str">
        <f>IFERROR(__xludf.DUMMYFUNCTION("""COMPUTED_VALUE"""),"")</f>
        <v/>
      </c>
      <c r="C2605" s="15"/>
      <c r="D2605" s="15"/>
      <c r="E2605" s="15"/>
      <c r="F2605" s="15"/>
      <c r="G2605" s="15"/>
      <c r="H2605" s="15"/>
      <c r="I2605" s="17" t="str">
        <f>IFERROR(__xludf.DUMMYFUNCTION("""COMPUTED_VALUE"""),"")</f>
        <v/>
      </c>
      <c r="J2605" s="15"/>
      <c r="L2605" s="18"/>
      <c r="M2605" s="19"/>
      <c r="N2605" s="19"/>
    </row>
    <row r="2606">
      <c r="A2606" s="14"/>
      <c r="B2606" s="15" t="str">
        <f>IFERROR(__xludf.DUMMYFUNCTION("""COMPUTED_VALUE"""),"")</f>
        <v/>
      </c>
      <c r="C2606" s="15"/>
      <c r="D2606" s="15"/>
      <c r="E2606" s="15"/>
      <c r="F2606" s="15"/>
      <c r="G2606" s="15"/>
      <c r="H2606" s="15"/>
      <c r="I2606" s="17" t="str">
        <f>IFERROR(__xludf.DUMMYFUNCTION("""COMPUTED_VALUE"""),"")</f>
        <v/>
      </c>
      <c r="J2606" s="15"/>
      <c r="L2606" s="18"/>
      <c r="M2606" s="19"/>
      <c r="N2606" s="19"/>
    </row>
    <row r="2607">
      <c r="A2607" s="14"/>
      <c r="B2607" s="15" t="str">
        <f>IFERROR(__xludf.DUMMYFUNCTION("""COMPUTED_VALUE"""),"")</f>
        <v/>
      </c>
      <c r="C2607" s="15"/>
      <c r="D2607" s="15"/>
      <c r="E2607" s="15"/>
      <c r="F2607" s="15"/>
      <c r="G2607" s="15"/>
      <c r="H2607" s="15"/>
      <c r="I2607" s="17" t="str">
        <f>IFERROR(__xludf.DUMMYFUNCTION("""COMPUTED_VALUE"""),"")</f>
        <v/>
      </c>
      <c r="J2607" s="15"/>
      <c r="L2607" s="18"/>
      <c r="M2607" s="19"/>
      <c r="N2607" s="19"/>
    </row>
    <row r="2608">
      <c r="A2608" s="14"/>
      <c r="B2608" s="15" t="str">
        <f>IFERROR(__xludf.DUMMYFUNCTION("""COMPUTED_VALUE"""),"")</f>
        <v/>
      </c>
      <c r="C2608" s="15"/>
      <c r="D2608" s="15"/>
      <c r="E2608" s="15"/>
      <c r="F2608" s="15"/>
      <c r="G2608" s="15"/>
      <c r="H2608" s="15"/>
      <c r="I2608" s="17" t="str">
        <f>IFERROR(__xludf.DUMMYFUNCTION("""COMPUTED_VALUE"""),"")</f>
        <v/>
      </c>
      <c r="J2608" s="15"/>
      <c r="L2608" s="18"/>
      <c r="M2608" s="19"/>
      <c r="N2608" s="19"/>
    </row>
    <row r="2609">
      <c r="A2609" s="14"/>
      <c r="B2609" s="15" t="str">
        <f>IFERROR(__xludf.DUMMYFUNCTION("""COMPUTED_VALUE"""),"")</f>
        <v/>
      </c>
      <c r="C2609" s="15"/>
      <c r="D2609" s="15"/>
      <c r="E2609" s="15"/>
      <c r="F2609" s="15"/>
      <c r="G2609" s="15"/>
      <c r="H2609" s="15"/>
      <c r="I2609" s="17" t="str">
        <f>IFERROR(__xludf.DUMMYFUNCTION("""COMPUTED_VALUE"""),"")</f>
        <v/>
      </c>
      <c r="J2609" s="15"/>
      <c r="L2609" s="18"/>
      <c r="M2609" s="19"/>
      <c r="N2609" s="19"/>
    </row>
    <row r="2610">
      <c r="A2610" s="14"/>
      <c r="B2610" s="15" t="str">
        <f>IFERROR(__xludf.DUMMYFUNCTION("""COMPUTED_VALUE"""),"")</f>
        <v/>
      </c>
      <c r="C2610" s="15"/>
      <c r="D2610" s="15"/>
      <c r="E2610" s="15"/>
      <c r="F2610" s="15"/>
      <c r="G2610" s="15"/>
      <c r="H2610" s="15"/>
      <c r="I2610" s="17" t="str">
        <f>IFERROR(__xludf.DUMMYFUNCTION("""COMPUTED_VALUE"""),"")</f>
        <v/>
      </c>
      <c r="J2610" s="15"/>
      <c r="L2610" s="18"/>
      <c r="M2610" s="19"/>
      <c r="N2610" s="19"/>
    </row>
    <row r="2611">
      <c r="A2611" s="14"/>
      <c r="B2611" s="15" t="str">
        <f>IFERROR(__xludf.DUMMYFUNCTION("""COMPUTED_VALUE"""),"")</f>
        <v/>
      </c>
      <c r="C2611" s="15"/>
      <c r="D2611" s="15"/>
      <c r="E2611" s="15"/>
      <c r="F2611" s="15"/>
      <c r="G2611" s="15"/>
      <c r="H2611" s="15"/>
      <c r="I2611" s="17" t="str">
        <f>IFERROR(__xludf.DUMMYFUNCTION("""COMPUTED_VALUE"""),"")</f>
        <v/>
      </c>
      <c r="J2611" s="15"/>
      <c r="L2611" s="18"/>
      <c r="M2611" s="19"/>
      <c r="N2611" s="19"/>
    </row>
    <row r="2612">
      <c r="A2612" s="14"/>
      <c r="B2612" s="15" t="str">
        <f>IFERROR(__xludf.DUMMYFUNCTION("""COMPUTED_VALUE"""),"")</f>
        <v/>
      </c>
      <c r="C2612" s="15"/>
      <c r="D2612" s="15"/>
      <c r="E2612" s="15"/>
      <c r="F2612" s="15"/>
      <c r="G2612" s="15"/>
      <c r="H2612" s="15"/>
      <c r="I2612" s="17" t="str">
        <f>IFERROR(__xludf.DUMMYFUNCTION("""COMPUTED_VALUE"""),"")</f>
        <v/>
      </c>
      <c r="J2612" s="15"/>
      <c r="L2612" s="18"/>
      <c r="M2612" s="19"/>
      <c r="N2612" s="19"/>
    </row>
    <row r="2613">
      <c r="A2613" s="14"/>
      <c r="B2613" s="15" t="str">
        <f>IFERROR(__xludf.DUMMYFUNCTION("""COMPUTED_VALUE"""),"")</f>
        <v/>
      </c>
      <c r="C2613" s="15"/>
      <c r="D2613" s="15"/>
      <c r="E2613" s="15"/>
      <c r="F2613" s="15"/>
      <c r="G2613" s="15"/>
      <c r="H2613" s="15"/>
      <c r="I2613" s="17" t="str">
        <f>IFERROR(__xludf.DUMMYFUNCTION("""COMPUTED_VALUE"""),"")</f>
        <v/>
      </c>
      <c r="J2613" s="15"/>
      <c r="L2613" s="18"/>
      <c r="M2613" s="19"/>
      <c r="N2613" s="19"/>
    </row>
    <row r="2614">
      <c r="A2614" s="14"/>
      <c r="B2614" s="15" t="str">
        <f>IFERROR(__xludf.DUMMYFUNCTION("""COMPUTED_VALUE"""),"")</f>
        <v/>
      </c>
      <c r="C2614" s="15"/>
      <c r="D2614" s="15"/>
      <c r="E2614" s="15"/>
      <c r="F2614" s="15"/>
      <c r="G2614" s="15"/>
      <c r="H2614" s="15"/>
      <c r="I2614" s="17" t="str">
        <f>IFERROR(__xludf.DUMMYFUNCTION("""COMPUTED_VALUE"""),"")</f>
        <v/>
      </c>
      <c r="J2614" s="15"/>
      <c r="L2614" s="18"/>
      <c r="M2614" s="19"/>
      <c r="N2614" s="19"/>
    </row>
    <row r="2615">
      <c r="A2615" s="14"/>
      <c r="B2615" s="15" t="str">
        <f>IFERROR(__xludf.DUMMYFUNCTION("""COMPUTED_VALUE"""),"")</f>
        <v/>
      </c>
      <c r="C2615" s="15"/>
      <c r="D2615" s="15"/>
      <c r="E2615" s="15"/>
      <c r="F2615" s="15"/>
      <c r="G2615" s="15"/>
      <c r="H2615" s="15"/>
      <c r="I2615" s="17" t="str">
        <f>IFERROR(__xludf.DUMMYFUNCTION("""COMPUTED_VALUE"""),"")</f>
        <v/>
      </c>
      <c r="J2615" s="15"/>
      <c r="L2615" s="18"/>
      <c r="M2615" s="19"/>
      <c r="N2615" s="19"/>
    </row>
    <row r="2616">
      <c r="A2616" s="14"/>
      <c r="B2616" s="15" t="str">
        <f>IFERROR(__xludf.DUMMYFUNCTION("""COMPUTED_VALUE"""),"")</f>
        <v/>
      </c>
      <c r="C2616" s="15"/>
      <c r="D2616" s="15"/>
      <c r="E2616" s="15"/>
      <c r="F2616" s="15"/>
      <c r="G2616" s="15"/>
      <c r="H2616" s="15"/>
      <c r="I2616" s="17" t="str">
        <f>IFERROR(__xludf.DUMMYFUNCTION("""COMPUTED_VALUE"""),"")</f>
        <v/>
      </c>
      <c r="J2616" s="15"/>
      <c r="L2616" s="18"/>
      <c r="M2616" s="19"/>
      <c r="N2616" s="19"/>
    </row>
    <row r="2617">
      <c r="A2617" s="14"/>
      <c r="B2617" s="15" t="str">
        <f>IFERROR(__xludf.DUMMYFUNCTION("""COMPUTED_VALUE"""),"")</f>
        <v/>
      </c>
      <c r="C2617" s="15"/>
      <c r="D2617" s="15"/>
      <c r="E2617" s="15"/>
      <c r="F2617" s="15"/>
      <c r="G2617" s="15"/>
      <c r="H2617" s="15"/>
      <c r="I2617" s="17" t="str">
        <f>IFERROR(__xludf.DUMMYFUNCTION("""COMPUTED_VALUE"""),"")</f>
        <v/>
      </c>
      <c r="J2617" s="15"/>
      <c r="L2617" s="18"/>
      <c r="M2617" s="19"/>
      <c r="N2617" s="19"/>
    </row>
    <row r="2618">
      <c r="A2618" s="14"/>
      <c r="B2618" s="15" t="str">
        <f>IFERROR(__xludf.DUMMYFUNCTION("""COMPUTED_VALUE"""),"")</f>
        <v/>
      </c>
      <c r="C2618" s="15"/>
      <c r="D2618" s="15"/>
      <c r="E2618" s="15"/>
      <c r="F2618" s="15"/>
      <c r="G2618" s="15"/>
      <c r="H2618" s="15"/>
      <c r="I2618" s="17" t="str">
        <f>IFERROR(__xludf.DUMMYFUNCTION("""COMPUTED_VALUE"""),"")</f>
        <v/>
      </c>
      <c r="J2618" s="15"/>
      <c r="L2618" s="18"/>
      <c r="M2618" s="19"/>
      <c r="N2618" s="19"/>
    </row>
    <row r="2619">
      <c r="A2619" s="14"/>
      <c r="B2619" s="15" t="str">
        <f>IFERROR(__xludf.DUMMYFUNCTION("""COMPUTED_VALUE"""),"")</f>
        <v/>
      </c>
      <c r="C2619" s="15"/>
      <c r="D2619" s="15"/>
      <c r="E2619" s="15"/>
      <c r="F2619" s="15"/>
      <c r="G2619" s="15"/>
      <c r="H2619" s="15"/>
      <c r="I2619" s="17" t="str">
        <f>IFERROR(__xludf.DUMMYFUNCTION("""COMPUTED_VALUE"""),"")</f>
        <v/>
      </c>
      <c r="J2619" s="15"/>
      <c r="L2619" s="18"/>
      <c r="M2619" s="19"/>
      <c r="N2619" s="19"/>
    </row>
    <row r="2620">
      <c r="A2620" s="14"/>
      <c r="B2620" s="15" t="str">
        <f>IFERROR(__xludf.DUMMYFUNCTION("""COMPUTED_VALUE"""),"")</f>
        <v/>
      </c>
      <c r="C2620" s="15"/>
      <c r="D2620" s="15"/>
      <c r="E2620" s="15"/>
      <c r="F2620" s="15"/>
      <c r="G2620" s="15"/>
      <c r="H2620" s="15"/>
      <c r="I2620" s="17" t="str">
        <f>IFERROR(__xludf.DUMMYFUNCTION("""COMPUTED_VALUE"""),"")</f>
        <v/>
      </c>
      <c r="J2620" s="15"/>
      <c r="L2620" s="18"/>
      <c r="M2620" s="19"/>
      <c r="N2620" s="19"/>
    </row>
    <row r="2621">
      <c r="A2621" s="14"/>
      <c r="B2621" s="15" t="str">
        <f>IFERROR(__xludf.DUMMYFUNCTION("""COMPUTED_VALUE"""),"")</f>
        <v/>
      </c>
      <c r="C2621" s="15"/>
      <c r="D2621" s="15"/>
      <c r="E2621" s="15"/>
      <c r="F2621" s="15"/>
      <c r="G2621" s="15"/>
      <c r="H2621" s="15"/>
      <c r="I2621" s="17" t="str">
        <f>IFERROR(__xludf.DUMMYFUNCTION("""COMPUTED_VALUE"""),"")</f>
        <v/>
      </c>
      <c r="J2621" s="15"/>
      <c r="L2621" s="18"/>
      <c r="M2621" s="19"/>
      <c r="N2621" s="19"/>
    </row>
    <row r="2622">
      <c r="A2622" s="14"/>
      <c r="B2622" s="15" t="str">
        <f>IFERROR(__xludf.DUMMYFUNCTION("""COMPUTED_VALUE"""),"")</f>
        <v/>
      </c>
      <c r="C2622" s="15"/>
      <c r="D2622" s="15"/>
      <c r="E2622" s="15"/>
      <c r="F2622" s="15"/>
      <c r="G2622" s="15"/>
      <c r="H2622" s="15"/>
      <c r="I2622" s="17" t="str">
        <f>IFERROR(__xludf.DUMMYFUNCTION("""COMPUTED_VALUE"""),"")</f>
        <v/>
      </c>
      <c r="J2622" s="15"/>
      <c r="L2622" s="18"/>
      <c r="M2622" s="19"/>
      <c r="N2622" s="19"/>
    </row>
    <row r="2623">
      <c r="A2623" s="14"/>
      <c r="B2623" s="15" t="str">
        <f>IFERROR(__xludf.DUMMYFUNCTION("""COMPUTED_VALUE"""),"")</f>
        <v/>
      </c>
      <c r="C2623" s="15"/>
      <c r="D2623" s="15"/>
      <c r="E2623" s="15"/>
      <c r="F2623" s="15"/>
      <c r="G2623" s="15"/>
      <c r="H2623" s="15"/>
      <c r="I2623" s="17" t="str">
        <f>IFERROR(__xludf.DUMMYFUNCTION("""COMPUTED_VALUE"""),"")</f>
        <v/>
      </c>
      <c r="J2623" s="15"/>
      <c r="L2623" s="18"/>
      <c r="M2623" s="19"/>
      <c r="N2623" s="19"/>
    </row>
    <row r="2624">
      <c r="A2624" s="14"/>
      <c r="B2624" s="15" t="str">
        <f>IFERROR(__xludf.DUMMYFUNCTION("""COMPUTED_VALUE"""),"")</f>
        <v/>
      </c>
      <c r="C2624" s="15"/>
      <c r="D2624" s="15"/>
      <c r="E2624" s="15"/>
      <c r="F2624" s="15"/>
      <c r="G2624" s="15"/>
      <c r="H2624" s="15"/>
      <c r="I2624" s="17" t="str">
        <f>IFERROR(__xludf.DUMMYFUNCTION("""COMPUTED_VALUE"""),"")</f>
        <v/>
      </c>
      <c r="J2624" s="15"/>
      <c r="L2624" s="18"/>
      <c r="M2624" s="19"/>
      <c r="N2624" s="19"/>
    </row>
    <row r="2625">
      <c r="A2625" s="14"/>
      <c r="B2625" s="15" t="str">
        <f>IFERROR(__xludf.DUMMYFUNCTION("""COMPUTED_VALUE"""),"")</f>
        <v/>
      </c>
      <c r="C2625" s="15"/>
      <c r="D2625" s="15"/>
      <c r="E2625" s="15"/>
      <c r="F2625" s="15"/>
      <c r="G2625" s="15"/>
      <c r="H2625" s="15"/>
      <c r="I2625" s="17" t="str">
        <f>IFERROR(__xludf.DUMMYFUNCTION("""COMPUTED_VALUE"""),"")</f>
        <v/>
      </c>
      <c r="J2625" s="15"/>
      <c r="L2625" s="18"/>
      <c r="M2625" s="19"/>
      <c r="N2625" s="19"/>
    </row>
    <row r="2626">
      <c r="A2626" s="14"/>
      <c r="B2626" s="15" t="str">
        <f>IFERROR(__xludf.DUMMYFUNCTION("""COMPUTED_VALUE"""),"")</f>
        <v/>
      </c>
      <c r="C2626" s="15"/>
      <c r="D2626" s="15"/>
      <c r="E2626" s="15"/>
      <c r="F2626" s="15"/>
      <c r="G2626" s="15"/>
      <c r="H2626" s="15"/>
      <c r="I2626" s="17" t="str">
        <f>IFERROR(__xludf.DUMMYFUNCTION("""COMPUTED_VALUE"""),"")</f>
        <v/>
      </c>
      <c r="J2626" s="15"/>
      <c r="L2626" s="18"/>
      <c r="M2626" s="19"/>
      <c r="N2626" s="19"/>
    </row>
    <row r="2627">
      <c r="A2627" s="14"/>
      <c r="B2627" s="15" t="str">
        <f>IFERROR(__xludf.DUMMYFUNCTION("""COMPUTED_VALUE"""),"")</f>
        <v/>
      </c>
      <c r="C2627" s="15"/>
      <c r="D2627" s="15"/>
      <c r="E2627" s="15"/>
      <c r="F2627" s="15"/>
      <c r="G2627" s="15"/>
      <c r="H2627" s="15"/>
      <c r="I2627" s="17" t="str">
        <f>IFERROR(__xludf.DUMMYFUNCTION("""COMPUTED_VALUE"""),"")</f>
        <v/>
      </c>
      <c r="J2627" s="15"/>
      <c r="L2627" s="18"/>
      <c r="M2627" s="19"/>
      <c r="N2627" s="19"/>
    </row>
    <row r="2628">
      <c r="A2628" s="14"/>
      <c r="B2628" s="15" t="str">
        <f>IFERROR(__xludf.DUMMYFUNCTION("""COMPUTED_VALUE"""),"")</f>
        <v/>
      </c>
      <c r="C2628" s="15"/>
      <c r="D2628" s="15"/>
      <c r="E2628" s="15"/>
      <c r="F2628" s="15"/>
      <c r="G2628" s="15"/>
      <c r="H2628" s="15"/>
      <c r="I2628" s="17" t="str">
        <f>IFERROR(__xludf.DUMMYFUNCTION("""COMPUTED_VALUE"""),"")</f>
        <v/>
      </c>
      <c r="J2628" s="15"/>
      <c r="L2628" s="18"/>
      <c r="M2628" s="19"/>
      <c r="N2628" s="19"/>
    </row>
    <row r="2629">
      <c r="A2629" s="14"/>
      <c r="B2629" s="15" t="str">
        <f>IFERROR(__xludf.DUMMYFUNCTION("""COMPUTED_VALUE"""),"")</f>
        <v/>
      </c>
      <c r="C2629" s="15"/>
      <c r="D2629" s="15"/>
      <c r="E2629" s="15"/>
      <c r="F2629" s="15"/>
      <c r="G2629" s="15"/>
      <c r="H2629" s="15"/>
      <c r="I2629" s="17" t="str">
        <f>IFERROR(__xludf.DUMMYFUNCTION("""COMPUTED_VALUE"""),"")</f>
        <v/>
      </c>
      <c r="J2629" s="15"/>
      <c r="L2629" s="18"/>
      <c r="M2629" s="19"/>
      <c r="N2629" s="19"/>
    </row>
    <row r="2630">
      <c r="A2630" s="14"/>
      <c r="B2630" s="15" t="str">
        <f>IFERROR(__xludf.DUMMYFUNCTION("""COMPUTED_VALUE"""),"")</f>
        <v/>
      </c>
      <c r="C2630" s="15"/>
      <c r="D2630" s="15"/>
      <c r="E2630" s="15"/>
      <c r="F2630" s="15"/>
      <c r="G2630" s="15"/>
      <c r="H2630" s="15"/>
      <c r="I2630" s="17" t="str">
        <f>IFERROR(__xludf.DUMMYFUNCTION("""COMPUTED_VALUE"""),"")</f>
        <v/>
      </c>
      <c r="J2630" s="15"/>
      <c r="L2630" s="18"/>
      <c r="M2630" s="19"/>
      <c r="N2630" s="19"/>
    </row>
    <row r="2631">
      <c r="A2631" s="14"/>
      <c r="B2631" s="15" t="str">
        <f>IFERROR(__xludf.DUMMYFUNCTION("""COMPUTED_VALUE"""),"")</f>
        <v/>
      </c>
      <c r="C2631" s="15"/>
      <c r="D2631" s="15"/>
      <c r="E2631" s="15"/>
      <c r="F2631" s="15"/>
      <c r="G2631" s="15"/>
      <c r="H2631" s="15"/>
      <c r="I2631" s="17" t="str">
        <f>IFERROR(__xludf.DUMMYFUNCTION("""COMPUTED_VALUE"""),"")</f>
        <v/>
      </c>
      <c r="J2631" s="15"/>
      <c r="L2631" s="18"/>
      <c r="M2631" s="19"/>
      <c r="N2631" s="19"/>
    </row>
    <row r="2632">
      <c r="A2632" s="14"/>
      <c r="B2632" s="15" t="str">
        <f>IFERROR(__xludf.DUMMYFUNCTION("""COMPUTED_VALUE"""),"")</f>
        <v/>
      </c>
      <c r="C2632" s="15"/>
      <c r="D2632" s="15"/>
      <c r="E2632" s="15"/>
      <c r="F2632" s="15"/>
      <c r="G2632" s="15"/>
      <c r="H2632" s="15"/>
      <c r="I2632" s="17" t="str">
        <f>IFERROR(__xludf.DUMMYFUNCTION("""COMPUTED_VALUE"""),"")</f>
        <v/>
      </c>
      <c r="J2632" s="15"/>
      <c r="L2632" s="18"/>
      <c r="M2632" s="19"/>
      <c r="N2632" s="19"/>
    </row>
    <row r="2633">
      <c r="A2633" s="14"/>
      <c r="B2633" s="15" t="str">
        <f>IFERROR(__xludf.DUMMYFUNCTION("""COMPUTED_VALUE"""),"")</f>
        <v/>
      </c>
      <c r="C2633" s="15"/>
      <c r="D2633" s="15"/>
      <c r="E2633" s="15"/>
      <c r="F2633" s="15"/>
      <c r="G2633" s="15"/>
      <c r="H2633" s="15"/>
      <c r="I2633" s="17" t="str">
        <f>IFERROR(__xludf.DUMMYFUNCTION("""COMPUTED_VALUE"""),"")</f>
        <v/>
      </c>
      <c r="J2633" s="15"/>
      <c r="L2633" s="18"/>
      <c r="M2633" s="19"/>
      <c r="N2633" s="19"/>
    </row>
    <row r="2634">
      <c r="A2634" s="14"/>
      <c r="B2634" s="15" t="str">
        <f>IFERROR(__xludf.DUMMYFUNCTION("""COMPUTED_VALUE"""),"")</f>
        <v/>
      </c>
      <c r="C2634" s="15"/>
      <c r="D2634" s="15"/>
      <c r="E2634" s="15"/>
      <c r="F2634" s="15"/>
      <c r="G2634" s="15"/>
      <c r="H2634" s="15"/>
      <c r="I2634" s="17" t="str">
        <f>IFERROR(__xludf.DUMMYFUNCTION("""COMPUTED_VALUE"""),"")</f>
        <v/>
      </c>
      <c r="J2634" s="15"/>
      <c r="L2634" s="18"/>
      <c r="M2634" s="19"/>
      <c r="N2634" s="19"/>
    </row>
    <row r="2635">
      <c r="A2635" s="14"/>
      <c r="B2635" s="15" t="str">
        <f>IFERROR(__xludf.DUMMYFUNCTION("""COMPUTED_VALUE"""),"")</f>
        <v/>
      </c>
      <c r="C2635" s="15"/>
      <c r="D2635" s="15"/>
      <c r="E2635" s="15"/>
      <c r="F2635" s="15"/>
      <c r="G2635" s="15"/>
      <c r="H2635" s="15"/>
      <c r="I2635" s="17" t="str">
        <f>IFERROR(__xludf.DUMMYFUNCTION("""COMPUTED_VALUE"""),"")</f>
        <v/>
      </c>
      <c r="J2635" s="15"/>
      <c r="L2635" s="18"/>
      <c r="M2635" s="19"/>
      <c r="N2635" s="19"/>
    </row>
    <row r="2636">
      <c r="A2636" s="14"/>
      <c r="B2636" s="15" t="str">
        <f>IFERROR(__xludf.DUMMYFUNCTION("""COMPUTED_VALUE"""),"")</f>
        <v/>
      </c>
      <c r="C2636" s="15"/>
      <c r="D2636" s="15"/>
      <c r="E2636" s="15"/>
      <c r="F2636" s="15"/>
      <c r="G2636" s="15"/>
      <c r="H2636" s="15"/>
      <c r="I2636" s="17" t="str">
        <f>IFERROR(__xludf.DUMMYFUNCTION("""COMPUTED_VALUE"""),"")</f>
        <v/>
      </c>
      <c r="J2636" s="15"/>
      <c r="L2636" s="18"/>
      <c r="M2636" s="19"/>
      <c r="N2636" s="19"/>
    </row>
    <row r="2637">
      <c r="A2637" s="14"/>
      <c r="B2637" s="15" t="str">
        <f>IFERROR(__xludf.DUMMYFUNCTION("""COMPUTED_VALUE"""),"")</f>
        <v/>
      </c>
      <c r="C2637" s="15"/>
      <c r="D2637" s="15"/>
      <c r="E2637" s="15"/>
      <c r="F2637" s="15"/>
      <c r="G2637" s="15"/>
      <c r="H2637" s="15"/>
      <c r="I2637" s="17" t="str">
        <f>IFERROR(__xludf.DUMMYFUNCTION("""COMPUTED_VALUE"""),"")</f>
        <v/>
      </c>
      <c r="J2637" s="15"/>
      <c r="L2637" s="18"/>
      <c r="M2637" s="19"/>
      <c r="N2637" s="19"/>
    </row>
    <row r="2638">
      <c r="A2638" s="14"/>
      <c r="B2638" s="15" t="str">
        <f>IFERROR(__xludf.DUMMYFUNCTION("""COMPUTED_VALUE"""),"")</f>
        <v/>
      </c>
      <c r="C2638" s="15"/>
      <c r="D2638" s="15"/>
      <c r="E2638" s="15"/>
      <c r="F2638" s="15"/>
      <c r="G2638" s="15"/>
      <c r="H2638" s="15"/>
      <c r="I2638" s="17" t="str">
        <f>IFERROR(__xludf.DUMMYFUNCTION("""COMPUTED_VALUE"""),"")</f>
        <v/>
      </c>
      <c r="J2638" s="15"/>
      <c r="L2638" s="18"/>
      <c r="M2638" s="19"/>
      <c r="N2638" s="19"/>
    </row>
    <row r="2639">
      <c r="A2639" s="14"/>
      <c r="B2639" s="15" t="str">
        <f>IFERROR(__xludf.DUMMYFUNCTION("""COMPUTED_VALUE"""),"")</f>
        <v/>
      </c>
      <c r="C2639" s="15"/>
      <c r="D2639" s="15"/>
      <c r="E2639" s="15"/>
      <c r="F2639" s="15"/>
      <c r="G2639" s="15"/>
      <c r="H2639" s="15"/>
      <c r="I2639" s="17" t="str">
        <f>IFERROR(__xludf.DUMMYFUNCTION("""COMPUTED_VALUE"""),"")</f>
        <v/>
      </c>
      <c r="J2639" s="15"/>
      <c r="L2639" s="18"/>
      <c r="M2639" s="19"/>
      <c r="N2639" s="19"/>
    </row>
    <row r="2640">
      <c r="A2640" s="14"/>
      <c r="B2640" s="15" t="str">
        <f>IFERROR(__xludf.DUMMYFUNCTION("""COMPUTED_VALUE"""),"")</f>
        <v/>
      </c>
      <c r="C2640" s="15"/>
      <c r="D2640" s="15"/>
      <c r="E2640" s="15"/>
      <c r="F2640" s="15"/>
      <c r="G2640" s="15"/>
      <c r="H2640" s="15"/>
      <c r="I2640" s="17" t="str">
        <f>IFERROR(__xludf.DUMMYFUNCTION("""COMPUTED_VALUE"""),"")</f>
        <v/>
      </c>
      <c r="J2640" s="15"/>
      <c r="L2640" s="18"/>
      <c r="M2640" s="19"/>
      <c r="N2640" s="19"/>
    </row>
    <row r="2641">
      <c r="A2641" s="14"/>
      <c r="B2641" s="15" t="str">
        <f>IFERROR(__xludf.DUMMYFUNCTION("""COMPUTED_VALUE"""),"")</f>
        <v/>
      </c>
      <c r="C2641" s="15"/>
      <c r="D2641" s="15"/>
      <c r="E2641" s="15"/>
      <c r="F2641" s="15"/>
      <c r="G2641" s="15"/>
      <c r="H2641" s="15"/>
      <c r="I2641" s="17" t="str">
        <f>IFERROR(__xludf.DUMMYFUNCTION("""COMPUTED_VALUE"""),"")</f>
        <v/>
      </c>
      <c r="J2641" s="15"/>
      <c r="L2641" s="18"/>
      <c r="M2641" s="19"/>
      <c r="N2641" s="19"/>
    </row>
    <row r="2642">
      <c r="A2642" s="14"/>
      <c r="B2642" s="15" t="str">
        <f>IFERROR(__xludf.DUMMYFUNCTION("""COMPUTED_VALUE"""),"")</f>
        <v/>
      </c>
      <c r="C2642" s="15"/>
      <c r="D2642" s="15"/>
      <c r="E2642" s="15"/>
      <c r="F2642" s="15"/>
      <c r="G2642" s="15"/>
      <c r="H2642" s="15"/>
      <c r="I2642" s="17" t="str">
        <f>IFERROR(__xludf.DUMMYFUNCTION("""COMPUTED_VALUE"""),"")</f>
        <v/>
      </c>
      <c r="J2642" s="15"/>
      <c r="L2642" s="18"/>
      <c r="M2642" s="19"/>
      <c r="N2642" s="19"/>
    </row>
    <row r="2643">
      <c r="A2643" s="14"/>
      <c r="B2643" s="15" t="str">
        <f>IFERROR(__xludf.DUMMYFUNCTION("""COMPUTED_VALUE"""),"")</f>
        <v/>
      </c>
      <c r="C2643" s="15"/>
      <c r="D2643" s="15"/>
      <c r="E2643" s="15"/>
      <c r="F2643" s="15"/>
      <c r="G2643" s="15"/>
      <c r="H2643" s="15"/>
      <c r="I2643" s="17" t="str">
        <f>IFERROR(__xludf.DUMMYFUNCTION("""COMPUTED_VALUE"""),"")</f>
        <v/>
      </c>
      <c r="J2643" s="15"/>
      <c r="L2643" s="18"/>
      <c r="M2643" s="19"/>
      <c r="N2643" s="19"/>
    </row>
    <row r="2644">
      <c r="A2644" s="14"/>
      <c r="B2644" s="15" t="str">
        <f>IFERROR(__xludf.DUMMYFUNCTION("""COMPUTED_VALUE"""),"")</f>
        <v/>
      </c>
      <c r="C2644" s="15"/>
      <c r="D2644" s="15"/>
      <c r="E2644" s="15"/>
      <c r="F2644" s="15"/>
      <c r="G2644" s="15"/>
      <c r="H2644" s="15"/>
      <c r="I2644" s="17" t="str">
        <f>IFERROR(__xludf.DUMMYFUNCTION("""COMPUTED_VALUE"""),"")</f>
        <v/>
      </c>
      <c r="J2644" s="15"/>
      <c r="L2644" s="18"/>
      <c r="M2644" s="19"/>
      <c r="N2644" s="19"/>
    </row>
    <row r="2645">
      <c r="A2645" s="14"/>
      <c r="B2645" s="15" t="str">
        <f>IFERROR(__xludf.DUMMYFUNCTION("""COMPUTED_VALUE"""),"")</f>
        <v/>
      </c>
      <c r="C2645" s="15"/>
      <c r="D2645" s="15"/>
      <c r="E2645" s="15"/>
      <c r="F2645" s="15"/>
      <c r="G2645" s="15"/>
      <c r="H2645" s="15"/>
      <c r="I2645" s="17" t="str">
        <f>IFERROR(__xludf.DUMMYFUNCTION("""COMPUTED_VALUE"""),"")</f>
        <v/>
      </c>
      <c r="J2645" s="15"/>
      <c r="L2645" s="18"/>
      <c r="M2645" s="19"/>
      <c r="N2645" s="19"/>
    </row>
    <row r="2646">
      <c r="A2646" s="14"/>
      <c r="B2646" s="15" t="str">
        <f>IFERROR(__xludf.DUMMYFUNCTION("""COMPUTED_VALUE"""),"")</f>
        <v/>
      </c>
      <c r="C2646" s="15"/>
      <c r="D2646" s="15"/>
      <c r="E2646" s="15"/>
      <c r="F2646" s="15"/>
      <c r="G2646" s="15"/>
      <c r="H2646" s="15"/>
      <c r="I2646" s="17" t="str">
        <f>IFERROR(__xludf.DUMMYFUNCTION("""COMPUTED_VALUE"""),"")</f>
        <v/>
      </c>
      <c r="J2646" s="15"/>
      <c r="L2646" s="18"/>
      <c r="M2646" s="19"/>
      <c r="N2646" s="19"/>
    </row>
    <row r="2647">
      <c r="A2647" s="14"/>
      <c r="B2647" s="15" t="str">
        <f>IFERROR(__xludf.DUMMYFUNCTION("""COMPUTED_VALUE"""),"")</f>
        <v/>
      </c>
      <c r="C2647" s="15"/>
      <c r="D2647" s="15"/>
      <c r="E2647" s="15"/>
      <c r="F2647" s="15"/>
      <c r="G2647" s="15"/>
      <c r="H2647" s="15"/>
      <c r="I2647" s="17" t="str">
        <f>IFERROR(__xludf.DUMMYFUNCTION("""COMPUTED_VALUE"""),"")</f>
        <v/>
      </c>
      <c r="J2647" s="15"/>
      <c r="L2647" s="18"/>
      <c r="M2647" s="19"/>
      <c r="N2647" s="19"/>
    </row>
    <row r="2648">
      <c r="A2648" s="14"/>
      <c r="B2648" s="15" t="str">
        <f>IFERROR(__xludf.DUMMYFUNCTION("""COMPUTED_VALUE"""),"")</f>
        <v/>
      </c>
      <c r="C2648" s="15"/>
      <c r="D2648" s="15"/>
      <c r="E2648" s="15"/>
      <c r="F2648" s="15"/>
      <c r="G2648" s="15"/>
      <c r="H2648" s="15"/>
      <c r="I2648" s="17" t="str">
        <f>IFERROR(__xludf.DUMMYFUNCTION("""COMPUTED_VALUE"""),"")</f>
        <v/>
      </c>
      <c r="J2648" s="15"/>
      <c r="L2648" s="18"/>
      <c r="M2648" s="19"/>
      <c r="N2648" s="19"/>
    </row>
    <row r="2649">
      <c r="A2649" s="14"/>
      <c r="B2649" s="15" t="str">
        <f>IFERROR(__xludf.DUMMYFUNCTION("""COMPUTED_VALUE"""),"")</f>
        <v/>
      </c>
      <c r="C2649" s="15"/>
      <c r="D2649" s="15"/>
      <c r="E2649" s="15"/>
      <c r="F2649" s="15"/>
      <c r="G2649" s="15"/>
      <c r="H2649" s="15"/>
      <c r="I2649" s="17" t="str">
        <f>IFERROR(__xludf.DUMMYFUNCTION("""COMPUTED_VALUE"""),"")</f>
        <v/>
      </c>
      <c r="J2649" s="15"/>
      <c r="L2649" s="18"/>
      <c r="M2649" s="19"/>
      <c r="N2649" s="19"/>
    </row>
    <row r="2650">
      <c r="A2650" s="14"/>
      <c r="B2650" s="15" t="str">
        <f>IFERROR(__xludf.DUMMYFUNCTION("""COMPUTED_VALUE"""),"")</f>
        <v/>
      </c>
      <c r="C2650" s="15"/>
      <c r="D2650" s="15"/>
      <c r="E2650" s="15"/>
      <c r="F2650" s="15"/>
      <c r="G2650" s="15"/>
      <c r="H2650" s="15"/>
      <c r="I2650" s="17" t="str">
        <f>IFERROR(__xludf.DUMMYFUNCTION("""COMPUTED_VALUE"""),"")</f>
        <v/>
      </c>
      <c r="J2650" s="15"/>
      <c r="L2650" s="18"/>
      <c r="M2650" s="19"/>
      <c r="N2650" s="19"/>
    </row>
    <row r="2651">
      <c r="A2651" s="14"/>
      <c r="B2651" s="15" t="str">
        <f>IFERROR(__xludf.DUMMYFUNCTION("""COMPUTED_VALUE"""),"")</f>
        <v/>
      </c>
      <c r="C2651" s="15"/>
      <c r="D2651" s="15"/>
      <c r="E2651" s="15"/>
      <c r="F2651" s="15"/>
      <c r="G2651" s="15"/>
      <c r="H2651" s="15"/>
      <c r="I2651" s="17" t="str">
        <f>IFERROR(__xludf.DUMMYFUNCTION("""COMPUTED_VALUE"""),"")</f>
        <v/>
      </c>
      <c r="J2651" s="15"/>
      <c r="L2651" s="18"/>
      <c r="M2651" s="19"/>
      <c r="N2651" s="19"/>
    </row>
    <row r="2652">
      <c r="A2652" s="14"/>
      <c r="B2652" s="15" t="str">
        <f>IFERROR(__xludf.DUMMYFUNCTION("""COMPUTED_VALUE"""),"")</f>
        <v/>
      </c>
      <c r="C2652" s="15"/>
      <c r="D2652" s="15"/>
      <c r="E2652" s="15"/>
      <c r="F2652" s="15"/>
      <c r="G2652" s="15"/>
      <c r="H2652" s="15"/>
      <c r="I2652" s="17" t="str">
        <f>IFERROR(__xludf.DUMMYFUNCTION("""COMPUTED_VALUE"""),"")</f>
        <v/>
      </c>
      <c r="J2652" s="15"/>
      <c r="L2652" s="18"/>
      <c r="M2652" s="19"/>
      <c r="N2652" s="19"/>
    </row>
    <row r="2653">
      <c r="A2653" s="14"/>
      <c r="B2653" s="15" t="str">
        <f>IFERROR(__xludf.DUMMYFUNCTION("""COMPUTED_VALUE"""),"")</f>
        <v/>
      </c>
      <c r="C2653" s="15"/>
      <c r="D2653" s="15"/>
      <c r="E2653" s="15"/>
      <c r="F2653" s="15"/>
      <c r="G2653" s="15"/>
      <c r="H2653" s="15"/>
      <c r="I2653" s="17" t="str">
        <f>IFERROR(__xludf.DUMMYFUNCTION("""COMPUTED_VALUE"""),"")</f>
        <v/>
      </c>
      <c r="J2653" s="15"/>
      <c r="L2653" s="18"/>
      <c r="M2653" s="19"/>
      <c r="N2653" s="19"/>
    </row>
    <row r="2654">
      <c r="A2654" s="14"/>
      <c r="B2654" s="15" t="str">
        <f>IFERROR(__xludf.DUMMYFUNCTION("""COMPUTED_VALUE"""),"")</f>
        <v/>
      </c>
      <c r="C2654" s="15"/>
      <c r="D2654" s="15"/>
      <c r="E2654" s="15"/>
      <c r="F2654" s="15"/>
      <c r="G2654" s="15"/>
      <c r="H2654" s="15"/>
      <c r="I2654" s="17" t="str">
        <f>IFERROR(__xludf.DUMMYFUNCTION("""COMPUTED_VALUE"""),"")</f>
        <v/>
      </c>
      <c r="J2654" s="15"/>
      <c r="L2654" s="18"/>
      <c r="M2654" s="19"/>
      <c r="N2654" s="19"/>
    </row>
    <row r="2655">
      <c r="A2655" s="14"/>
      <c r="B2655" s="15" t="str">
        <f>IFERROR(__xludf.DUMMYFUNCTION("""COMPUTED_VALUE"""),"")</f>
        <v/>
      </c>
      <c r="C2655" s="15"/>
      <c r="D2655" s="15"/>
      <c r="E2655" s="15"/>
      <c r="F2655" s="15"/>
      <c r="G2655" s="15"/>
      <c r="H2655" s="15"/>
      <c r="I2655" s="17" t="str">
        <f>IFERROR(__xludf.DUMMYFUNCTION("""COMPUTED_VALUE"""),"")</f>
        <v/>
      </c>
      <c r="J2655" s="15"/>
      <c r="L2655" s="18"/>
      <c r="M2655" s="19"/>
      <c r="N2655" s="19"/>
    </row>
    <row r="2656">
      <c r="A2656" s="14"/>
      <c r="B2656" s="15" t="str">
        <f>IFERROR(__xludf.DUMMYFUNCTION("""COMPUTED_VALUE"""),"")</f>
        <v/>
      </c>
      <c r="C2656" s="15"/>
      <c r="D2656" s="15"/>
      <c r="E2656" s="15"/>
      <c r="F2656" s="15"/>
      <c r="G2656" s="15"/>
      <c r="H2656" s="15"/>
      <c r="I2656" s="17" t="str">
        <f>IFERROR(__xludf.DUMMYFUNCTION("""COMPUTED_VALUE"""),"")</f>
        <v/>
      </c>
      <c r="J2656" s="15"/>
      <c r="L2656" s="18"/>
      <c r="M2656" s="19"/>
      <c r="N2656" s="19"/>
    </row>
    <row r="2657">
      <c r="A2657" s="14"/>
      <c r="B2657" s="15" t="str">
        <f>IFERROR(__xludf.DUMMYFUNCTION("""COMPUTED_VALUE"""),"")</f>
        <v/>
      </c>
      <c r="C2657" s="15"/>
      <c r="D2657" s="15"/>
      <c r="E2657" s="15"/>
      <c r="F2657" s="15"/>
      <c r="G2657" s="15"/>
      <c r="H2657" s="15"/>
      <c r="I2657" s="17" t="str">
        <f>IFERROR(__xludf.DUMMYFUNCTION("""COMPUTED_VALUE"""),"")</f>
        <v/>
      </c>
      <c r="J2657" s="15"/>
      <c r="L2657" s="18"/>
      <c r="M2657" s="19"/>
      <c r="N2657" s="19"/>
    </row>
    <row r="2658">
      <c r="A2658" s="14"/>
      <c r="B2658" s="15" t="str">
        <f>IFERROR(__xludf.DUMMYFUNCTION("""COMPUTED_VALUE"""),"")</f>
        <v/>
      </c>
      <c r="C2658" s="15"/>
      <c r="D2658" s="15"/>
      <c r="E2658" s="15"/>
      <c r="F2658" s="15"/>
      <c r="G2658" s="15"/>
      <c r="H2658" s="15"/>
      <c r="I2658" s="17" t="str">
        <f>IFERROR(__xludf.DUMMYFUNCTION("""COMPUTED_VALUE"""),"")</f>
        <v/>
      </c>
      <c r="J2658" s="15"/>
      <c r="L2658" s="18"/>
      <c r="M2658" s="19"/>
      <c r="N2658" s="19"/>
    </row>
    <row r="2659">
      <c r="A2659" s="14"/>
      <c r="B2659" s="15" t="str">
        <f>IFERROR(__xludf.DUMMYFUNCTION("""COMPUTED_VALUE"""),"")</f>
        <v/>
      </c>
      <c r="C2659" s="15"/>
      <c r="D2659" s="15"/>
      <c r="E2659" s="15"/>
      <c r="F2659" s="15"/>
      <c r="G2659" s="15"/>
      <c r="H2659" s="15"/>
      <c r="I2659" s="17" t="str">
        <f>IFERROR(__xludf.DUMMYFUNCTION("""COMPUTED_VALUE"""),"")</f>
        <v/>
      </c>
      <c r="J2659" s="15"/>
      <c r="L2659" s="18"/>
      <c r="M2659" s="19"/>
      <c r="N2659" s="19"/>
    </row>
    <row r="2660">
      <c r="A2660" s="14"/>
      <c r="B2660" s="15" t="str">
        <f>IFERROR(__xludf.DUMMYFUNCTION("""COMPUTED_VALUE"""),"")</f>
        <v/>
      </c>
      <c r="C2660" s="15"/>
      <c r="D2660" s="15"/>
      <c r="E2660" s="15"/>
      <c r="F2660" s="15"/>
      <c r="G2660" s="15"/>
      <c r="H2660" s="15"/>
      <c r="I2660" s="17" t="str">
        <f>IFERROR(__xludf.DUMMYFUNCTION("""COMPUTED_VALUE"""),"")</f>
        <v/>
      </c>
      <c r="J2660" s="15"/>
      <c r="L2660" s="18"/>
      <c r="M2660" s="19"/>
      <c r="N2660" s="19"/>
    </row>
    <row r="2661">
      <c r="A2661" s="14"/>
      <c r="B2661" s="15" t="str">
        <f>IFERROR(__xludf.DUMMYFUNCTION("""COMPUTED_VALUE"""),"")</f>
        <v/>
      </c>
      <c r="C2661" s="15"/>
      <c r="D2661" s="15"/>
      <c r="E2661" s="15"/>
      <c r="F2661" s="15"/>
      <c r="G2661" s="15"/>
      <c r="H2661" s="15"/>
      <c r="I2661" s="17" t="str">
        <f>IFERROR(__xludf.DUMMYFUNCTION("""COMPUTED_VALUE"""),"")</f>
        <v/>
      </c>
      <c r="J2661" s="15"/>
      <c r="L2661" s="18"/>
      <c r="M2661" s="19"/>
      <c r="N2661" s="19"/>
    </row>
    <row r="2662">
      <c r="A2662" s="14"/>
      <c r="B2662" s="15" t="str">
        <f>IFERROR(__xludf.DUMMYFUNCTION("""COMPUTED_VALUE"""),"")</f>
        <v/>
      </c>
      <c r="C2662" s="15"/>
      <c r="D2662" s="15"/>
      <c r="E2662" s="15"/>
      <c r="F2662" s="15"/>
      <c r="G2662" s="15"/>
      <c r="H2662" s="15"/>
      <c r="I2662" s="17" t="str">
        <f>IFERROR(__xludf.DUMMYFUNCTION("""COMPUTED_VALUE"""),"")</f>
        <v/>
      </c>
      <c r="J2662" s="15"/>
      <c r="L2662" s="18"/>
      <c r="M2662" s="19"/>
      <c r="N2662" s="19"/>
    </row>
    <row r="2663">
      <c r="A2663" s="14"/>
      <c r="B2663" s="15" t="str">
        <f>IFERROR(__xludf.DUMMYFUNCTION("""COMPUTED_VALUE"""),"")</f>
        <v/>
      </c>
      <c r="C2663" s="15"/>
      <c r="D2663" s="15"/>
      <c r="E2663" s="15"/>
      <c r="F2663" s="15"/>
      <c r="G2663" s="15"/>
      <c r="H2663" s="15"/>
      <c r="I2663" s="17" t="str">
        <f>IFERROR(__xludf.DUMMYFUNCTION("""COMPUTED_VALUE"""),"")</f>
        <v/>
      </c>
      <c r="J2663" s="15"/>
      <c r="L2663" s="18"/>
      <c r="M2663" s="19"/>
      <c r="N2663" s="19"/>
    </row>
    <row r="2664">
      <c r="A2664" s="14"/>
      <c r="B2664" s="15" t="str">
        <f>IFERROR(__xludf.DUMMYFUNCTION("""COMPUTED_VALUE"""),"")</f>
        <v/>
      </c>
      <c r="C2664" s="15"/>
      <c r="D2664" s="15"/>
      <c r="E2664" s="15"/>
      <c r="F2664" s="15"/>
      <c r="G2664" s="15"/>
      <c r="H2664" s="15"/>
      <c r="I2664" s="17" t="str">
        <f>IFERROR(__xludf.DUMMYFUNCTION("""COMPUTED_VALUE"""),"")</f>
        <v/>
      </c>
      <c r="J2664" s="15"/>
      <c r="L2664" s="18"/>
      <c r="M2664" s="19"/>
      <c r="N2664" s="19"/>
    </row>
    <row r="2665">
      <c r="A2665" s="14"/>
      <c r="B2665" s="15" t="str">
        <f>IFERROR(__xludf.DUMMYFUNCTION("""COMPUTED_VALUE"""),"")</f>
        <v/>
      </c>
      <c r="C2665" s="15"/>
      <c r="D2665" s="15"/>
      <c r="E2665" s="15"/>
      <c r="F2665" s="15"/>
      <c r="G2665" s="15"/>
      <c r="H2665" s="15"/>
      <c r="I2665" s="17" t="str">
        <f>IFERROR(__xludf.DUMMYFUNCTION("""COMPUTED_VALUE"""),"")</f>
        <v/>
      </c>
      <c r="J2665" s="15"/>
      <c r="L2665" s="18"/>
      <c r="M2665" s="19"/>
      <c r="N2665" s="19"/>
    </row>
    <row r="2666">
      <c r="A2666" s="14"/>
      <c r="B2666" s="15" t="str">
        <f>IFERROR(__xludf.DUMMYFUNCTION("""COMPUTED_VALUE"""),"")</f>
        <v/>
      </c>
      <c r="C2666" s="15"/>
      <c r="D2666" s="15"/>
      <c r="E2666" s="15"/>
      <c r="F2666" s="15"/>
      <c r="G2666" s="15"/>
      <c r="H2666" s="15"/>
      <c r="I2666" s="17" t="str">
        <f>IFERROR(__xludf.DUMMYFUNCTION("""COMPUTED_VALUE"""),"")</f>
        <v/>
      </c>
      <c r="J2666" s="15"/>
      <c r="L2666" s="18"/>
      <c r="M2666" s="19"/>
      <c r="N2666" s="19"/>
    </row>
    <row r="2667">
      <c r="A2667" s="14"/>
      <c r="B2667" s="15" t="str">
        <f>IFERROR(__xludf.DUMMYFUNCTION("""COMPUTED_VALUE"""),"")</f>
        <v/>
      </c>
      <c r="C2667" s="15"/>
      <c r="D2667" s="15"/>
      <c r="E2667" s="15"/>
      <c r="F2667" s="15"/>
      <c r="G2667" s="15"/>
      <c r="H2667" s="15"/>
      <c r="I2667" s="17" t="str">
        <f>IFERROR(__xludf.DUMMYFUNCTION("""COMPUTED_VALUE"""),"")</f>
        <v/>
      </c>
      <c r="J2667" s="15"/>
      <c r="L2667" s="18"/>
      <c r="M2667" s="19"/>
      <c r="N2667" s="19"/>
    </row>
    <row r="2668">
      <c r="A2668" s="14"/>
      <c r="B2668" s="15" t="str">
        <f>IFERROR(__xludf.DUMMYFUNCTION("""COMPUTED_VALUE"""),"")</f>
        <v/>
      </c>
      <c r="C2668" s="15"/>
      <c r="D2668" s="15"/>
      <c r="E2668" s="15"/>
      <c r="F2668" s="15"/>
      <c r="G2668" s="15"/>
      <c r="H2668" s="15"/>
      <c r="I2668" s="17" t="str">
        <f>IFERROR(__xludf.DUMMYFUNCTION("""COMPUTED_VALUE"""),"")</f>
        <v/>
      </c>
      <c r="J2668" s="15"/>
      <c r="L2668" s="18"/>
      <c r="M2668" s="19"/>
      <c r="N2668" s="19"/>
    </row>
    <row r="2669">
      <c r="A2669" s="14"/>
      <c r="B2669" s="15" t="str">
        <f>IFERROR(__xludf.DUMMYFUNCTION("""COMPUTED_VALUE"""),"")</f>
        <v/>
      </c>
      <c r="C2669" s="15"/>
      <c r="D2669" s="15"/>
      <c r="E2669" s="15"/>
      <c r="F2669" s="15"/>
      <c r="G2669" s="15"/>
      <c r="H2669" s="15"/>
      <c r="I2669" s="17" t="str">
        <f>IFERROR(__xludf.DUMMYFUNCTION("""COMPUTED_VALUE"""),"")</f>
        <v/>
      </c>
      <c r="J2669" s="15"/>
      <c r="L2669" s="18"/>
      <c r="M2669" s="19"/>
      <c r="N2669" s="19"/>
    </row>
    <row r="2670">
      <c r="A2670" s="14"/>
      <c r="B2670" s="15" t="str">
        <f>IFERROR(__xludf.DUMMYFUNCTION("""COMPUTED_VALUE"""),"")</f>
        <v/>
      </c>
      <c r="C2670" s="15"/>
      <c r="D2670" s="15"/>
      <c r="E2670" s="15"/>
      <c r="F2670" s="15"/>
      <c r="G2670" s="15"/>
      <c r="H2670" s="15"/>
      <c r="I2670" s="17" t="str">
        <f>IFERROR(__xludf.DUMMYFUNCTION("""COMPUTED_VALUE"""),"")</f>
        <v/>
      </c>
      <c r="J2670" s="15"/>
      <c r="L2670" s="18"/>
      <c r="M2670" s="19"/>
      <c r="N2670" s="19"/>
    </row>
    <row r="2671">
      <c r="A2671" s="14"/>
      <c r="B2671" s="15" t="str">
        <f>IFERROR(__xludf.DUMMYFUNCTION("""COMPUTED_VALUE"""),"")</f>
        <v/>
      </c>
      <c r="C2671" s="15"/>
      <c r="D2671" s="15"/>
      <c r="E2671" s="15"/>
      <c r="F2671" s="15"/>
      <c r="G2671" s="15"/>
      <c r="H2671" s="15"/>
      <c r="I2671" s="17" t="str">
        <f>IFERROR(__xludf.DUMMYFUNCTION("""COMPUTED_VALUE"""),"")</f>
        <v/>
      </c>
      <c r="J2671" s="15"/>
      <c r="L2671" s="18"/>
      <c r="M2671" s="19"/>
      <c r="N2671" s="19"/>
    </row>
    <row r="2672">
      <c r="A2672" s="14"/>
      <c r="B2672" s="15" t="str">
        <f>IFERROR(__xludf.DUMMYFUNCTION("""COMPUTED_VALUE"""),"")</f>
        <v/>
      </c>
      <c r="C2672" s="15"/>
      <c r="D2672" s="15"/>
      <c r="E2672" s="15"/>
      <c r="F2672" s="15"/>
      <c r="G2672" s="15"/>
      <c r="H2672" s="15"/>
      <c r="I2672" s="17" t="str">
        <f>IFERROR(__xludf.DUMMYFUNCTION("""COMPUTED_VALUE"""),"")</f>
        <v/>
      </c>
      <c r="J2672" s="15"/>
      <c r="L2672" s="18"/>
      <c r="M2672" s="19"/>
      <c r="N2672" s="19"/>
    </row>
    <row r="2673">
      <c r="A2673" s="14"/>
      <c r="B2673" s="15" t="str">
        <f>IFERROR(__xludf.DUMMYFUNCTION("""COMPUTED_VALUE"""),"")</f>
        <v/>
      </c>
      <c r="C2673" s="15"/>
      <c r="D2673" s="15"/>
      <c r="E2673" s="15"/>
      <c r="F2673" s="15"/>
      <c r="G2673" s="15"/>
      <c r="H2673" s="15"/>
      <c r="I2673" s="17" t="str">
        <f>IFERROR(__xludf.DUMMYFUNCTION("""COMPUTED_VALUE"""),"")</f>
        <v/>
      </c>
      <c r="J2673" s="15"/>
      <c r="L2673" s="18"/>
      <c r="M2673" s="19"/>
      <c r="N2673" s="19"/>
    </row>
    <row r="2674">
      <c r="A2674" s="14"/>
      <c r="B2674" s="15" t="str">
        <f>IFERROR(__xludf.DUMMYFUNCTION("""COMPUTED_VALUE"""),"")</f>
        <v/>
      </c>
      <c r="C2674" s="15"/>
      <c r="D2674" s="15"/>
      <c r="E2674" s="15"/>
      <c r="F2674" s="15"/>
      <c r="G2674" s="15"/>
      <c r="H2674" s="15"/>
      <c r="I2674" s="17" t="str">
        <f>IFERROR(__xludf.DUMMYFUNCTION("""COMPUTED_VALUE"""),"")</f>
        <v/>
      </c>
      <c r="J2674" s="15"/>
      <c r="L2674" s="18"/>
      <c r="M2674" s="19"/>
      <c r="N2674" s="19"/>
    </row>
    <row r="2675">
      <c r="A2675" s="14"/>
      <c r="B2675" s="15" t="str">
        <f>IFERROR(__xludf.DUMMYFUNCTION("""COMPUTED_VALUE"""),"")</f>
        <v/>
      </c>
      <c r="C2675" s="15"/>
      <c r="D2675" s="15"/>
      <c r="E2675" s="15"/>
      <c r="F2675" s="15"/>
      <c r="G2675" s="15"/>
      <c r="H2675" s="15"/>
      <c r="I2675" s="17" t="str">
        <f>IFERROR(__xludf.DUMMYFUNCTION("""COMPUTED_VALUE"""),"")</f>
        <v/>
      </c>
      <c r="J2675" s="15"/>
      <c r="L2675" s="18"/>
      <c r="M2675" s="19"/>
      <c r="N2675" s="19"/>
    </row>
    <row r="2676">
      <c r="A2676" s="14"/>
      <c r="B2676" s="15" t="str">
        <f>IFERROR(__xludf.DUMMYFUNCTION("""COMPUTED_VALUE"""),"")</f>
        <v/>
      </c>
      <c r="C2676" s="15"/>
      <c r="D2676" s="15"/>
      <c r="E2676" s="15"/>
      <c r="F2676" s="15"/>
      <c r="G2676" s="15"/>
      <c r="H2676" s="15"/>
      <c r="I2676" s="17" t="str">
        <f>IFERROR(__xludf.DUMMYFUNCTION("""COMPUTED_VALUE"""),"")</f>
        <v/>
      </c>
      <c r="J2676" s="15"/>
      <c r="L2676" s="18"/>
      <c r="M2676" s="19"/>
      <c r="N2676" s="19"/>
    </row>
    <row r="2677">
      <c r="A2677" s="14"/>
      <c r="B2677" s="15" t="str">
        <f>IFERROR(__xludf.DUMMYFUNCTION("""COMPUTED_VALUE"""),"")</f>
        <v/>
      </c>
      <c r="C2677" s="15"/>
      <c r="D2677" s="15"/>
      <c r="E2677" s="15"/>
      <c r="F2677" s="15"/>
      <c r="G2677" s="15"/>
      <c r="H2677" s="15"/>
      <c r="I2677" s="17" t="str">
        <f>IFERROR(__xludf.DUMMYFUNCTION("""COMPUTED_VALUE"""),"")</f>
        <v/>
      </c>
      <c r="J2677" s="15"/>
      <c r="L2677" s="18"/>
      <c r="M2677" s="19"/>
      <c r="N2677" s="19"/>
    </row>
    <row r="2678">
      <c r="A2678" s="14"/>
      <c r="B2678" s="15" t="str">
        <f>IFERROR(__xludf.DUMMYFUNCTION("""COMPUTED_VALUE"""),"")</f>
        <v/>
      </c>
      <c r="C2678" s="15"/>
      <c r="D2678" s="15"/>
      <c r="E2678" s="15"/>
      <c r="F2678" s="15"/>
      <c r="G2678" s="15"/>
      <c r="H2678" s="15"/>
      <c r="I2678" s="17" t="str">
        <f>IFERROR(__xludf.DUMMYFUNCTION("""COMPUTED_VALUE"""),"")</f>
        <v/>
      </c>
      <c r="J2678" s="15"/>
      <c r="L2678" s="18"/>
      <c r="M2678" s="19"/>
      <c r="N2678" s="19"/>
    </row>
    <row r="2679">
      <c r="A2679" s="14"/>
      <c r="B2679" s="15" t="str">
        <f>IFERROR(__xludf.DUMMYFUNCTION("""COMPUTED_VALUE"""),"")</f>
        <v/>
      </c>
      <c r="C2679" s="15"/>
      <c r="D2679" s="15"/>
      <c r="E2679" s="15"/>
      <c r="F2679" s="15"/>
      <c r="G2679" s="15"/>
      <c r="H2679" s="15"/>
      <c r="I2679" s="17" t="str">
        <f>IFERROR(__xludf.DUMMYFUNCTION("""COMPUTED_VALUE"""),"")</f>
        <v/>
      </c>
      <c r="J2679" s="15"/>
      <c r="L2679" s="18"/>
      <c r="M2679" s="19"/>
      <c r="N2679" s="19"/>
    </row>
    <row r="2680">
      <c r="A2680" s="14"/>
      <c r="B2680" s="15" t="str">
        <f>IFERROR(__xludf.DUMMYFUNCTION("""COMPUTED_VALUE"""),"")</f>
        <v/>
      </c>
      <c r="C2680" s="15"/>
      <c r="D2680" s="15"/>
      <c r="E2680" s="15"/>
      <c r="F2680" s="15"/>
      <c r="G2680" s="15"/>
      <c r="H2680" s="15"/>
      <c r="I2680" s="17" t="str">
        <f>IFERROR(__xludf.DUMMYFUNCTION("""COMPUTED_VALUE"""),"")</f>
        <v/>
      </c>
      <c r="J2680" s="15"/>
      <c r="L2680" s="18"/>
      <c r="M2680" s="19"/>
      <c r="N2680" s="19"/>
    </row>
    <row r="2681">
      <c r="A2681" s="14"/>
      <c r="B2681" s="15" t="str">
        <f>IFERROR(__xludf.DUMMYFUNCTION("""COMPUTED_VALUE"""),"")</f>
        <v/>
      </c>
      <c r="C2681" s="15"/>
      <c r="D2681" s="15"/>
      <c r="E2681" s="15"/>
      <c r="F2681" s="15"/>
      <c r="G2681" s="15"/>
      <c r="H2681" s="15"/>
      <c r="I2681" s="17" t="str">
        <f>IFERROR(__xludf.DUMMYFUNCTION("""COMPUTED_VALUE"""),"")</f>
        <v/>
      </c>
      <c r="J2681" s="15"/>
      <c r="L2681" s="18"/>
      <c r="M2681" s="19"/>
      <c r="N2681" s="19"/>
    </row>
    <row r="2682">
      <c r="A2682" s="14"/>
      <c r="B2682" s="15" t="str">
        <f>IFERROR(__xludf.DUMMYFUNCTION("""COMPUTED_VALUE"""),"")</f>
        <v/>
      </c>
      <c r="C2682" s="15"/>
      <c r="D2682" s="15"/>
      <c r="E2682" s="15"/>
      <c r="F2682" s="15"/>
      <c r="G2682" s="15"/>
      <c r="H2682" s="15"/>
      <c r="I2682" s="17" t="str">
        <f>IFERROR(__xludf.DUMMYFUNCTION("""COMPUTED_VALUE"""),"")</f>
        <v/>
      </c>
      <c r="J2682" s="15"/>
      <c r="L2682" s="18"/>
      <c r="M2682" s="19"/>
      <c r="N2682" s="19"/>
    </row>
    <row r="2683">
      <c r="A2683" s="14"/>
      <c r="B2683" s="15" t="str">
        <f>IFERROR(__xludf.DUMMYFUNCTION("""COMPUTED_VALUE"""),"")</f>
        <v/>
      </c>
      <c r="C2683" s="15"/>
      <c r="D2683" s="15"/>
      <c r="E2683" s="15"/>
      <c r="F2683" s="15"/>
      <c r="G2683" s="15"/>
      <c r="H2683" s="15"/>
      <c r="I2683" s="17" t="str">
        <f>IFERROR(__xludf.DUMMYFUNCTION("""COMPUTED_VALUE"""),"")</f>
        <v/>
      </c>
      <c r="J2683" s="15"/>
      <c r="L2683" s="18"/>
      <c r="M2683" s="19"/>
      <c r="N2683" s="19"/>
    </row>
    <row r="2684">
      <c r="A2684" s="14"/>
      <c r="B2684" s="15" t="str">
        <f>IFERROR(__xludf.DUMMYFUNCTION("""COMPUTED_VALUE"""),"")</f>
        <v/>
      </c>
      <c r="C2684" s="15"/>
      <c r="D2684" s="15"/>
      <c r="E2684" s="15"/>
      <c r="F2684" s="15"/>
      <c r="G2684" s="15"/>
      <c r="H2684" s="15"/>
      <c r="I2684" s="17" t="str">
        <f>IFERROR(__xludf.DUMMYFUNCTION("""COMPUTED_VALUE"""),"")</f>
        <v/>
      </c>
      <c r="J2684" s="15"/>
      <c r="L2684" s="18"/>
      <c r="M2684" s="19"/>
      <c r="N2684" s="19"/>
    </row>
    <row r="2685">
      <c r="A2685" s="14"/>
      <c r="B2685" s="15" t="str">
        <f>IFERROR(__xludf.DUMMYFUNCTION("""COMPUTED_VALUE"""),"")</f>
        <v/>
      </c>
      <c r="C2685" s="15"/>
      <c r="D2685" s="15"/>
      <c r="E2685" s="15"/>
      <c r="F2685" s="15"/>
      <c r="G2685" s="15"/>
      <c r="H2685" s="15"/>
      <c r="I2685" s="17" t="str">
        <f>IFERROR(__xludf.DUMMYFUNCTION("""COMPUTED_VALUE"""),"")</f>
        <v/>
      </c>
      <c r="J2685" s="15"/>
      <c r="L2685" s="18"/>
      <c r="M2685" s="19"/>
      <c r="N2685" s="19"/>
    </row>
    <row r="2686">
      <c r="A2686" s="14"/>
      <c r="B2686" s="15" t="str">
        <f>IFERROR(__xludf.DUMMYFUNCTION("""COMPUTED_VALUE"""),"")</f>
        <v/>
      </c>
      <c r="C2686" s="15"/>
      <c r="D2686" s="15"/>
      <c r="E2686" s="15"/>
      <c r="F2686" s="15"/>
      <c r="G2686" s="15"/>
      <c r="H2686" s="15"/>
      <c r="I2686" s="17" t="str">
        <f>IFERROR(__xludf.DUMMYFUNCTION("""COMPUTED_VALUE"""),"")</f>
        <v/>
      </c>
      <c r="J2686" s="15"/>
      <c r="L2686" s="18"/>
      <c r="M2686" s="19"/>
      <c r="N2686" s="19"/>
    </row>
    <row r="2687">
      <c r="A2687" s="14"/>
      <c r="B2687" s="15" t="str">
        <f>IFERROR(__xludf.DUMMYFUNCTION("""COMPUTED_VALUE"""),"")</f>
        <v/>
      </c>
      <c r="C2687" s="15"/>
      <c r="D2687" s="15"/>
      <c r="E2687" s="15"/>
      <c r="F2687" s="15"/>
      <c r="G2687" s="15"/>
      <c r="H2687" s="15"/>
      <c r="I2687" s="17" t="str">
        <f>IFERROR(__xludf.DUMMYFUNCTION("""COMPUTED_VALUE"""),"")</f>
        <v/>
      </c>
      <c r="J2687" s="15"/>
      <c r="L2687" s="18"/>
      <c r="M2687" s="19"/>
      <c r="N2687" s="19"/>
    </row>
    <row r="2688">
      <c r="A2688" s="14"/>
      <c r="B2688" s="15" t="str">
        <f>IFERROR(__xludf.DUMMYFUNCTION("""COMPUTED_VALUE"""),"")</f>
        <v/>
      </c>
      <c r="C2688" s="15"/>
      <c r="D2688" s="15"/>
      <c r="E2688" s="15"/>
      <c r="F2688" s="15"/>
      <c r="G2688" s="15"/>
      <c r="H2688" s="15"/>
      <c r="I2688" s="17" t="str">
        <f>IFERROR(__xludf.DUMMYFUNCTION("""COMPUTED_VALUE"""),"")</f>
        <v/>
      </c>
      <c r="J2688" s="15"/>
      <c r="L2688" s="18"/>
      <c r="M2688" s="19"/>
      <c r="N2688" s="19"/>
    </row>
    <row r="2689">
      <c r="A2689" s="14"/>
      <c r="B2689" s="15" t="str">
        <f>IFERROR(__xludf.DUMMYFUNCTION("""COMPUTED_VALUE"""),"")</f>
        <v/>
      </c>
      <c r="C2689" s="15"/>
      <c r="D2689" s="15"/>
      <c r="E2689" s="15"/>
      <c r="F2689" s="15"/>
      <c r="G2689" s="15"/>
      <c r="H2689" s="15"/>
      <c r="I2689" s="17" t="str">
        <f>IFERROR(__xludf.DUMMYFUNCTION("""COMPUTED_VALUE"""),"")</f>
        <v/>
      </c>
      <c r="J2689" s="15"/>
      <c r="L2689" s="18"/>
      <c r="M2689" s="19"/>
      <c r="N2689" s="19"/>
    </row>
    <row r="2690">
      <c r="A2690" s="14"/>
      <c r="B2690" s="15" t="str">
        <f>IFERROR(__xludf.DUMMYFUNCTION("""COMPUTED_VALUE"""),"")</f>
        <v/>
      </c>
      <c r="C2690" s="15"/>
      <c r="D2690" s="15"/>
      <c r="E2690" s="15"/>
      <c r="F2690" s="15"/>
      <c r="G2690" s="15"/>
      <c r="H2690" s="15"/>
      <c r="I2690" s="17" t="str">
        <f>IFERROR(__xludf.DUMMYFUNCTION("""COMPUTED_VALUE"""),"")</f>
        <v/>
      </c>
      <c r="J2690" s="15"/>
      <c r="L2690" s="18"/>
      <c r="M2690" s="19"/>
      <c r="N2690" s="19"/>
    </row>
    <row r="2691">
      <c r="A2691" s="14"/>
      <c r="B2691" s="15" t="str">
        <f>IFERROR(__xludf.DUMMYFUNCTION("""COMPUTED_VALUE"""),"")</f>
        <v/>
      </c>
      <c r="C2691" s="15"/>
      <c r="D2691" s="15"/>
      <c r="E2691" s="15"/>
      <c r="F2691" s="15"/>
      <c r="G2691" s="15"/>
      <c r="H2691" s="15"/>
      <c r="I2691" s="17" t="str">
        <f>IFERROR(__xludf.DUMMYFUNCTION("""COMPUTED_VALUE"""),"")</f>
        <v/>
      </c>
      <c r="J2691" s="15"/>
      <c r="L2691" s="18"/>
      <c r="M2691" s="19"/>
      <c r="N2691" s="19"/>
    </row>
    <row r="2692">
      <c r="A2692" s="14"/>
      <c r="B2692" s="15" t="str">
        <f>IFERROR(__xludf.DUMMYFUNCTION("""COMPUTED_VALUE"""),"")</f>
        <v/>
      </c>
      <c r="C2692" s="15"/>
      <c r="D2692" s="15"/>
      <c r="E2692" s="15"/>
      <c r="F2692" s="15"/>
      <c r="G2692" s="15"/>
      <c r="H2692" s="15"/>
      <c r="I2692" s="17" t="str">
        <f>IFERROR(__xludf.DUMMYFUNCTION("""COMPUTED_VALUE"""),"")</f>
        <v/>
      </c>
      <c r="J2692" s="15"/>
      <c r="L2692" s="18"/>
      <c r="M2692" s="19"/>
      <c r="N2692" s="19"/>
    </row>
    <row r="2693">
      <c r="A2693" s="14"/>
      <c r="B2693" s="15" t="str">
        <f>IFERROR(__xludf.DUMMYFUNCTION("""COMPUTED_VALUE"""),"")</f>
        <v/>
      </c>
      <c r="C2693" s="15"/>
      <c r="D2693" s="15"/>
      <c r="E2693" s="15"/>
      <c r="F2693" s="15"/>
      <c r="G2693" s="15"/>
      <c r="H2693" s="15"/>
      <c r="I2693" s="17" t="str">
        <f>IFERROR(__xludf.DUMMYFUNCTION("""COMPUTED_VALUE"""),"")</f>
        <v/>
      </c>
      <c r="J2693" s="15"/>
      <c r="L2693" s="18"/>
      <c r="M2693" s="19"/>
      <c r="N2693" s="19"/>
    </row>
    <row r="2694">
      <c r="A2694" s="14"/>
      <c r="B2694" s="15" t="str">
        <f>IFERROR(__xludf.DUMMYFUNCTION("""COMPUTED_VALUE"""),"")</f>
        <v/>
      </c>
      <c r="C2694" s="15"/>
      <c r="D2694" s="15"/>
      <c r="E2694" s="15"/>
      <c r="F2694" s="15"/>
      <c r="G2694" s="15"/>
      <c r="H2694" s="15"/>
      <c r="I2694" s="17" t="str">
        <f>IFERROR(__xludf.DUMMYFUNCTION("""COMPUTED_VALUE"""),"")</f>
        <v/>
      </c>
      <c r="J2694" s="15"/>
      <c r="L2694" s="18"/>
      <c r="M2694" s="19"/>
      <c r="N2694" s="19"/>
    </row>
    <row r="2695">
      <c r="A2695" s="14"/>
      <c r="B2695" s="15" t="str">
        <f>IFERROR(__xludf.DUMMYFUNCTION("""COMPUTED_VALUE"""),"")</f>
        <v/>
      </c>
      <c r="C2695" s="15"/>
      <c r="D2695" s="15"/>
      <c r="E2695" s="15"/>
      <c r="F2695" s="15"/>
      <c r="G2695" s="15"/>
      <c r="H2695" s="15"/>
      <c r="I2695" s="17" t="str">
        <f>IFERROR(__xludf.DUMMYFUNCTION("""COMPUTED_VALUE"""),"")</f>
        <v/>
      </c>
      <c r="J2695" s="15"/>
      <c r="L2695" s="18"/>
      <c r="M2695" s="19"/>
      <c r="N2695" s="19"/>
    </row>
    <row r="2696">
      <c r="A2696" s="14"/>
      <c r="B2696" s="15" t="str">
        <f>IFERROR(__xludf.DUMMYFUNCTION("""COMPUTED_VALUE"""),"")</f>
        <v/>
      </c>
      <c r="C2696" s="15"/>
      <c r="D2696" s="15"/>
      <c r="E2696" s="15"/>
      <c r="F2696" s="15"/>
      <c r="G2696" s="15"/>
      <c r="H2696" s="15"/>
      <c r="I2696" s="17" t="str">
        <f>IFERROR(__xludf.DUMMYFUNCTION("""COMPUTED_VALUE"""),"")</f>
        <v/>
      </c>
      <c r="J2696" s="15"/>
      <c r="L2696" s="18"/>
      <c r="M2696" s="19"/>
      <c r="N2696" s="19"/>
    </row>
    <row r="2697">
      <c r="A2697" s="14"/>
      <c r="B2697" s="15" t="str">
        <f>IFERROR(__xludf.DUMMYFUNCTION("""COMPUTED_VALUE"""),"")</f>
        <v/>
      </c>
      <c r="C2697" s="15"/>
      <c r="D2697" s="15"/>
      <c r="E2697" s="15"/>
      <c r="F2697" s="15"/>
      <c r="G2697" s="15"/>
      <c r="H2697" s="15"/>
      <c r="I2697" s="17" t="str">
        <f>IFERROR(__xludf.DUMMYFUNCTION("""COMPUTED_VALUE"""),"")</f>
        <v/>
      </c>
      <c r="J2697" s="15"/>
      <c r="L2697" s="18"/>
      <c r="M2697" s="19"/>
      <c r="N2697" s="19"/>
    </row>
    <row r="2698">
      <c r="A2698" s="14"/>
      <c r="B2698" s="15" t="str">
        <f>IFERROR(__xludf.DUMMYFUNCTION("""COMPUTED_VALUE"""),"")</f>
        <v/>
      </c>
      <c r="C2698" s="15"/>
      <c r="D2698" s="15"/>
      <c r="E2698" s="15"/>
      <c r="F2698" s="15"/>
      <c r="G2698" s="15"/>
      <c r="H2698" s="15"/>
      <c r="I2698" s="17" t="str">
        <f>IFERROR(__xludf.DUMMYFUNCTION("""COMPUTED_VALUE"""),"")</f>
        <v/>
      </c>
      <c r="J2698" s="15"/>
      <c r="L2698" s="18"/>
      <c r="M2698" s="19"/>
      <c r="N2698" s="19"/>
    </row>
    <row r="2699">
      <c r="A2699" s="14"/>
      <c r="B2699" s="15" t="str">
        <f>IFERROR(__xludf.DUMMYFUNCTION("""COMPUTED_VALUE"""),"")</f>
        <v/>
      </c>
      <c r="C2699" s="15"/>
      <c r="D2699" s="15"/>
      <c r="E2699" s="15"/>
      <c r="F2699" s="15"/>
      <c r="G2699" s="15"/>
      <c r="H2699" s="15"/>
      <c r="I2699" s="17" t="str">
        <f>IFERROR(__xludf.DUMMYFUNCTION("""COMPUTED_VALUE"""),"")</f>
        <v/>
      </c>
      <c r="J2699" s="15"/>
      <c r="L2699" s="18"/>
      <c r="M2699" s="19"/>
      <c r="N2699" s="19"/>
    </row>
    <row r="2700">
      <c r="A2700" s="14"/>
      <c r="B2700" s="15" t="str">
        <f>IFERROR(__xludf.DUMMYFUNCTION("""COMPUTED_VALUE"""),"")</f>
        <v/>
      </c>
      <c r="C2700" s="15"/>
      <c r="D2700" s="15"/>
      <c r="E2700" s="15"/>
      <c r="F2700" s="15"/>
      <c r="G2700" s="15"/>
      <c r="H2700" s="15"/>
      <c r="I2700" s="17" t="str">
        <f>IFERROR(__xludf.DUMMYFUNCTION("""COMPUTED_VALUE"""),"")</f>
        <v/>
      </c>
      <c r="J2700" s="15"/>
      <c r="L2700" s="18"/>
      <c r="M2700" s="19"/>
      <c r="N2700" s="19"/>
    </row>
    <row r="2701">
      <c r="A2701" s="14"/>
      <c r="B2701" s="15" t="str">
        <f>IFERROR(__xludf.DUMMYFUNCTION("""COMPUTED_VALUE"""),"")</f>
        <v/>
      </c>
      <c r="C2701" s="15"/>
      <c r="D2701" s="15"/>
      <c r="E2701" s="15"/>
      <c r="F2701" s="15"/>
      <c r="G2701" s="15"/>
      <c r="H2701" s="15"/>
      <c r="I2701" s="17" t="str">
        <f>IFERROR(__xludf.DUMMYFUNCTION("""COMPUTED_VALUE"""),"")</f>
        <v/>
      </c>
      <c r="J2701" s="15"/>
      <c r="L2701" s="18"/>
      <c r="M2701" s="19"/>
      <c r="N2701" s="19"/>
    </row>
    <row r="2702">
      <c r="A2702" s="14"/>
      <c r="B2702" s="15" t="str">
        <f>IFERROR(__xludf.DUMMYFUNCTION("""COMPUTED_VALUE"""),"")</f>
        <v/>
      </c>
      <c r="C2702" s="15"/>
      <c r="D2702" s="15"/>
      <c r="E2702" s="15"/>
      <c r="F2702" s="15"/>
      <c r="G2702" s="15"/>
      <c r="H2702" s="15"/>
      <c r="I2702" s="17" t="str">
        <f>IFERROR(__xludf.DUMMYFUNCTION("""COMPUTED_VALUE"""),"")</f>
        <v/>
      </c>
      <c r="J2702" s="15"/>
      <c r="L2702" s="18"/>
      <c r="M2702" s="19"/>
      <c r="N2702" s="19"/>
    </row>
    <row r="2703">
      <c r="A2703" s="14"/>
      <c r="B2703" s="15" t="str">
        <f>IFERROR(__xludf.DUMMYFUNCTION("""COMPUTED_VALUE"""),"")</f>
        <v/>
      </c>
      <c r="C2703" s="15"/>
      <c r="D2703" s="15"/>
      <c r="E2703" s="15"/>
      <c r="F2703" s="15"/>
      <c r="G2703" s="15"/>
      <c r="H2703" s="15"/>
      <c r="I2703" s="17" t="str">
        <f>IFERROR(__xludf.DUMMYFUNCTION("""COMPUTED_VALUE"""),"")</f>
        <v/>
      </c>
      <c r="J2703" s="15"/>
      <c r="L2703" s="18"/>
      <c r="M2703" s="19"/>
      <c r="N2703" s="19"/>
    </row>
    <row r="2704">
      <c r="A2704" s="14"/>
      <c r="B2704" s="15" t="str">
        <f>IFERROR(__xludf.DUMMYFUNCTION("""COMPUTED_VALUE"""),"")</f>
        <v/>
      </c>
      <c r="C2704" s="15"/>
      <c r="D2704" s="15"/>
      <c r="E2704" s="15"/>
      <c r="F2704" s="15"/>
      <c r="G2704" s="15"/>
      <c r="H2704" s="15"/>
      <c r="I2704" s="17" t="str">
        <f>IFERROR(__xludf.DUMMYFUNCTION("""COMPUTED_VALUE"""),"")</f>
        <v/>
      </c>
      <c r="J2704" s="15"/>
      <c r="L2704" s="18"/>
      <c r="M2704" s="19"/>
      <c r="N2704" s="19"/>
    </row>
    <row r="2705">
      <c r="A2705" s="14"/>
      <c r="B2705" s="15" t="str">
        <f>IFERROR(__xludf.DUMMYFUNCTION("""COMPUTED_VALUE"""),"")</f>
        <v/>
      </c>
      <c r="C2705" s="15"/>
      <c r="D2705" s="15"/>
      <c r="E2705" s="15"/>
      <c r="F2705" s="15"/>
      <c r="G2705" s="15"/>
      <c r="H2705" s="15"/>
      <c r="I2705" s="17" t="str">
        <f>IFERROR(__xludf.DUMMYFUNCTION("""COMPUTED_VALUE"""),"")</f>
        <v/>
      </c>
      <c r="J2705" s="15"/>
      <c r="L2705" s="18"/>
      <c r="M2705" s="19"/>
      <c r="N2705" s="19"/>
    </row>
    <row r="2706">
      <c r="A2706" s="14"/>
      <c r="B2706" s="15" t="str">
        <f>IFERROR(__xludf.DUMMYFUNCTION("""COMPUTED_VALUE"""),"")</f>
        <v/>
      </c>
      <c r="C2706" s="15"/>
      <c r="D2706" s="15"/>
      <c r="E2706" s="15"/>
      <c r="F2706" s="15"/>
      <c r="G2706" s="15"/>
      <c r="H2706" s="15"/>
      <c r="I2706" s="17" t="str">
        <f>IFERROR(__xludf.DUMMYFUNCTION("""COMPUTED_VALUE"""),"")</f>
        <v/>
      </c>
      <c r="J2706" s="15"/>
      <c r="L2706" s="18"/>
      <c r="M2706" s="19"/>
      <c r="N2706" s="19"/>
    </row>
    <row r="2707">
      <c r="A2707" s="14"/>
      <c r="B2707" s="15" t="str">
        <f>IFERROR(__xludf.DUMMYFUNCTION("""COMPUTED_VALUE"""),"")</f>
        <v/>
      </c>
      <c r="C2707" s="15"/>
      <c r="D2707" s="15"/>
      <c r="E2707" s="15"/>
      <c r="F2707" s="15"/>
      <c r="G2707" s="15"/>
      <c r="H2707" s="15"/>
      <c r="I2707" s="17" t="str">
        <f>IFERROR(__xludf.DUMMYFUNCTION("""COMPUTED_VALUE"""),"")</f>
        <v/>
      </c>
      <c r="J2707" s="15"/>
      <c r="L2707" s="18"/>
      <c r="M2707" s="19"/>
      <c r="N2707" s="19"/>
    </row>
    <row r="2708">
      <c r="A2708" s="14"/>
      <c r="B2708" s="15" t="str">
        <f>IFERROR(__xludf.DUMMYFUNCTION("""COMPUTED_VALUE"""),"")</f>
        <v/>
      </c>
      <c r="C2708" s="15"/>
      <c r="D2708" s="15"/>
      <c r="E2708" s="15"/>
      <c r="F2708" s="15"/>
      <c r="G2708" s="15"/>
      <c r="H2708" s="15"/>
      <c r="I2708" s="17" t="str">
        <f>IFERROR(__xludf.DUMMYFUNCTION("""COMPUTED_VALUE"""),"")</f>
        <v/>
      </c>
      <c r="J2708" s="15"/>
      <c r="L2708" s="18"/>
      <c r="M2708" s="19"/>
      <c r="N2708" s="19"/>
    </row>
    <row r="2709">
      <c r="A2709" s="14"/>
      <c r="B2709" s="15" t="str">
        <f>IFERROR(__xludf.DUMMYFUNCTION("""COMPUTED_VALUE"""),"")</f>
        <v/>
      </c>
      <c r="C2709" s="15"/>
      <c r="D2709" s="15"/>
      <c r="E2709" s="15"/>
      <c r="F2709" s="15"/>
      <c r="G2709" s="15"/>
      <c r="H2709" s="15"/>
      <c r="I2709" s="17" t="str">
        <f>IFERROR(__xludf.DUMMYFUNCTION("""COMPUTED_VALUE"""),"")</f>
        <v/>
      </c>
      <c r="J2709" s="15"/>
      <c r="L2709" s="18"/>
      <c r="M2709" s="19"/>
      <c r="N2709" s="19"/>
    </row>
    <row r="2710">
      <c r="A2710" s="14"/>
      <c r="B2710" s="15" t="str">
        <f>IFERROR(__xludf.DUMMYFUNCTION("""COMPUTED_VALUE"""),"")</f>
        <v/>
      </c>
      <c r="C2710" s="15"/>
      <c r="D2710" s="15"/>
      <c r="E2710" s="15"/>
      <c r="F2710" s="15"/>
      <c r="G2710" s="15"/>
      <c r="H2710" s="15"/>
      <c r="I2710" s="17" t="str">
        <f>IFERROR(__xludf.DUMMYFUNCTION("""COMPUTED_VALUE"""),"")</f>
        <v/>
      </c>
      <c r="J2710" s="15"/>
      <c r="L2710" s="18"/>
      <c r="M2710" s="19"/>
      <c r="N2710" s="19"/>
    </row>
    <row r="2711">
      <c r="A2711" s="14"/>
      <c r="B2711" s="15" t="str">
        <f>IFERROR(__xludf.DUMMYFUNCTION("""COMPUTED_VALUE"""),"")</f>
        <v/>
      </c>
      <c r="C2711" s="15"/>
      <c r="D2711" s="15"/>
      <c r="E2711" s="15"/>
      <c r="F2711" s="15"/>
      <c r="G2711" s="15"/>
      <c r="H2711" s="15"/>
      <c r="I2711" s="17" t="str">
        <f>IFERROR(__xludf.DUMMYFUNCTION("""COMPUTED_VALUE"""),"")</f>
        <v/>
      </c>
      <c r="J2711" s="15"/>
      <c r="L2711" s="18"/>
      <c r="M2711" s="19"/>
      <c r="N2711" s="19"/>
    </row>
    <row r="2712">
      <c r="A2712" s="14"/>
      <c r="B2712" s="15" t="str">
        <f>IFERROR(__xludf.DUMMYFUNCTION("""COMPUTED_VALUE"""),"")</f>
        <v/>
      </c>
      <c r="C2712" s="15"/>
      <c r="D2712" s="15"/>
      <c r="E2712" s="15"/>
      <c r="F2712" s="15"/>
      <c r="G2712" s="15"/>
      <c r="H2712" s="15"/>
      <c r="I2712" s="17" t="str">
        <f>IFERROR(__xludf.DUMMYFUNCTION("""COMPUTED_VALUE"""),"")</f>
        <v/>
      </c>
      <c r="J2712" s="15"/>
      <c r="L2712" s="18"/>
      <c r="M2712" s="19"/>
      <c r="N2712" s="19"/>
    </row>
    <row r="2713">
      <c r="A2713" s="14"/>
      <c r="B2713" s="15" t="str">
        <f>IFERROR(__xludf.DUMMYFUNCTION("""COMPUTED_VALUE"""),"")</f>
        <v/>
      </c>
      <c r="C2713" s="15"/>
      <c r="D2713" s="15"/>
      <c r="E2713" s="15"/>
      <c r="F2713" s="15"/>
      <c r="G2713" s="15"/>
      <c r="H2713" s="15"/>
      <c r="I2713" s="17" t="str">
        <f>IFERROR(__xludf.DUMMYFUNCTION("""COMPUTED_VALUE"""),"")</f>
        <v/>
      </c>
      <c r="J2713" s="15"/>
      <c r="L2713" s="18"/>
      <c r="M2713" s="19"/>
      <c r="N2713" s="19"/>
    </row>
    <row r="2714">
      <c r="A2714" s="14"/>
      <c r="B2714" s="15" t="str">
        <f>IFERROR(__xludf.DUMMYFUNCTION("""COMPUTED_VALUE"""),"")</f>
        <v/>
      </c>
      <c r="C2714" s="15"/>
      <c r="D2714" s="15"/>
      <c r="E2714" s="15"/>
      <c r="F2714" s="15"/>
      <c r="G2714" s="15"/>
      <c r="H2714" s="15"/>
      <c r="I2714" s="17" t="str">
        <f>IFERROR(__xludf.DUMMYFUNCTION("""COMPUTED_VALUE"""),"")</f>
        <v/>
      </c>
      <c r="J2714" s="15"/>
      <c r="L2714" s="18"/>
      <c r="M2714" s="19"/>
      <c r="N2714" s="19"/>
    </row>
    <row r="2715">
      <c r="A2715" s="14"/>
      <c r="B2715" s="15" t="str">
        <f>IFERROR(__xludf.DUMMYFUNCTION("""COMPUTED_VALUE"""),"")</f>
        <v/>
      </c>
      <c r="C2715" s="15"/>
      <c r="D2715" s="15"/>
      <c r="E2715" s="15"/>
      <c r="F2715" s="15"/>
      <c r="G2715" s="15"/>
      <c r="H2715" s="15"/>
      <c r="I2715" s="17" t="str">
        <f>IFERROR(__xludf.DUMMYFUNCTION("""COMPUTED_VALUE"""),"")</f>
        <v/>
      </c>
      <c r="J2715" s="15"/>
      <c r="L2715" s="18"/>
      <c r="M2715" s="19"/>
      <c r="N2715" s="19"/>
    </row>
    <row r="2716">
      <c r="A2716" s="14"/>
      <c r="B2716" s="15" t="str">
        <f>IFERROR(__xludf.DUMMYFUNCTION("""COMPUTED_VALUE"""),"")</f>
        <v/>
      </c>
      <c r="C2716" s="15"/>
      <c r="D2716" s="15"/>
      <c r="E2716" s="15"/>
      <c r="F2716" s="15"/>
      <c r="G2716" s="15"/>
      <c r="H2716" s="15"/>
      <c r="I2716" s="17" t="str">
        <f>IFERROR(__xludf.DUMMYFUNCTION("""COMPUTED_VALUE"""),"")</f>
        <v/>
      </c>
      <c r="J2716" s="15"/>
      <c r="L2716" s="18"/>
      <c r="M2716" s="19"/>
      <c r="N2716" s="19"/>
    </row>
    <row r="2717">
      <c r="A2717" s="14"/>
      <c r="B2717" s="15" t="str">
        <f>IFERROR(__xludf.DUMMYFUNCTION("""COMPUTED_VALUE"""),"")</f>
        <v/>
      </c>
      <c r="C2717" s="15"/>
      <c r="D2717" s="15"/>
      <c r="E2717" s="15"/>
      <c r="F2717" s="15"/>
      <c r="G2717" s="15"/>
      <c r="H2717" s="15"/>
      <c r="I2717" s="17" t="str">
        <f>IFERROR(__xludf.DUMMYFUNCTION("""COMPUTED_VALUE"""),"")</f>
        <v/>
      </c>
      <c r="J2717" s="15"/>
      <c r="L2717" s="18"/>
      <c r="M2717" s="19"/>
      <c r="N2717" s="19"/>
    </row>
    <row r="2718">
      <c r="A2718" s="14"/>
      <c r="B2718" s="15" t="str">
        <f>IFERROR(__xludf.DUMMYFUNCTION("""COMPUTED_VALUE"""),"")</f>
        <v/>
      </c>
      <c r="C2718" s="15"/>
      <c r="D2718" s="15"/>
      <c r="E2718" s="15"/>
      <c r="F2718" s="15"/>
      <c r="G2718" s="15"/>
      <c r="H2718" s="15"/>
      <c r="I2718" s="17" t="str">
        <f>IFERROR(__xludf.DUMMYFUNCTION("""COMPUTED_VALUE"""),"")</f>
        <v/>
      </c>
      <c r="J2718" s="15"/>
      <c r="L2718" s="18"/>
      <c r="M2718" s="19"/>
      <c r="N2718" s="19"/>
    </row>
    <row r="2719">
      <c r="A2719" s="14"/>
      <c r="B2719" s="15" t="str">
        <f>IFERROR(__xludf.DUMMYFUNCTION("""COMPUTED_VALUE"""),"")</f>
        <v/>
      </c>
      <c r="C2719" s="15"/>
      <c r="D2719" s="15"/>
      <c r="E2719" s="15"/>
      <c r="F2719" s="15"/>
      <c r="G2719" s="15"/>
      <c r="H2719" s="15"/>
      <c r="I2719" s="17" t="str">
        <f>IFERROR(__xludf.DUMMYFUNCTION("""COMPUTED_VALUE"""),"")</f>
        <v/>
      </c>
      <c r="J2719" s="15"/>
      <c r="L2719" s="18"/>
      <c r="M2719" s="19"/>
      <c r="N2719" s="19"/>
    </row>
    <row r="2720">
      <c r="A2720" s="14"/>
      <c r="B2720" s="15" t="str">
        <f>IFERROR(__xludf.DUMMYFUNCTION("""COMPUTED_VALUE"""),"")</f>
        <v/>
      </c>
      <c r="C2720" s="15"/>
      <c r="D2720" s="15"/>
      <c r="E2720" s="15"/>
      <c r="F2720" s="15"/>
      <c r="G2720" s="15"/>
      <c r="H2720" s="15"/>
      <c r="I2720" s="17" t="str">
        <f>IFERROR(__xludf.DUMMYFUNCTION("""COMPUTED_VALUE"""),"")</f>
        <v/>
      </c>
      <c r="J2720" s="15"/>
      <c r="L2720" s="18"/>
      <c r="M2720" s="19"/>
      <c r="N2720" s="19"/>
    </row>
    <row r="2721">
      <c r="A2721" s="14"/>
      <c r="B2721" s="15" t="str">
        <f>IFERROR(__xludf.DUMMYFUNCTION("""COMPUTED_VALUE"""),"")</f>
        <v/>
      </c>
      <c r="C2721" s="15"/>
      <c r="D2721" s="15"/>
      <c r="E2721" s="15"/>
      <c r="F2721" s="15"/>
      <c r="G2721" s="15"/>
      <c r="H2721" s="15"/>
      <c r="I2721" s="17" t="str">
        <f>IFERROR(__xludf.DUMMYFUNCTION("""COMPUTED_VALUE"""),"")</f>
        <v/>
      </c>
      <c r="J2721" s="15"/>
      <c r="L2721" s="18"/>
      <c r="M2721" s="19"/>
      <c r="N2721" s="19"/>
    </row>
    <row r="2722">
      <c r="A2722" s="14"/>
      <c r="B2722" s="15" t="str">
        <f>IFERROR(__xludf.DUMMYFUNCTION("""COMPUTED_VALUE"""),"")</f>
        <v/>
      </c>
      <c r="C2722" s="15"/>
      <c r="D2722" s="15"/>
      <c r="E2722" s="15"/>
      <c r="F2722" s="15"/>
      <c r="G2722" s="15"/>
      <c r="H2722" s="15"/>
      <c r="I2722" s="17" t="str">
        <f>IFERROR(__xludf.DUMMYFUNCTION("""COMPUTED_VALUE"""),"")</f>
        <v/>
      </c>
      <c r="J2722" s="15"/>
      <c r="L2722" s="18"/>
      <c r="M2722" s="19"/>
      <c r="N2722" s="19"/>
    </row>
    <row r="2723">
      <c r="A2723" s="14"/>
      <c r="B2723" s="15" t="str">
        <f>IFERROR(__xludf.DUMMYFUNCTION("""COMPUTED_VALUE"""),"")</f>
        <v/>
      </c>
      <c r="C2723" s="15"/>
      <c r="D2723" s="15"/>
      <c r="E2723" s="15"/>
      <c r="F2723" s="15"/>
      <c r="G2723" s="15"/>
      <c r="H2723" s="15"/>
      <c r="I2723" s="17" t="str">
        <f>IFERROR(__xludf.DUMMYFUNCTION("""COMPUTED_VALUE"""),"")</f>
        <v/>
      </c>
      <c r="J2723" s="15"/>
      <c r="L2723" s="18"/>
      <c r="M2723" s="19"/>
      <c r="N2723" s="19"/>
    </row>
    <row r="2724">
      <c r="A2724" s="14"/>
      <c r="B2724" s="15" t="str">
        <f>IFERROR(__xludf.DUMMYFUNCTION("""COMPUTED_VALUE"""),"")</f>
        <v/>
      </c>
      <c r="C2724" s="15"/>
      <c r="D2724" s="15"/>
      <c r="E2724" s="15"/>
      <c r="F2724" s="15"/>
      <c r="G2724" s="15"/>
      <c r="H2724" s="15"/>
      <c r="I2724" s="17" t="str">
        <f>IFERROR(__xludf.DUMMYFUNCTION("""COMPUTED_VALUE"""),"")</f>
        <v/>
      </c>
      <c r="J2724" s="15"/>
      <c r="L2724" s="18"/>
      <c r="M2724" s="19"/>
      <c r="N2724" s="19"/>
    </row>
    <row r="2725">
      <c r="A2725" s="14"/>
      <c r="B2725" s="15" t="str">
        <f>IFERROR(__xludf.DUMMYFUNCTION("""COMPUTED_VALUE"""),"")</f>
        <v/>
      </c>
      <c r="C2725" s="15"/>
      <c r="D2725" s="15"/>
      <c r="E2725" s="15"/>
      <c r="F2725" s="15"/>
      <c r="G2725" s="15"/>
      <c r="H2725" s="15"/>
      <c r="I2725" s="17" t="str">
        <f>IFERROR(__xludf.DUMMYFUNCTION("""COMPUTED_VALUE"""),"")</f>
        <v/>
      </c>
      <c r="J2725" s="15"/>
      <c r="L2725" s="18"/>
      <c r="M2725" s="19"/>
      <c r="N2725" s="19"/>
    </row>
    <row r="2726">
      <c r="A2726" s="14"/>
      <c r="B2726" s="15" t="str">
        <f>IFERROR(__xludf.DUMMYFUNCTION("""COMPUTED_VALUE"""),"")</f>
        <v/>
      </c>
      <c r="C2726" s="15"/>
      <c r="D2726" s="15"/>
      <c r="E2726" s="15"/>
      <c r="F2726" s="15"/>
      <c r="G2726" s="15"/>
      <c r="H2726" s="15"/>
      <c r="I2726" s="17" t="str">
        <f>IFERROR(__xludf.DUMMYFUNCTION("""COMPUTED_VALUE"""),"")</f>
        <v/>
      </c>
      <c r="J2726" s="15"/>
      <c r="L2726" s="18"/>
      <c r="M2726" s="19"/>
      <c r="N2726" s="19"/>
    </row>
    <row r="2727">
      <c r="A2727" s="14"/>
      <c r="B2727" s="15" t="str">
        <f>IFERROR(__xludf.DUMMYFUNCTION("""COMPUTED_VALUE"""),"")</f>
        <v/>
      </c>
      <c r="C2727" s="15"/>
      <c r="D2727" s="15"/>
      <c r="E2727" s="15"/>
      <c r="F2727" s="15"/>
      <c r="G2727" s="15"/>
      <c r="H2727" s="15"/>
      <c r="I2727" s="17" t="str">
        <f>IFERROR(__xludf.DUMMYFUNCTION("""COMPUTED_VALUE"""),"")</f>
        <v/>
      </c>
      <c r="J2727" s="15"/>
      <c r="L2727" s="18"/>
      <c r="M2727" s="19"/>
      <c r="N2727" s="19"/>
    </row>
    <row r="2728">
      <c r="A2728" s="14"/>
      <c r="B2728" s="15" t="str">
        <f>IFERROR(__xludf.DUMMYFUNCTION("""COMPUTED_VALUE"""),"")</f>
        <v/>
      </c>
      <c r="C2728" s="15"/>
      <c r="D2728" s="15"/>
      <c r="E2728" s="15"/>
      <c r="F2728" s="15"/>
      <c r="G2728" s="15"/>
      <c r="H2728" s="15"/>
      <c r="I2728" s="17" t="str">
        <f>IFERROR(__xludf.DUMMYFUNCTION("""COMPUTED_VALUE"""),"")</f>
        <v/>
      </c>
      <c r="J2728" s="15"/>
      <c r="L2728" s="18"/>
      <c r="M2728" s="19"/>
      <c r="N2728" s="19"/>
    </row>
    <row r="2729">
      <c r="A2729" s="14"/>
      <c r="B2729" s="15" t="str">
        <f>IFERROR(__xludf.DUMMYFUNCTION("""COMPUTED_VALUE"""),"")</f>
        <v/>
      </c>
      <c r="C2729" s="15"/>
      <c r="D2729" s="15"/>
      <c r="E2729" s="15"/>
      <c r="F2729" s="15"/>
      <c r="G2729" s="15"/>
      <c r="H2729" s="15"/>
      <c r="I2729" s="17" t="str">
        <f>IFERROR(__xludf.DUMMYFUNCTION("""COMPUTED_VALUE"""),"")</f>
        <v/>
      </c>
      <c r="J2729" s="15"/>
      <c r="L2729" s="18"/>
      <c r="M2729" s="19"/>
      <c r="N2729" s="19"/>
    </row>
    <row r="2730">
      <c r="A2730" s="14"/>
      <c r="B2730" s="15" t="str">
        <f>IFERROR(__xludf.DUMMYFUNCTION("""COMPUTED_VALUE"""),"")</f>
        <v/>
      </c>
      <c r="C2730" s="15"/>
      <c r="D2730" s="15"/>
      <c r="E2730" s="15"/>
      <c r="F2730" s="15"/>
      <c r="G2730" s="15"/>
      <c r="H2730" s="15"/>
      <c r="I2730" s="17" t="str">
        <f>IFERROR(__xludf.DUMMYFUNCTION("""COMPUTED_VALUE"""),"")</f>
        <v/>
      </c>
      <c r="J2730" s="15"/>
      <c r="L2730" s="18"/>
      <c r="M2730" s="19"/>
      <c r="N2730" s="19"/>
    </row>
    <row r="2731">
      <c r="A2731" s="14"/>
      <c r="B2731" s="15" t="str">
        <f>IFERROR(__xludf.DUMMYFUNCTION("""COMPUTED_VALUE"""),"")</f>
        <v/>
      </c>
      <c r="C2731" s="15"/>
      <c r="D2731" s="15"/>
      <c r="E2731" s="15"/>
      <c r="F2731" s="15"/>
      <c r="G2731" s="15"/>
      <c r="H2731" s="15"/>
      <c r="I2731" s="17" t="str">
        <f>IFERROR(__xludf.DUMMYFUNCTION("""COMPUTED_VALUE"""),"")</f>
        <v/>
      </c>
      <c r="J2731" s="15"/>
      <c r="L2731" s="18"/>
      <c r="M2731" s="19"/>
      <c r="N2731" s="19"/>
    </row>
    <row r="2732">
      <c r="A2732" s="14"/>
      <c r="B2732" s="15" t="str">
        <f>IFERROR(__xludf.DUMMYFUNCTION("""COMPUTED_VALUE"""),"")</f>
        <v/>
      </c>
      <c r="C2732" s="15"/>
      <c r="D2732" s="15"/>
      <c r="E2732" s="15"/>
      <c r="F2732" s="15"/>
      <c r="G2732" s="15"/>
      <c r="H2732" s="15"/>
      <c r="I2732" s="17" t="str">
        <f>IFERROR(__xludf.DUMMYFUNCTION("""COMPUTED_VALUE"""),"")</f>
        <v/>
      </c>
      <c r="J2732" s="15"/>
      <c r="L2732" s="18"/>
      <c r="M2732" s="19"/>
      <c r="N2732" s="19"/>
    </row>
    <row r="2733">
      <c r="A2733" s="14"/>
      <c r="B2733" s="15" t="str">
        <f>IFERROR(__xludf.DUMMYFUNCTION("""COMPUTED_VALUE"""),"")</f>
        <v/>
      </c>
      <c r="C2733" s="15"/>
      <c r="D2733" s="15"/>
      <c r="E2733" s="15"/>
      <c r="F2733" s="15"/>
      <c r="G2733" s="15"/>
      <c r="H2733" s="15"/>
      <c r="I2733" s="17" t="str">
        <f>IFERROR(__xludf.DUMMYFUNCTION("""COMPUTED_VALUE"""),"")</f>
        <v/>
      </c>
      <c r="J2733" s="15"/>
      <c r="L2733" s="18"/>
      <c r="M2733" s="19"/>
      <c r="N2733" s="19"/>
    </row>
    <row r="2734">
      <c r="A2734" s="14"/>
      <c r="B2734" s="15" t="str">
        <f>IFERROR(__xludf.DUMMYFUNCTION("""COMPUTED_VALUE"""),"")</f>
        <v/>
      </c>
      <c r="C2734" s="15"/>
      <c r="D2734" s="15"/>
      <c r="E2734" s="15"/>
      <c r="F2734" s="15"/>
      <c r="G2734" s="15"/>
      <c r="H2734" s="15"/>
      <c r="I2734" s="17" t="str">
        <f>IFERROR(__xludf.DUMMYFUNCTION("""COMPUTED_VALUE"""),"")</f>
        <v/>
      </c>
      <c r="J2734" s="15"/>
      <c r="L2734" s="18"/>
      <c r="M2734" s="19"/>
      <c r="N2734" s="19"/>
    </row>
    <row r="2735">
      <c r="A2735" s="14"/>
      <c r="B2735" s="15" t="str">
        <f>IFERROR(__xludf.DUMMYFUNCTION("""COMPUTED_VALUE"""),"")</f>
        <v/>
      </c>
      <c r="C2735" s="15"/>
      <c r="D2735" s="15"/>
      <c r="E2735" s="15"/>
      <c r="F2735" s="15"/>
      <c r="G2735" s="15"/>
      <c r="H2735" s="15"/>
      <c r="I2735" s="17" t="str">
        <f>IFERROR(__xludf.DUMMYFUNCTION("""COMPUTED_VALUE"""),"")</f>
        <v/>
      </c>
      <c r="J2735" s="15"/>
      <c r="L2735" s="18"/>
      <c r="M2735" s="19"/>
      <c r="N2735" s="19"/>
    </row>
    <row r="2736">
      <c r="A2736" s="14"/>
      <c r="B2736" s="15" t="str">
        <f>IFERROR(__xludf.DUMMYFUNCTION("""COMPUTED_VALUE"""),"")</f>
        <v/>
      </c>
      <c r="C2736" s="15"/>
      <c r="D2736" s="15"/>
      <c r="E2736" s="15"/>
      <c r="F2736" s="15"/>
      <c r="G2736" s="15"/>
      <c r="H2736" s="15"/>
      <c r="I2736" s="17" t="str">
        <f>IFERROR(__xludf.DUMMYFUNCTION("""COMPUTED_VALUE"""),"")</f>
        <v/>
      </c>
      <c r="J2736" s="15"/>
      <c r="L2736" s="18"/>
      <c r="M2736" s="19"/>
      <c r="N2736" s="19"/>
    </row>
    <row r="2737">
      <c r="A2737" s="14"/>
      <c r="B2737" s="15" t="str">
        <f>IFERROR(__xludf.DUMMYFUNCTION("""COMPUTED_VALUE"""),"")</f>
        <v/>
      </c>
      <c r="C2737" s="15"/>
      <c r="D2737" s="15"/>
      <c r="E2737" s="15"/>
      <c r="F2737" s="15"/>
      <c r="G2737" s="15"/>
      <c r="H2737" s="15"/>
      <c r="I2737" s="17" t="str">
        <f>IFERROR(__xludf.DUMMYFUNCTION("""COMPUTED_VALUE"""),"")</f>
        <v/>
      </c>
      <c r="J2737" s="15"/>
      <c r="L2737" s="18"/>
      <c r="M2737" s="19"/>
      <c r="N2737" s="19"/>
    </row>
    <row r="2738">
      <c r="A2738" s="14"/>
      <c r="B2738" s="15" t="str">
        <f>IFERROR(__xludf.DUMMYFUNCTION("""COMPUTED_VALUE"""),"")</f>
        <v/>
      </c>
      <c r="C2738" s="15"/>
      <c r="D2738" s="15"/>
      <c r="E2738" s="15"/>
      <c r="F2738" s="15"/>
      <c r="G2738" s="15"/>
      <c r="H2738" s="15"/>
      <c r="I2738" s="17" t="str">
        <f>IFERROR(__xludf.DUMMYFUNCTION("""COMPUTED_VALUE"""),"")</f>
        <v/>
      </c>
      <c r="J2738" s="15"/>
      <c r="L2738" s="18"/>
      <c r="M2738" s="19"/>
      <c r="N2738" s="19"/>
    </row>
    <row r="2739">
      <c r="A2739" s="14"/>
      <c r="B2739" s="15" t="str">
        <f>IFERROR(__xludf.DUMMYFUNCTION("""COMPUTED_VALUE"""),"")</f>
        <v/>
      </c>
      <c r="C2739" s="15"/>
      <c r="D2739" s="15"/>
      <c r="E2739" s="15"/>
      <c r="F2739" s="15"/>
      <c r="G2739" s="15"/>
      <c r="H2739" s="15"/>
      <c r="I2739" s="17" t="str">
        <f>IFERROR(__xludf.DUMMYFUNCTION("""COMPUTED_VALUE"""),"")</f>
        <v/>
      </c>
      <c r="J2739" s="15"/>
      <c r="L2739" s="18"/>
      <c r="M2739" s="19"/>
      <c r="N2739" s="19"/>
    </row>
    <row r="2740">
      <c r="A2740" s="14"/>
      <c r="B2740" s="15" t="str">
        <f>IFERROR(__xludf.DUMMYFUNCTION("""COMPUTED_VALUE"""),"")</f>
        <v/>
      </c>
      <c r="C2740" s="15"/>
      <c r="D2740" s="15"/>
      <c r="E2740" s="15"/>
      <c r="F2740" s="15"/>
      <c r="G2740" s="15"/>
      <c r="H2740" s="15"/>
      <c r="I2740" s="17" t="str">
        <f>IFERROR(__xludf.DUMMYFUNCTION("""COMPUTED_VALUE"""),"")</f>
        <v/>
      </c>
      <c r="J2740" s="15"/>
      <c r="L2740" s="18"/>
      <c r="M2740" s="19"/>
      <c r="N2740" s="19"/>
    </row>
    <row r="2741">
      <c r="A2741" s="14"/>
      <c r="B2741" s="15" t="str">
        <f>IFERROR(__xludf.DUMMYFUNCTION("""COMPUTED_VALUE"""),"")</f>
        <v/>
      </c>
      <c r="C2741" s="15"/>
      <c r="D2741" s="15"/>
      <c r="E2741" s="15"/>
      <c r="F2741" s="15"/>
      <c r="G2741" s="15"/>
      <c r="H2741" s="15"/>
      <c r="I2741" s="17" t="str">
        <f>IFERROR(__xludf.DUMMYFUNCTION("""COMPUTED_VALUE"""),"")</f>
        <v/>
      </c>
      <c r="J2741" s="15"/>
      <c r="L2741" s="18"/>
      <c r="M2741" s="19"/>
      <c r="N2741" s="19"/>
    </row>
    <row r="2742">
      <c r="A2742" s="14"/>
      <c r="B2742" s="15" t="str">
        <f>IFERROR(__xludf.DUMMYFUNCTION("""COMPUTED_VALUE"""),"")</f>
        <v/>
      </c>
      <c r="C2742" s="15"/>
      <c r="D2742" s="15"/>
      <c r="E2742" s="15"/>
      <c r="F2742" s="15"/>
      <c r="G2742" s="15"/>
      <c r="H2742" s="15"/>
      <c r="I2742" s="17" t="str">
        <f>IFERROR(__xludf.DUMMYFUNCTION("""COMPUTED_VALUE"""),"")</f>
        <v/>
      </c>
      <c r="J2742" s="15"/>
      <c r="L2742" s="18"/>
      <c r="M2742" s="19"/>
      <c r="N2742" s="19"/>
    </row>
    <row r="2743">
      <c r="A2743" s="14"/>
      <c r="B2743" s="15" t="str">
        <f>IFERROR(__xludf.DUMMYFUNCTION("""COMPUTED_VALUE"""),"")</f>
        <v/>
      </c>
      <c r="C2743" s="15"/>
      <c r="D2743" s="15"/>
      <c r="E2743" s="15"/>
      <c r="F2743" s="15"/>
      <c r="G2743" s="15"/>
      <c r="H2743" s="15"/>
      <c r="I2743" s="17" t="str">
        <f>IFERROR(__xludf.DUMMYFUNCTION("""COMPUTED_VALUE"""),"")</f>
        <v/>
      </c>
      <c r="J2743" s="15"/>
      <c r="L2743" s="18"/>
      <c r="M2743" s="19"/>
      <c r="N2743" s="19"/>
    </row>
    <row r="2744">
      <c r="A2744" s="14"/>
      <c r="B2744" s="15" t="str">
        <f>IFERROR(__xludf.DUMMYFUNCTION("""COMPUTED_VALUE"""),"")</f>
        <v/>
      </c>
      <c r="C2744" s="15"/>
      <c r="D2744" s="15"/>
      <c r="E2744" s="15"/>
      <c r="F2744" s="15"/>
      <c r="G2744" s="15"/>
      <c r="H2744" s="15"/>
      <c r="I2744" s="17" t="str">
        <f>IFERROR(__xludf.DUMMYFUNCTION("""COMPUTED_VALUE"""),"")</f>
        <v/>
      </c>
      <c r="J2744" s="15"/>
      <c r="L2744" s="18"/>
      <c r="M2744" s="19"/>
      <c r="N2744" s="19"/>
    </row>
    <row r="2745">
      <c r="A2745" s="14"/>
      <c r="B2745" s="15" t="str">
        <f>IFERROR(__xludf.DUMMYFUNCTION("""COMPUTED_VALUE"""),"")</f>
        <v/>
      </c>
      <c r="C2745" s="15"/>
      <c r="D2745" s="15"/>
      <c r="E2745" s="15"/>
      <c r="F2745" s="15"/>
      <c r="G2745" s="15"/>
      <c r="H2745" s="15"/>
      <c r="I2745" s="17" t="str">
        <f>IFERROR(__xludf.DUMMYFUNCTION("""COMPUTED_VALUE"""),"")</f>
        <v/>
      </c>
      <c r="J2745" s="15"/>
      <c r="L2745" s="18"/>
      <c r="M2745" s="19"/>
      <c r="N2745" s="19"/>
    </row>
    <row r="2746">
      <c r="A2746" s="14"/>
      <c r="B2746" s="15" t="str">
        <f>IFERROR(__xludf.DUMMYFUNCTION("""COMPUTED_VALUE"""),"")</f>
        <v/>
      </c>
      <c r="C2746" s="15"/>
      <c r="D2746" s="15"/>
      <c r="E2746" s="15"/>
      <c r="F2746" s="15"/>
      <c r="G2746" s="15"/>
      <c r="H2746" s="15"/>
      <c r="I2746" s="17" t="str">
        <f>IFERROR(__xludf.DUMMYFUNCTION("""COMPUTED_VALUE"""),"")</f>
        <v/>
      </c>
      <c r="J2746" s="15"/>
      <c r="L2746" s="18"/>
      <c r="M2746" s="19"/>
      <c r="N2746" s="19"/>
    </row>
    <row r="2747">
      <c r="A2747" s="14"/>
      <c r="B2747" s="15" t="str">
        <f>IFERROR(__xludf.DUMMYFUNCTION("""COMPUTED_VALUE"""),"")</f>
        <v/>
      </c>
      <c r="C2747" s="15"/>
      <c r="D2747" s="15"/>
      <c r="E2747" s="15"/>
      <c r="F2747" s="15"/>
      <c r="G2747" s="15"/>
      <c r="H2747" s="15"/>
      <c r="I2747" s="17" t="str">
        <f>IFERROR(__xludf.DUMMYFUNCTION("""COMPUTED_VALUE"""),"")</f>
        <v/>
      </c>
      <c r="J2747" s="15"/>
      <c r="L2747" s="18"/>
      <c r="M2747" s="19"/>
      <c r="N2747" s="19"/>
    </row>
    <row r="2748">
      <c r="A2748" s="14"/>
      <c r="B2748" s="15" t="str">
        <f>IFERROR(__xludf.DUMMYFUNCTION("""COMPUTED_VALUE"""),"")</f>
        <v/>
      </c>
      <c r="C2748" s="15"/>
      <c r="D2748" s="15"/>
      <c r="E2748" s="15"/>
      <c r="F2748" s="15"/>
      <c r="G2748" s="15"/>
      <c r="H2748" s="15"/>
      <c r="I2748" s="17" t="str">
        <f>IFERROR(__xludf.DUMMYFUNCTION("""COMPUTED_VALUE"""),"")</f>
        <v/>
      </c>
      <c r="J2748" s="15"/>
      <c r="L2748" s="18"/>
      <c r="M2748" s="19"/>
      <c r="N2748" s="19"/>
    </row>
    <row r="2749">
      <c r="A2749" s="14"/>
      <c r="B2749" s="15" t="str">
        <f>IFERROR(__xludf.DUMMYFUNCTION("""COMPUTED_VALUE"""),"")</f>
        <v/>
      </c>
      <c r="C2749" s="15"/>
      <c r="D2749" s="15"/>
      <c r="E2749" s="15"/>
      <c r="F2749" s="15"/>
      <c r="G2749" s="15"/>
      <c r="H2749" s="15"/>
      <c r="I2749" s="17" t="str">
        <f>IFERROR(__xludf.DUMMYFUNCTION("""COMPUTED_VALUE"""),"")</f>
        <v/>
      </c>
      <c r="J2749" s="15"/>
      <c r="L2749" s="18"/>
      <c r="M2749" s="19"/>
      <c r="N2749" s="19"/>
    </row>
    <row r="2750">
      <c r="A2750" s="14"/>
      <c r="B2750" s="15" t="str">
        <f>IFERROR(__xludf.DUMMYFUNCTION("""COMPUTED_VALUE"""),"")</f>
        <v/>
      </c>
      <c r="C2750" s="15"/>
      <c r="D2750" s="15"/>
      <c r="E2750" s="15"/>
      <c r="F2750" s="15"/>
      <c r="G2750" s="15"/>
      <c r="H2750" s="15"/>
      <c r="I2750" s="17" t="str">
        <f>IFERROR(__xludf.DUMMYFUNCTION("""COMPUTED_VALUE"""),"")</f>
        <v/>
      </c>
      <c r="J2750" s="15"/>
      <c r="L2750" s="18"/>
      <c r="M2750" s="19"/>
      <c r="N2750" s="19"/>
    </row>
    <row r="2751">
      <c r="A2751" s="14"/>
      <c r="B2751" s="15" t="str">
        <f>IFERROR(__xludf.DUMMYFUNCTION("""COMPUTED_VALUE"""),"")</f>
        <v/>
      </c>
      <c r="C2751" s="15"/>
      <c r="D2751" s="15"/>
      <c r="E2751" s="15"/>
      <c r="F2751" s="15"/>
      <c r="G2751" s="15"/>
      <c r="H2751" s="15"/>
      <c r="I2751" s="17" t="str">
        <f>IFERROR(__xludf.DUMMYFUNCTION("""COMPUTED_VALUE"""),"")</f>
        <v/>
      </c>
      <c r="J2751" s="15"/>
      <c r="L2751" s="18"/>
      <c r="M2751" s="19"/>
      <c r="N2751" s="19"/>
    </row>
    <row r="2752">
      <c r="A2752" s="14"/>
      <c r="B2752" s="15" t="str">
        <f>IFERROR(__xludf.DUMMYFUNCTION("""COMPUTED_VALUE"""),"")</f>
        <v/>
      </c>
      <c r="C2752" s="15"/>
      <c r="D2752" s="15"/>
      <c r="E2752" s="15"/>
      <c r="F2752" s="15"/>
      <c r="G2752" s="15"/>
      <c r="H2752" s="15"/>
      <c r="I2752" s="17" t="str">
        <f>IFERROR(__xludf.DUMMYFUNCTION("""COMPUTED_VALUE"""),"")</f>
        <v/>
      </c>
      <c r="J2752" s="15"/>
      <c r="L2752" s="18"/>
      <c r="M2752" s="19"/>
      <c r="N2752" s="19"/>
    </row>
    <row r="2753">
      <c r="A2753" s="14"/>
      <c r="B2753" s="15" t="str">
        <f>IFERROR(__xludf.DUMMYFUNCTION("""COMPUTED_VALUE"""),"")</f>
        <v/>
      </c>
      <c r="C2753" s="15"/>
      <c r="D2753" s="15"/>
      <c r="E2753" s="15"/>
      <c r="F2753" s="15"/>
      <c r="G2753" s="15"/>
      <c r="H2753" s="15"/>
      <c r="I2753" s="17" t="str">
        <f>IFERROR(__xludf.DUMMYFUNCTION("""COMPUTED_VALUE"""),"")</f>
        <v/>
      </c>
      <c r="J2753" s="15"/>
      <c r="L2753" s="18"/>
      <c r="M2753" s="19"/>
      <c r="N2753" s="19"/>
    </row>
    <row r="2754">
      <c r="A2754" s="14"/>
      <c r="B2754" s="15" t="str">
        <f>IFERROR(__xludf.DUMMYFUNCTION("""COMPUTED_VALUE"""),"")</f>
        <v/>
      </c>
      <c r="C2754" s="15"/>
      <c r="D2754" s="15"/>
      <c r="E2754" s="15"/>
      <c r="F2754" s="15"/>
      <c r="G2754" s="15"/>
      <c r="H2754" s="15"/>
      <c r="I2754" s="17" t="str">
        <f>IFERROR(__xludf.DUMMYFUNCTION("""COMPUTED_VALUE"""),"")</f>
        <v/>
      </c>
      <c r="J2754" s="15"/>
      <c r="L2754" s="18"/>
      <c r="M2754" s="19"/>
      <c r="N2754" s="19"/>
    </row>
    <row r="2755">
      <c r="A2755" s="14"/>
      <c r="B2755" s="15" t="str">
        <f>IFERROR(__xludf.DUMMYFUNCTION("""COMPUTED_VALUE"""),"")</f>
        <v/>
      </c>
      <c r="C2755" s="15"/>
      <c r="D2755" s="15"/>
      <c r="E2755" s="15"/>
      <c r="F2755" s="15"/>
      <c r="G2755" s="15"/>
      <c r="H2755" s="15"/>
      <c r="I2755" s="17" t="str">
        <f>IFERROR(__xludf.DUMMYFUNCTION("""COMPUTED_VALUE"""),"")</f>
        <v/>
      </c>
      <c r="J2755" s="15"/>
      <c r="L2755" s="18"/>
      <c r="M2755" s="19"/>
      <c r="N2755" s="19"/>
    </row>
    <row r="2756">
      <c r="A2756" s="14"/>
      <c r="B2756" s="15" t="str">
        <f>IFERROR(__xludf.DUMMYFUNCTION("""COMPUTED_VALUE"""),"")</f>
        <v/>
      </c>
      <c r="C2756" s="15"/>
      <c r="D2756" s="15"/>
      <c r="E2756" s="15"/>
      <c r="F2756" s="15"/>
      <c r="G2756" s="15"/>
      <c r="H2756" s="15"/>
      <c r="I2756" s="17" t="str">
        <f>IFERROR(__xludf.DUMMYFUNCTION("""COMPUTED_VALUE"""),"")</f>
        <v/>
      </c>
      <c r="J2756" s="15"/>
      <c r="L2756" s="18"/>
      <c r="M2756" s="19"/>
      <c r="N2756" s="19"/>
    </row>
    <row r="2757">
      <c r="A2757" s="14"/>
      <c r="B2757" s="15" t="str">
        <f>IFERROR(__xludf.DUMMYFUNCTION("""COMPUTED_VALUE"""),"")</f>
        <v/>
      </c>
      <c r="C2757" s="15"/>
      <c r="D2757" s="15"/>
      <c r="E2757" s="15"/>
      <c r="F2757" s="15"/>
      <c r="G2757" s="15"/>
      <c r="H2757" s="15"/>
      <c r="I2757" s="17" t="str">
        <f>IFERROR(__xludf.DUMMYFUNCTION("""COMPUTED_VALUE"""),"")</f>
        <v/>
      </c>
      <c r="J2757" s="15"/>
      <c r="L2757" s="18"/>
      <c r="M2757" s="19"/>
      <c r="N2757" s="19"/>
    </row>
    <row r="2758">
      <c r="A2758" s="14"/>
      <c r="B2758" s="15" t="str">
        <f>IFERROR(__xludf.DUMMYFUNCTION("""COMPUTED_VALUE"""),"")</f>
        <v/>
      </c>
      <c r="C2758" s="15"/>
      <c r="D2758" s="15"/>
      <c r="E2758" s="15"/>
      <c r="F2758" s="15"/>
      <c r="G2758" s="15"/>
      <c r="H2758" s="15"/>
      <c r="I2758" s="17" t="str">
        <f>IFERROR(__xludf.DUMMYFUNCTION("""COMPUTED_VALUE"""),"")</f>
        <v/>
      </c>
      <c r="J2758" s="15"/>
      <c r="L2758" s="18"/>
      <c r="M2758" s="19"/>
      <c r="N2758" s="19"/>
    </row>
    <row r="2759">
      <c r="A2759" s="14"/>
      <c r="B2759" s="15" t="str">
        <f>IFERROR(__xludf.DUMMYFUNCTION("""COMPUTED_VALUE"""),"")</f>
        <v/>
      </c>
      <c r="C2759" s="15"/>
      <c r="D2759" s="15"/>
      <c r="E2759" s="15"/>
      <c r="F2759" s="15"/>
      <c r="G2759" s="15"/>
      <c r="H2759" s="15"/>
      <c r="I2759" s="17" t="str">
        <f>IFERROR(__xludf.DUMMYFUNCTION("""COMPUTED_VALUE"""),"")</f>
        <v/>
      </c>
      <c r="J2759" s="15"/>
      <c r="L2759" s="18"/>
      <c r="M2759" s="19"/>
      <c r="N2759" s="19"/>
    </row>
    <row r="2760">
      <c r="A2760" s="14"/>
      <c r="B2760" s="15" t="str">
        <f>IFERROR(__xludf.DUMMYFUNCTION("""COMPUTED_VALUE"""),"")</f>
        <v/>
      </c>
      <c r="C2760" s="15"/>
      <c r="D2760" s="15"/>
      <c r="E2760" s="15"/>
      <c r="F2760" s="15"/>
      <c r="G2760" s="15"/>
      <c r="H2760" s="15"/>
      <c r="I2760" s="17" t="str">
        <f>IFERROR(__xludf.DUMMYFUNCTION("""COMPUTED_VALUE"""),"")</f>
        <v/>
      </c>
      <c r="J2760" s="15"/>
      <c r="L2760" s="18"/>
      <c r="M2760" s="19"/>
      <c r="N2760" s="19"/>
    </row>
    <row r="2761">
      <c r="A2761" s="14"/>
      <c r="B2761" s="15" t="str">
        <f>IFERROR(__xludf.DUMMYFUNCTION("""COMPUTED_VALUE"""),"")</f>
        <v/>
      </c>
      <c r="C2761" s="15"/>
      <c r="D2761" s="15"/>
      <c r="E2761" s="15"/>
      <c r="F2761" s="15"/>
      <c r="G2761" s="15"/>
      <c r="H2761" s="15"/>
      <c r="I2761" s="17" t="str">
        <f>IFERROR(__xludf.DUMMYFUNCTION("""COMPUTED_VALUE"""),"")</f>
        <v/>
      </c>
      <c r="J2761" s="15"/>
      <c r="L2761" s="18"/>
      <c r="M2761" s="19"/>
      <c r="N2761" s="19"/>
    </row>
    <row r="2762">
      <c r="A2762" s="14"/>
      <c r="B2762" s="15" t="str">
        <f>IFERROR(__xludf.DUMMYFUNCTION("""COMPUTED_VALUE"""),"")</f>
        <v/>
      </c>
      <c r="C2762" s="15"/>
      <c r="D2762" s="15"/>
      <c r="E2762" s="15"/>
      <c r="F2762" s="15"/>
      <c r="G2762" s="15"/>
      <c r="H2762" s="15"/>
      <c r="I2762" s="17" t="str">
        <f>IFERROR(__xludf.DUMMYFUNCTION("""COMPUTED_VALUE"""),"")</f>
        <v/>
      </c>
      <c r="J2762" s="15"/>
      <c r="L2762" s="18"/>
      <c r="M2762" s="19"/>
      <c r="N2762" s="19"/>
    </row>
    <row r="2763">
      <c r="A2763" s="14"/>
      <c r="B2763" s="15" t="str">
        <f>IFERROR(__xludf.DUMMYFUNCTION("""COMPUTED_VALUE"""),"")</f>
        <v/>
      </c>
      <c r="C2763" s="15"/>
      <c r="D2763" s="15"/>
      <c r="E2763" s="15"/>
      <c r="F2763" s="15"/>
      <c r="G2763" s="15"/>
      <c r="H2763" s="15"/>
      <c r="I2763" s="17" t="str">
        <f>IFERROR(__xludf.DUMMYFUNCTION("""COMPUTED_VALUE"""),"")</f>
        <v/>
      </c>
      <c r="J2763" s="15"/>
      <c r="L2763" s="18"/>
      <c r="M2763" s="19"/>
      <c r="N2763" s="19"/>
    </row>
    <row r="2764">
      <c r="A2764" s="14"/>
      <c r="B2764" s="15" t="str">
        <f>IFERROR(__xludf.DUMMYFUNCTION("""COMPUTED_VALUE"""),"")</f>
        <v/>
      </c>
      <c r="C2764" s="15"/>
      <c r="D2764" s="15"/>
      <c r="E2764" s="15"/>
      <c r="F2764" s="15"/>
      <c r="G2764" s="15"/>
      <c r="H2764" s="15"/>
      <c r="I2764" s="17" t="str">
        <f>IFERROR(__xludf.DUMMYFUNCTION("""COMPUTED_VALUE"""),"")</f>
        <v/>
      </c>
      <c r="J2764" s="15"/>
      <c r="L2764" s="18"/>
      <c r="M2764" s="19"/>
      <c r="N2764" s="19"/>
    </row>
    <row r="2765">
      <c r="A2765" s="14"/>
      <c r="B2765" s="15" t="str">
        <f>IFERROR(__xludf.DUMMYFUNCTION("""COMPUTED_VALUE"""),"")</f>
        <v/>
      </c>
      <c r="C2765" s="15"/>
      <c r="D2765" s="15"/>
      <c r="E2765" s="15"/>
      <c r="F2765" s="15"/>
      <c r="G2765" s="15"/>
      <c r="H2765" s="15"/>
      <c r="I2765" s="17" t="str">
        <f>IFERROR(__xludf.DUMMYFUNCTION("""COMPUTED_VALUE"""),"")</f>
        <v/>
      </c>
      <c r="J2765" s="15"/>
      <c r="L2765" s="18"/>
      <c r="M2765" s="19"/>
      <c r="N2765" s="19"/>
    </row>
    <row r="2766">
      <c r="A2766" s="14"/>
      <c r="B2766" s="15" t="str">
        <f>IFERROR(__xludf.DUMMYFUNCTION("""COMPUTED_VALUE"""),"")</f>
        <v/>
      </c>
      <c r="C2766" s="15"/>
      <c r="D2766" s="15"/>
      <c r="E2766" s="15"/>
      <c r="F2766" s="15"/>
      <c r="G2766" s="15"/>
      <c r="H2766" s="15"/>
      <c r="I2766" s="17" t="str">
        <f>IFERROR(__xludf.DUMMYFUNCTION("""COMPUTED_VALUE"""),"")</f>
        <v/>
      </c>
      <c r="J2766" s="15"/>
      <c r="L2766" s="18"/>
      <c r="M2766" s="19"/>
      <c r="N2766" s="19"/>
    </row>
    <row r="2767">
      <c r="A2767" s="14"/>
      <c r="B2767" s="15" t="str">
        <f>IFERROR(__xludf.DUMMYFUNCTION("""COMPUTED_VALUE"""),"")</f>
        <v/>
      </c>
      <c r="C2767" s="15"/>
      <c r="D2767" s="15"/>
      <c r="E2767" s="15"/>
      <c r="F2767" s="15"/>
      <c r="G2767" s="15"/>
      <c r="H2767" s="15"/>
      <c r="I2767" s="17" t="str">
        <f>IFERROR(__xludf.DUMMYFUNCTION("""COMPUTED_VALUE"""),"")</f>
        <v/>
      </c>
      <c r="J2767" s="15"/>
      <c r="L2767" s="18"/>
      <c r="M2767" s="19"/>
      <c r="N2767" s="19"/>
    </row>
    <row r="2768">
      <c r="A2768" s="14"/>
      <c r="B2768" s="15" t="str">
        <f>IFERROR(__xludf.DUMMYFUNCTION("""COMPUTED_VALUE"""),"")</f>
        <v/>
      </c>
      <c r="C2768" s="15"/>
      <c r="D2768" s="15"/>
      <c r="E2768" s="15"/>
      <c r="F2768" s="15"/>
      <c r="G2768" s="15"/>
      <c r="H2768" s="15"/>
      <c r="I2768" s="17" t="str">
        <f>IFERROR(__xludf.DUMMYFUNCTION("""COMPUTED_VALUE"""),"")</f>
        <v/>
      </c>
      <c r="J2768" s="15"/>
      <c r="L2768" s="18"/>
      <c r="M2768" s="19"/>
      <c r="N2768" s="19"/>
    </row>
    <row r="2769">
      <c r="A2769" s="14"/>
      <c r="B2769" s="15" t="str">
        <f>IFERROR(__xludf.DUMMYFUNCTION("""COMPUTED_VALUE"""),"")</f>
        <v/>
      </c>
      <c r="C2769" s="15"/>
      <c r="D2769" s="15"/>
      <c r="E2769" s="15"/>
      <c r="F2769" s="15"/>
      <c r="G2769" s="15"/>
      <c r="H2769" s="15"/>
      <c r="I2769" s="17" t="str">
        <f>IFERROR(__xludf.DUMMYFUNCTION("""COMPUTED_VALUE"""),"")</f>
        <v/>
      </c>
      <c r="J2769" s="15"/>
      <c r="L2769" s="18"/>
      <c r="M2769" s="19"/>
      <c r="N2769" s="19"/>
    </row>
    <row r="2770">
      <c r="A2770" s="14"/>
      <c r="B2770" s="15" t="str">
        <f>IFERROR(__xludf.DUMMYFUNCTION("""COMPUTED_VALUE"""),"")</f>
        <v/>
      </c>
      <c r="C2770" s="15"/>
      <c r="D2770" s="15"/>
      <c r="E2770" s="15"/>
      <c r="F2770" s="15"/>
      <c r="G2770" s="15"/>
      <c r="H2770" s="15"/>
      <c r="I2770" s="17" t="str">
        <f>IFERROR(__xludf.DUMMYFUNCTION("""COMPUTED_VALUE"""),"")</f>
        <v/>
      </c>
      <c r="J2770" s="15"/>
      <c r="L2770" s="18"/>
      <c r="M2770" s="19"/>
      <c r="N2770" s="19"/>
    </row>
    <row r="2771">
      <c r="A2771" s="14"/>
      <c r="B2771" s="15" t="str">
        <f>IFERROR(__xludf.DUMMYFUNCTION("""COMPUTED_VALUE"""),"")</f>
        <v/>
      </c>
      <c r="C2771" s="15"/>
      <c r="D2771" s="15"/>
      <c r="E2771" s="15"/>
      <c r="F2771" s="15"/>
      <c r="G2771" s="15"/>
      <c r="H2771" s="15"/>
      <c r="I2771" s="17" t="str">
        <f>IFERROR(__xludf.DUMMYFUNCTION("""COMPUTED_VALUE"""),"")</f>
        <v/>
      </c>
      <c r="J2771" s="15"/>
      <c r="L2771" s="18"/>
      <c r="M2771" s="19"/>
      <c r="N2771" s="19"/>
    </row>
    <row r="2772">
      <c r="A2772" s="14"/>
      <c r="B2772" s="15" t="str">
        <f>IFERROR(__xludf.DUMMYFUNCTION("""COMPUTED_VALUE"""),"")</f>
        <v/>
      </c>
      <c r="C2772" s="15"/>
      <c r="D2772" s="15"/>
      <c r="E2772" s="15"/>
      <c r="F2772" s="15"/>
      <c r="G2772" s="15"/>
      <c r="H2772" s="15"/>
      <c r="I2772" s="17" t="str">
        <f>IFERROR(__xludf.DUMMYFUNCTION("""COMPUTED_VALUE"""),"")</f>
        <v/>
      </c>
      <c r="J2772" s="15"/>
      <c r="L2772" s="18"/>
      <c r="M2772" s="19"/>
      <c r="N2772" s="19"/>
    </row>
    <row r="2773">
      <c r="A2773" s="14"/>
      <c r="B2773" s="15" t="str">
        <f>IFERROR(__xludf.DUMMYFUNCTION("""COMPUTED_VALUE"""),"")</f>
        <v/>
      </c>
      <c r="C2773" s="15"/>
      <c r="D2773" s="15"/>
      <c r="E2773" s="15"/>
      <c r="F2773" s="15"/>
      <c r="G2773" s="15"/>
      <c r="H2773" s="15"/>
      <c r="I2773" s="17" t="str">
        <f>IFERROR(__xludf.DUMMYFUNCTION("""COMPUTED_VALUE"""),"")</f>
        <v/>
      </c>
      <c r="J2773" s="15"/>
      <c r="L2773" s="18"/>
      <c r="M2773" s="19"/>
      <c r="N2773" s="19"/>
    </row>
    <row r="2774">
      <c r="A2774" s="14"/>
      <c r="B2774" s="15" t="str">
        <f>IFERROR(__xludf.DUMMYFUNCTION("""COMPUTED_VALUE"""),"")</f>
        <v/>
      </c>
      <c r="C2774" s="15"/>
      <c r="D2774" s="15"/>
      <c r="E2774" s="15"/>
      <c r="F2774" s="15"/>
      <c r="G2774" s="15"/>
      <c r="H2774" s="15"/>
      <c r="I2774" s="17" t="str">
        <f>IFERROR(__xludf.DUMMYFUNCTION("""COMPUTED_VALUE"""),"")</f>
        <v/>
      </c>
      <c r="J2774" s="15"/>
      <c r="L2774" s="18"/>
      <c r="M2774" s="19"/>
      <c r="N2774" s="19"/>
    </row>
    <row r="2775">
      <c r="A2775" s="14"/>
      <c r="B2775" s="15" t="str">
        <f>IFERROR(__xludf.DUMMYFUNCTION("""COMPUTED_VALUE"""),"")</f>
        <v/>
      </c>
      <c r="C2775" s="15"/>
      <c r="D2775" s="15"/>
      <c r="E2775" s="15"/>
      <c r="F2775" s="15"/>
      <c r="G2775" s="15"/>
      <c r="H2775" s="15"/>
      <c r="I2775" s="17" t="str">
        <f>IFERROR(__xludf.DUMMYFUNCTION("""COMPUTED_VALUE"""),"")</f>
        <v/>
      </c>
      <c r="J2775" s="15"/>
      <c r="L2775" s="18"/>
      <c r="M2775" s="19"/>
      <c r="N2775" s="19"/>
    </row>
    <row r="2776">
      <c r="A2776" s="14"/>
      <c r="B2776" s="15" t="str">
        <f>IFERROR(__xludf.DUMMYFUNCTION("""COMPUTED_VALUE"""),"")</f>
        <v/>
      </c>
      <c r="C2776" s="15"/>
      <c r="D2776" s="15"/>
      <c r="E2776" s="15"/>
      <c r="F2776" s="15"/>
      <c r="G2776" s="15"/>
      <c r="H2776" s="15"/>
      <c r="I2776" s="17" t="str">
        <f>IFERROR(__xludf.DUMMYFUNCTION("""COMPUTED_VALUE"""),"")</f>
        <v/>
      </c>
      <c r="J2776" s="15"/>
      <c r="L2776" s="18"/>
      <c r="M2776" s="19"/>
      <c r="N2776" s="19"/>
    </row>
    <row r="2777">
      <c r="A2777" s="14"/>
      <c r="B2777" s="15" t="str">
        <f>IFERROR(__xludf.DUMMYFUNCTION("""COMPUTED_VALUE"""),"")</f>
        <v/>
      </c>
      <c r="C2777" s="15"/>
      <c r="D2777" s="15"/>
      <c r="E2777" s="15"/>
      <c r="F2777" s="15"/>
      <c r="G2777" s="15"/>
      <c r="H2777" s="15"/>
      <c r="I2777" s="17" t="str">
        <f>IFERROR(__xludf.DUMMYFUNCTION("""COMPUTED_VALUE"""),"")</f>
        <v/>
      </c>
      <c r="J2777" s="15"/>
      <c r="L2777" s="18"/>
      <c r="M2777" s="19"/>
      <c r="N2777" s="19"/>
    </row>
    <row r="2778">
      <c r="A2778" s="14"/>
      <c r="B2778" s="15" t="str">
        <f>IFERROR(__xludf.DUMMYFUNCTION("""COMPUTED_VALUE"""),"")</f>
        <v/>
      </c>
      <c r="C2778" s="15"/>
      <c r="D2778" s="15"/>
      <c r="E2778" s="15"/>
      <c r="F2778" s="15"/>
      <c r="G2778" s="15"/>
      <c r="H2778" s="15"/>
      <c r="I2778" s="17" t="str">
        <f>IFERROR(__xludf.DUMMYFUNCTION("""COMPUTED_VALUE"""),"")</f>
        <v/>
      </c>
      <c r="J2778" s="15"/>
      <c r="L2778" s="18"/>
      <c r="M2778" s="19"/>
      <c r="N2778" s="19"/>
    </row>
    <row r="2779">
      <c r="A2779" s="14"/>
      <c r="B2779" s="15" t="str">
        <f>IFERROR(__xludf.DUMMYFUNCTION("""COMPUTED_VALUE"""),"")</f>
        <v/>
      </c>
      <c r="C2779" s="15"/>
      <c r="D2779" s="15"/>
      <c r="E2779" s="15"/>
      <c r="F2779" s="15"/>
      <c r="G2779" s="15"/>
      <c r="H2779" s="15"/>
      <c r="I2779" s="17" t="str">
        <f>IFERROR(__xludf.DUMMYFUNCTION("""COMPUTED_VALUE"""),"")</f>
        <v/>
      </c>
      <c r="J2779" s="15"/>
      <c r="L2779" s="18"/>
      <c r="M2779" s="19"/>
      <c r="N2779" s="19"/>
    </row>
    <row r="2780">
      <c r="A2780" s="14"/>
      <c r="B2780" s="15" t="str">
        <f>IFERROR(__xludf.DUMMYFUNCTION("""COMPUTED_VALUE"""),"")</f>
        <v/>
      </c>
      <c r="C2780" s="15"/>
      <c r="D2780" s="15"/>
      <c r="E2780" s="15"/>
      <c r="F2780" s="15"/>
      <c r="G2780" s="15"/>
      <c r="H2780" s="15"/>
      <c r="I2780" s="17" t="str">
        <f>IFERROR(__xludf.DUMMYFUNCTION("""COMPUTED_VALUE"""),"")</f>
        <v/>
      </c>
      <c r="J2780" s="15"/>
      <c r="L2780" s="18"/>
      <c r="M2780" s="19"/>
      <c r="N2780" s="19"/>
    </row>
    <row r="2781">
      <c r="A2781" s="14"/>
      <c r="B2781" s="15" t="str">
        <f>IFERROR(__xludf.DUMMYFUNCTION("""COMPUTED_VALUE"""),"")</f>
        <v/>
      </c>
      <c r="C2781" s="15"/>
      <c r="D2781" s="15"/>
      <c r="E2781" s="15"/>
      <c r="F2781" s="15"/>
      <c r="G2781" s="15"/>
      <c r="H2781" s="15"/>
      <c r="I2781" s="17" t="str">
        <f>IFERROR(__xludf.DUMMYFUNCTION("""COMPUTED_VALUE"""),"")</f>
        <v/>
      </c>
      <c r="J2781" s="15"/>
      <c r="L2781" s="18"/>
      <c r="M2781" s="19"/>
      <c r="N2781" s="19"/>
    </row>
    <row r="2782">
      <c r="A2782" s="14"/>
      <c r="B2782" s="15" t="str">
        <f>IFERROR(__xludf.DUMMYFUNCTION("""COMPUTED_VALUE"""),"")</f>
        <v/>
      </c>
      <c r="C2782" s="15"/>
      <c r="D2782" s="15"/>
      <c r="E2782" s="15"/>
      <c r="F2782" s="15"/>
      <c r="G2782" s="15"/>
      <c r="H2782" s="15"/>
      <c r="I2782" s="17" t="str">
        <f>IFERROR(__xludf.DUMMYFUNCTION("""COMPUTED_VALUE"""),"")</f>
        <v/>
      </c>
      <c r="J2782" s="15"/>
      <c r="L2782" s="18"/>
      <c r="M2782" s="19"/>
      <c r="N2782" s="19"/>
    </row>
    <row r="2783">
      <c r="A2783" s="14"/>
      <c r="B2783" s="15" t="str">
        <f>IFERROR(__xludf.DUMMYFUNCTION("""COMPUTED_VALUE"""),"")</f>
        <v/>
      </c>
      <c r="C2783" s="15"/>
      <c r="D2783" s="15"/>
      <c r="E2783" s="15"/>
      <c r="F2783" s="15"/>
      <c r="G2783" s="15"/>
      <c r="H2783" s="15"/>
      <c r="I2783" s="17" t="str">
        <f>IFERROR(__xludf.DUMMYFUNCTION("""COMPUTED_VALUE"""),"")</f>
        <v/>
      </c>
      <c r="J2783" s="15"/>
      <c r="L2783" s="18"/>
      <c r="M2783" s="19"/>
      <c r="N2783" s="19"/>
    </row>
    <row r="2784">
      <c r="A2784" s="14"/>
      <c r="B2784" s="15" t="str">
        <f>IFERROR(__xludf.DUMMYFUNCTION("""COMPUTED_VALUE"""),"")</f>
        <v/>
      </c>
      <c r="C2784" s="15"/>
      <c r="D2784" s="15"/>
      <c r="E2784" s="15"/>
      <c r="F2784" s="15"/>
      <c r="G2784" s="15"/>
      <c r="H2784" s="15"/>
      <c r="I2784" s="17" t="str">
        <f>IFERROR(__xludf.DUMMYFUNCTION("""COMPUTED_VALUE"""),"")</f>
        <v/>
      </c>
      <c r="J2784" s="15"/>
      <c r="L2784" s="18"/>
      <c r="M2784" s="19"/>
      <c r="N2784" s="19"/>
    </row>
    <row r="2785">
      <c r="A2785" s="14"/>
      <c r="B2785" s="15" t="str">
        <f>IFERROR(__xludf.DUMMYFUNCTION("""COMPUTED_VALUE"""),"")</f>
        <v/>
      </c>
      <c r="C2785" s="15"/>
      <c r="D2785" s="15"/>
      <c r="E2785" s="15"/>
      <c r="F2785" s="15"/>
      <c r="G2785" s="15"/>
      <c r="H2785" s="15"/>
      <c r="I2785" s="17" t="str">
        <f>IFERROR(__xludf.DUMMYFUNCTION("""COMPUTED_VALUE"""),"")</f>
        <v/>
      </c>
      <c r="J2785" s="15"/>
      <c r="L2785" s="18"/>
      <c r="M2785" s="19"/>
      <c r="N2785" s="19"/>
    </row>
    <row r="2786">
      <c r="A2786" s="14"/>
      <c r="B2786" s="15" t="str">
        <f>IFERROR(__xludf.DUMMYFUNCTION("""COMPUTED_VALUE"""),"")</f>
        <v/>
      </c>
      <c r="C2786" s="15"/>
      <c r="D2786" s="15"/>
      <c r="E2786" s="15"/>
      <c r="F2786" s="15"/>
      <c r="G2786" s="15"/>
      <c r="H2786" s="15"/>
      <c r="I2786" s="17" t="str">
        <f>IFERROR(__xludf.DUMMYFUNCTION("""COMPUTED_VALUE"""),"")</f>
        <v/>
      </c>
      <c r="J2786" s="15"/>
      <c r="L2786" s="18"/>
      <c r="M2786" s="19"/>
      <c r="N2786" s="19"/>
    </row>
    <row r="2787">
      <c r="A2787" s="14"/>
      <c r="B2787" s="15" t="str">
        <f>IFERROR(__xludf.DUMMYFUNCTION("""COMPUTED_VALUE"""),"")</f>
        <v/>
      </c>
      <c r="C2787" s="15"/>
      <c r="D2787" s="15"/>
      <c r="E2787" s="15"/>
      <c r="F2787" s="15"/>
      <c r="G2787" s="15"/>
      <c r="H2787" s="15"/>
      <c r="I2787" s="17" t="str">
        <f>IFERROR(__xludf.DUMMYFUNCTION("""COMPUTED_VALUE"""),"")</f>
        <v/>
      </c>
      <c r="J2787" s="15"/>
      <c r="L2787" s="18"/>
      <c r="M2787" s="19"/>
      <c r="N2787" s="19"/>
    </row>
    <row r="2788">
      <c r="A2788" s="14"/>
      <c r="B2788" s="15" t="str">
        <f>IFERROR(__xludf.DUMMYFUNCTION("""COMPUTED_VALUE"""),"")</f>
        <v/>
      </c>
      <c r="C2788" s="15"/>
      <c r="D2788" s="15"/>
      <c r="E2788" s="15"/>
      <c r="F2788" s="15"/>
      <c r="G2788" s="15"/>
      <c r="H2788" s="15"/>
      <c r="I2788" s="17" t="str">
        <f>IFERROR(__xludf.DUMMYFUNCTION("""COMPUTED_VALUE"""),"")</f>
        <v/>
      </c>
      <c r="J2788" s="15"/>
      <c r="L2788" s="18"/>
      <c r="M2788" s="19"/>
      <c r="N2788" s="19"/>
    </row>
    <row r="2789">
      <c r="A2789" s="14"/>
      <c r="B2789" s="15" t="str">
        <f>IFERROR(__xludf.DUMMYFUNCTION("""COMPUTED_VALUE"""),"")</f>
        <v/>
      </c>
      <c r="C2789" s="15"/>
      <c r="D2789" s="15"/>
      <c r="E2789" s="15"/>
      <c r="F2789" s="15"/>
      <c r="G2789" s="15"/>
      <c r="H2789" s="15"/>
      <c r="I2789" s="17" t="str">
        <f>IFERROR(__xludf.DUMMYFUNCTION("""COMPUTED_VALUE"""),"")</f>
        <v/>
      </c>
      <c r="J2789" s="15"/>
      <c r="L2789" s="18"/>
      <c r="M2789" s="19"/>
      <c r="N2789" s="19"/>
    </row>
    <row r="2790">
      <c r="A2790" s="14"/>
      <c r="B2790" s="15" t="str">
        <f>IFERROR(__xludf.DUMMYFUNCTION("""COMPUTED_VALUE"""),"")</f>
        <v/>
      </c>
      <c r="C2790" s="15"/>
      <c r="D2790" s="15"/>
      <c r="E2790" s="15"/>
      <c r="F2790" s="15"/>
      <c r="G2790" s="15"/>
      <c r="H2790" s="15"/>
      <c r="I2790" s="17" t="str">
        <f>IFERROR(__xludf.DUMMYFUNCTION("""COMPUTED_VALUE"""),"")</f>
        <v/>
      </c>
      <c r="J2790" s="15"/>
      <c r="L2790" s="18"/>
      <c r="M2790" s="19"/>
      <c r="N2790" s="19"/>
    </row>
    <row r="2791">
      <c r="A2791" s="14"/>
      <c r="B2791" s="15" t="str">
        <f>IFERROR(__xludf.DUMMYFUNCTION("""COMPUTED_VALUE"""),"")</f>
        <v/>
      </c>
      <c r="C2791" s="15"/>
      <c r="D2791" s="15"/>
      <c r="E2791" s="15"/>
      <c r="F2791" s="15"/>
      <c r="G2791" s="15"/>
      <c r="H2791" s="15"/>
      <c r="I2791" s="17" t="str">
        <f>IFERROR(__xludf.DUMMYFUNCTION("""COMPUTED_VALUE"""),"")</f>
        <v/>
      </c>
      <c r="J2791" s="15"/>
      <c r="L2791" s="18"/>
      <c r="M2791" s="19"/>
      <c r="N2791" s="19"/>
    </row>
    <row r="2792">
      <c r="A2792" s="14"/>
      <c r="B2792" s="15" t="str">
        <f>IFERROR(__xludf.DUMMYFUNCTION("""COMPUTED_VALUE"""),"")</f>
        <v/>
      </c>
      <c r="C2792" s="15"/>
      <c r="D2792" s="15"/>
      <c r="E2792" s="15"/>
      <c r="F2792" s="15"/>
      <c r="G2792" s="15"/>
      <c r="H2792" s="15"/>
      <c r="I2792" s="17" t="str">
        <f>IFERROR(__xludf.DUMMYFUNCTION("""COMPUTED_VALUE"""),"")</f>
        <v/>
      </c>
      <c r="J2792" s="15"/>
      <c r="L2792" s="18"/>
      <c r="M2792" s="19"/>
      <c r="N2792" s="19"/>
    </row>
    <row r="2793">
      <c r="A2793" s="14"/>
      <c r="B2793" s="15" t="str">
        <f>IFERROR(__xludf.DUMMYFUNCTION("""COMPUTED_VALUE"""),"")</f>
        <v/>
      </c>
      <c r="C2793" s="15"/>
      <c r="D2793" s="15"/>
      <c r="E2793" s="15"/>
      <c r="F2793" s="15"/>
      <c r="G2793" s="15"/>
      <c r="H2793" s="15"/>
      <c r="I2793" s="17" t="str">
        <f>IFERROR(__xludf.DUMMYFUNCTION("""COMPUTED_VALUE"""),"")</f>
        <v/>
      </c>
      <c r="J2793" s="15"/>
      <c r="L2793" s="18"/>
      <c r="M2793" s="19"/>
      <c r="N2793" s="19"/>
    </row>
    <row r="2794">
      <c r="A2794" s="14"/>
      <c r="B2794" s="15" t="str">
        <f>IFERROR(__xludf.DUMMYFUNCTION("""COMPUTED_VALUE"""),"")</f>
        <v/>
      </c>
      <c r="C2794" s="15"/>
      <c r="D2794" s="15"/>
      <c r="E2794" s="15"/>
      <c r="F2794" s="15"/>
      <c r="G2794" s="15"/>
      <c r="H2794" s="15"/>
      <c r="I2794" s="17" t="str">
        <f>IFERROR(__xludf.DUMMYFUNCTION("""COMPUTED_VALUE"""),"")</f>
        <v/>
      </c>
      <c r="J2794" s="15"/>
      <c r="L2794" s="18"/>
      <c r="M2794" s="19"/>
      <c r="N2794" s="19"/>
    </row>
    <row r="2795">
      <c r="A2795" s="14"/>
      <c r="B2795" s="15" t="str">
        <f>IFERROR(__xludf.DUMMYFUNCTION("""COMPUTED_VALUE"""),"")</f>
        <v/>
      </c>
      <c r="C2795" s="15"/>
      <c r="D2795" s="15"/>
      <c r="E2795" s="15"/>
      <c r="F2795" s="15"/>
      <c r="G2795" s="15"/>
      <c r="H2795" s="15"/>
      <c r="I2795" s="17" t="str">
        <f>IFERROR(__xludf.DUMMYFUNCTION("""COMPUTED_VALUE"""),"")</f>
        <v/>
      </c>
      <c r="J2795" s="15"/>
      <c r="L2795" s="18"/>
      <c r="M2795" s="19"/>
      <c r="N2795" s="19"/>
    </row>
    <row r="2796">
      <c r="A2796" s="14"/>
      <c r="B2796" s="15" t="str">
        <f>IFERROR(__xludf.DUMMYFUNCTION("""COMPUTED_VALUE"""),"")</f>
        <v/>
      </c>
      <c r="C2796" s="15"/>
      <c r="D2796" s="15"/>
      <c r="E2796" s="15"/>
      <c r="F2796" s="15"/>
      <c r="G2796" s="15"/>
      <c r="H2796" s="15"/>
      <c r="I2796" s="17" t="str">
        <f>IFERROR(__xludf.DUMMYFUNCTION("""COMPUTED_VALUE"""),"")</f>
        <v/>
      </c>
      <c r="J2796" s="15"/>
      <c r="L2796" s="18"/>
      <c r="M2796" s="19"/>
      <c r="N2796" s="19"/>
    </row>
    <row r="2797">
      <c r="A2797" s="14"/>
      <c r="B2797" s="15" t="str">
        <f>IFERROR(__xludf.DUMMYFUNCTION("""COMPUTED_VALUE"""),"")</f>
        <v/>
      </c>
      <c r="C2797" s="15"/>
      <c r="D2797" s="15"/>
      <c r="E2797" s="15"/>
      <c r="F2797" s="15"/>
      <c r="G2797" s="15"/>
      <c r="H2797" s="15"/>
      <c r="I2797" s="17" t="str">
        <f>IFERROR(__xludf.DUMMYFUNCTION("""COMPUTED_VALUE"""),"")</f>
        <v/>
      </c>
      <c r="J2797" s="15"/>
      <c r="L2797" s="18"/>
      <c r="M2797" s="19"/>
      <c r="N2797" s="19"/>
    </row>
    <row r="2798">
      <c r="A2798" s="14"/>
      <c r="B2798" s="15" t="str">
        <f>IFERROR(__xludf.DUMMYFUNCTION("""COMPUTED_VALUE"""),"")</f>
        <v/>
      </c>
      <c r="C2798" s="15"/>
      <c r="D2798" s="15"/>
      <c r="E2798" s="15"/>
      <c r="F2798" s="15"/>
      <c r="G2798" s="15"/>
      <c r="H2798" s="15"/>
      <c r="I2798" s="17" t="str">
        <f>IFERROR(__xludf.DUMMYFUNCTION("""COMPUTED_VALUE"""),"")</f>
        <v/>
      </c>
      <c r="J2798" s="15"/>
      <c r="L2798" s="18"/>
      <c r="M2798" s="19"/>
      <c r="N2798" s="19"/>
    </row>
    <row r="2799">
      <c r="A2799" s="14"/>
      <c r="B2799" s="15" t="str">
        <f>IFERROR(__xludf.DUMMYFUNCTION("""COMPUTED_VALUE"""),"")</f>
        <v/>
      </c>
      <c r="C2799" s="15"/>
      <c r="D2799" s="15"/>
      <c r="E2799" s="15"/>
      <c r="F2799" s="15"/>
      <c r="G2799" s="15"/>
      <c r="H2799" s="15"/>
      <c r="I2799" s="17" t="str">
        <f>IFERROR(__xludf.DUMMYFUNCTION("""COMPUTED_VALUE"""),"")</f>
        <v/>
      </c>
      <c r="J2799" s="15"/>
      <c r="L2799" s="18"/>
      <c r="M2799" s="19"/>
      <c r="N2799" s="19"/>
    </row>
    <row r="2800">
      <c r="A2800" s="14"/>
      <c r="B2800" s="15" t="str">
        <f>IFERROR(__xludf.DUMMYFUNCTION("""COMPUTED_VALUE"""),"")</f>
        <v/>
      </c>
      <c r="C2800" s="15"/>
      <c r="D2800" s="15"/>
      <c r="E2800" s="15"/>
      <c r="F2800" s="15"/>
      <c r="G2800" s="15"/>
      <c r="H2800" s="15"/>
      <c r="I2800" s="17" t="str">
        <f>IFERROR(__xludf.DUMMYFUNCTION("""COMPUTED_VALUE"""),"")</f>
        <v/>
      </c>
      <c r="J2800" s="15"/>
      <c r="L2800" s="18"/>
      <c r="M2800" s="19"/>
      <c r="N2800" s="19"/>
    </row>
    <row r="2801">
      <c r="A2801" s="14"/>
      <c r="B2801" s="15" t="str">
        <f>IFERROR(__xludf.DUMMYFUNCTION("""COMPUTED_VALUE"""),"")</f>
        <v/>
      </c>
      <c r="C2801" s="15"/>
      <c r="D2801" s="15"/>
      <c r="E2801" s="15"/>
      <c r="F2801" s="15"/>
      <c r="G2801" s="15"/>
      <c r="H2801" s="15"/>
      <c r="I2801" s="17" t="str">
        <f>IFERROR(__xludf.DUMMYFUNCTION("""COMPUTED_VALUE"""),"")</f>
        <v/>
      </c>
      <c r="J2801" s="15"/>
      <c r="L2801" s="18"/>
      <c r="M2801" s="19"/>
      <c r="N2801" s="19"/>
    </row>
    <row r="2802">
      <c r="A2802" s="14"/>
      <c r="B2802" s="15" t="str">
        <f>IFERROR(__xludf.DUMMYFUNCTION("""COMPUTED_VALUE"""),"")</f>
        <v/>
      </c>
      <c r="C2802" s="15"/>
      <c r="D2802" s="15"/>
      <c r="E2802" s="15"/>
      <c r="F2802" s="15"/>
      <c r="G2802" s="15"/>
      <c r="H2802" s="15"/>
      <c r="I2802" s="17" t="str">
        <f>IFERROR(__xludf.DUMMYFUNCTION("""COMPUTED_VALUE"""),"")</f>
        <v/>
      </c>
      <c r="J2802" s="15"/>
      <c r="L2802" s="18"/>
      <c r="M2802" s="19"/>
      <c r="N2802" s="19"/>
    </row>
    <row r="2803">
      <c r="A2803" s="14"/>
      <c r="B2803" s="15" t="str">
        <f>IFERROR(__xludf.DUMMYFUNCTION("""COMPUTED_VALUE"""),"")</f>
        <v/>
      </c>
      <c r="C2803" s="15"/>
      <c r="D2803" s="15"/>
      <c r="E2803" s="15"/>
      <c r="F2803" s="15"/>
      <c r="G2803" s="15"/>
      <c r="H2803" s="15"/>
      <c r="I2803" s="17" t="str">
        <f>IFERROR(__xludf.DUMMYFUNCTION("""COMPUTED_VALUE"""),"")</f>
        <v/>
      </c>
      <c r="J2803" s="15"/>
      <c r="L2803" s="18"/>
      <c r="M2803" s="19"/>
      <c r="N2803" s="19"/>
    </row>
    <row r="2804">
      <c r="A2804" s="14"/>
      <c r="B2804" s="15" t="str">
        <f>IFERROR(__xludf.DUMMYFUNCTION("""COMPUTED_VALUE"""),"")</f>
        <v/>
      </c>
      <c r="C2804" s="15"/>
      <c r="D2804" s="15"/>
      <c r="E2804" s="15"/>
      <c r="F2804" s="15"/>
      <c r="G2804" s="15"/>
      <c r="H2804" s="15"/>
      <c r="I2804" s="17" t="str">
        <f>IFERROR(__xludf.DUMMYFUNCTION("""COMPUTED_VALUE"""),"")</f>
        <v/>
      </c>
      <c r="J2804" s="15"/>
      <c r="L2804" s="18"/>
      <c r="M2804" s="19"/>
      <c r="N2804" s="19"/>
    </row>
    <row r="2805">
      <c r="A2805" s="14"/>
      <c r="B2805" s="15" t="str">
        <f>IFERROR(__xludf.DUMMYFUNCTION("""COMPUTED_VALUE"""),"")</f>
        <v/>
      </c>
      <c r="C2805" s="15"/>
      <c r="D2805" s="15"/>
      <c r="E2805" s="15"/>
      <c r="F2805" s="15"/>
      <c r="G2805" s="15"/>
      <c r="H2805" s="15"/>
      <c r="I2805" s="17" t="str">
        <f>IFERROR(__xludf.DUMMYFUNCTION("""COMPUTED_VALUE"""),"")</f>
        <v/>
      </c>
      <c r="J2805" s="15"/>
      <c r="L2805" s="18"/>
      <c r="M2805" s="19"/>
      <c r="N2805" s="19"/>
    </row>
    <row r="2806">
      <c r="A2806" s="14"/>
      <c r="B2806" s="15" t="str">
        <f>IFERROR(__xludf.DUMMYFUNCTION("""COMPUTED_VALUE"""),"")</f>
        <v/>
      </c>
      <c r="C2806" s="15"/>
      <c r="D2806" s="15"/>
      <c r="E2806" s="15"/>
      <c r="F2806" s="15"/>
      <c r="G2806" s="15"/>
      <c r="H2806" s="15"/>
      <c r="I2806" s="17" t="str">
        <f>IFERROR(__xludf.DUMMYFUNCTION("""COMPUTED_VALUE"""),"")</f>
        <v/>
      </c>
      <c r="J2806" s="15"/>
      <c r="L2806" s="18"/>
      <c r="M2806" s="19"/>
      <c r="N2806" s="19"/>
    </row>
    <row r="2807">
      <c r="A2807" s="14"/>
      <c r="B2807" s="15" t="str">
        <f>IFERROR(__xludf.DUMMYFUNCTION("""COMPUTED_VALUE"""),"")</f>
        <v/>
      </c>
      <c r="C2807" s="15"/>
      <c r="D2807" s="15"/>
      <c r="E2807" s="15"/>
      <c r="F2807" s="15"/>
      <c r="G2807" s="15"/>
      <c r="H2807" s="15"/>
      <c r="I2807" s="17" t="str">
        <f>IFERROR(__xludf.DUMMYFUNCTION("""COMPUTED_VALUE"""),"")</f>
        <v/>
      </c>
      <c r="J2807" s="15"/>
      <c r="L2807" s="18"/>
      <c r="M2807" s="19"/>
      <c r="N2807" s="19"/>
    </row>
    <row r="2808">
      <c r="A2808" s="14"/>
      <c r="B2808" s="15" t="str">
        <f>IFERROR(__xludf.DUMMYFUNCTION("""COMPUTED_VALUE"""),"")</f>
        <v/>
      </c>
      <c r="C2808" s="15"/>
      <c r="D2808" s="15"/>
      <c r="E2808" s="15"/>
      <c r="F2808" s="15"/>
      <c r="G2808" s="15"/>
      <c r="H2808" s="15"/>
      <c r="I2808" s="17" t="str">
        <f>IFERROR(__xludf.DUMMYFUNCTION("""COMPUTED_VALUE"""),"")</f>
        <v/>
      </c>
      <c r="J2808" s="15"/>
      <c r="L2808" s="18"/>
      <c r="M2808" s="19"/>
      <c r="N2808" s="19"/>
    </row>
    <row r="2809">
      <c r="A2809" s="14"/>
      <c r="B2809" s="15" t="str">
        <f>IFERROR(__xludf.DUMMYFUNCTION("""COMPUTED_VALUE"""),"")</f>
        <v/>
      </c>
      <c r="C2809" s="15"/>
      <c r="D2809" s="15"/>
      <c r="E2809" s="15"/>
      <c r="F2809" s="15"/>
      <c r="G2809" s="15"/>
      <c r="H2809" s="15"/>
      <c r="I2809" s="17" t="str">
        <f>IFERROR(__xludf.DUMMYFUNCTION("""COMPUTED_VALUE"""),"")</f>
        <v/>
      </c>
      <c r="J2809" s="15"/>
      <c r="L2809" s="18"/>
      <c r="M2809" s="19"/>
      <c r="N2809" s="19"/>
    </row>
    <row r="2810">
      <c r="A2810" s="14"/>
      <c r="B2810" s="15" t="str">
        <f>IFERROR(__xludf.DUMMYFUNCTION("""COMPUTED_VALUE"""),"")</f>
        <v/>
      </c>
      <c r="C2810" s="15"/>
      <c r="D2810" s="15"/>
      <c r="E2810" s="15"/>
      <c r="F2810" s="15"/>
      <c r="G2810" s="15"/>
      <c r="H2810" s="15"/>
      <c r="I2810" s="17" t="str">
        <f>IFERROR(__xludf.DUMMYFUNCTION("""COMPUTED_VALUE"""),"")</f>
        <v/>
      </c>
      <c r="J2810" s="15"/>
      <c r="L2810" s="18"/>
      <c r="M2810" s="19"/>
      <c r="N2810" s="19"/>
    </row>
    <row r="2811">
      <c r="A2811" s="14"/>
      <c r="B2811" s="15" t="str">
        <f>IFERROR(__xludf.DUMMYFUNCTION("""COMPUTED_VALUE"""),"")</f>
        <v/>
      </c>
      <c r="C2811" s="15"/>
      <c r="D2811" s="15"/>
      <c r="E2811" s="15"/>
      <c r="F2811" s="15"/>
      <c r="G2811" s="15"/>
      <c r="H2811" s="15"/>
      <c r="I2811" s="17" t="str">
        <f>IFERROR(__xludf.DUMMYFUNCTION("""COMPUTED_VALUE"""),"")</f>
        <v/>
      </c>
      <c r="J2811" s="15"/>
      <c r="L2811" s="18"/>
      <c r="M2811" s="19"/>
      <c r="N2811" s="19"/>
    </row>
    <row r="2812">
      <c r="A2812" s="14"/>
      <c r="B2812" s="15" t="str">
        <f>IFERROR(__xludf.DUMMYFUNCTION("""COMPUTED_VALUE"""),"")</f>
        <v/>
      </c>
      <c r="C2812" s="15"/>
      <c r="D2812" s="15"/>
      <c r="E2812" s="15"/>
      <c r="F2812" s="15"/>
      <c r="G2812" s="15"/>
      <c r="H2812" s="15"/>
      <c r="I2812" s="17" t="str">
        <f>IFERROR(__xludf.DUMMYFUNCTION("""COMPUTED_VALUE"""),"")</f>
        <v/>
      </c>
      <c r="J2812" s="15"/>
      <c r="L2812" s="18"/>
      <c r="M2812" s="19"/>
      <c r="N2812" s="19"/>
    </row>
    <row r="2813">
      <c r="A2813" s="14"/>
      <c r="B2813" s="15" t="str">
        <f>IFERROR(__xludf.DUMMYFUNCTION("""COMPUTED_VALUE"""),"")</f>
        <v/>
      </c>
      <c r="C2813" s="15"/>
      <c r="D2813" s="15"/>
      <c r="E2813" s="15"/>
      <c r="F2813" s="15"/>
      <c r="G2813" s="15"/>
      <c r="H2813" s="15"/>
      <c r="I2813" s="17" t="str">
        <f>IFERROR(__xludf.DUMMYFUNCTION("""COMPUTED_VALUE"""),"")</f>
        <v/>
      </c>
      <c r="J2813" s="15"/>
      <c r="L2813" s="18"/>
      <c r="M2813" s="19"/>
      <c r="N2813" s="19"/>
    </row>
    <row r="2814">
      <c r="A2814" s="14"/>
      <c r="B2814" s="15" t="str">
        <f>IFERROR(__xludf.DUMMYFUNCTION("""COMPUTED_VALUE"""),"")</f>
        <v/>
      </c>
      <c r="C2814" s="15"/>
      <c r="D2814" s="15"/>
      <c r="E2814" s="15"/>
      <c r="F2814" s="15"/>
      <c r="G2814" s="15"/>
      <c r="H2814" s="15"/>
      <c r="I2814" s="17" t="str">
        <f>IFERROR(__xludf.DUMMYFUNCTION("""COMPUTED_VALUE"""),"")</f>
        <v/>
      </c>
      <c r="J2814" s="15"/>
      <c r="L2814" s="18"/>
      <c r="M2814" s="19"/>
      <c r="N2814" s="19"/>
    </row>
    <row r="2815">
      <c r="A2815" s="14"/>
      <c r="B2815" s="15" t="str">
        <f>IFERROR(__xludf.DUMMYFUNCTION("""COMPUTED_VALUE"""),"")</f>
        <v/>
      </c>
      <c r="C2815" s="15"/>
      <c r="D2815" s="15"/>
      <c r="E2815" s="15"/>
      <c r="F2815" s="15"/>
      <c r="G2815" s="15"/>
      <c r="H2815" s="15"/>
      <c r="I2815" s="17" t="str">
        <f>IFERROR(__xludf.DUMMYFUNCTION("""COMPUTED_VALUE"""),"")</f>
        <v/>
      </c>
      <c r="J2815" s="15"/>
      <c r="L2815" s="18"/>
      <c r="M2815" s="19"/>
      <c r="N2815" s="19"/>
    </row>
    <row r="2816">
      <c r="A2816" s="14"/>
      <c r="B2816" s="15" t="str">
        <f>IFERROR(__xludf.DUMMYFUNCTION("""COMPUTED_VALUE"""),"")</f>
        <v/>
      </c>
      <c r="C2816" s="15"/>
      <c r="D2816" s="15"/>
      <c r="E2816" s="15"/>
      <c r="F2816" s="15"/>
      <c r="G2816" s="15"/>
      <c r="H2816" s="15"/>
      <c r="I2816" s="17" t="str">
        <f>IFERROR(__xludf.DUMMYFUNCTION("""COMPUTED_VALUE"""),"")</f>
        <v/>
      </c>
      <c r="J2816" s="15"/>
      <c r="L2816" s="18"/>
      <c r="M2816" s="19"/>
      <c r="N2816" s="19"/>
    </row>
    <row r="2817">
      <c r="A2817" s="14"/>
      <c r="B2817" s="15" t="str">
        <f>IFERROR(__xludf.DUMMYFUNCTION("""COMPUTED_VALUE"""),"")</f>
        <v/>
      </c>
      <c r="C2817" s="15"/>
      <c r="D2817" s="15"/>
      <c r="E2817" s="15"/>
      <c r="F2817" s="15"/>
      <c r="G2817" s="15"/>
      <c r="H2817" s="15"/>
      <c r="I2817" s="17" t="str">
        <f>IFERROR(__xludf.DUMMYFUNCTION("""COMPUTED_VALUE"""),"")</f>
        <v/>
      </c>
      <c r="J2817" s="15"/>
      <c r="L2817" s="18"/>
      <c r="M2817" s="19"/>
      <c r="N2817" s="19"/>
    </row>
    <row r="2818">
      <c r="A2818" s="14"/>
      <c r="B2818" s="15" t="str">
        <f>IFERROR(__xludf.DUMMYFUNCTION("""COMPUTED_VALUE"""),"")</f>
        <v/>
      </c>
      <c r="C2818" s="15"/>
      <c r="D2818" s="15"/>
      <c r="E2818" s="15"/>
      <c r="F2818" s="15"/>
      <c r="G2818" s="15"/>
      <c r="H2818" s="15"/>
      <c r="I2818" s="17" t="str">
        <f>IFERROR(__xludf.DUMMYFUNCTION("""COMPUTED_VALUE"""),"")</f>
        <v/>
      </c>
      <c r="J2818" s="15"/>
      <c r="L2818" s="18"/>
      <c r="M2818" s="19"/>
      <c r="N2818" s="19"/>
    </row>
    <row r="2819">
      <c r="A2819" s="14"/>
      <c r="B2819" s="15" t="str">
        <f>IFERROR(__xludf.DUMMYFUNCTION("""COMPUTED_VALUE"""),"")</f>
        <v/>
      </c>
      <c r="C2819" s="15"/>
      <c r="D2819" s="15"/>
      <c r="E2819" s="15"/>
      <c r="F2819" s="15"/>
      <c r="G2819" s="15"/>
      <c r="H2819" s="15"/>
      <c r="I2819" s="17" t="str">
        <f>IFERROR(__xludf.DUMMYFUNCTION("""COMPUTED_VALUE"""),"")</f>
        <v/>
      </c>
      <c r="J2819" s="15"/>
      <c r="L2819" s="18"/>
      <c r="M2819" s="19"/>
      <c r="N2819" s="19"/>
    </row>
    <row r="2820">
      <c r="A2820" s="14"/>
      <c r="B2820" s="15" t="str">
        <f>IFERROR(__xludf.DUMMYFUNCTION("""COMPUTED_VALUE"""),"")</f>
        <v/>
      </c>
      <c r="C2820" s="15"/>
      <c r="D2820" s="15"/>
      <c r="E2820" s="15"/>
      <c r="F2820" s="15"/>
      <c r="G2820" s="15"/>
      <c r="H2820" s="15"/>
      <c r="I2820" s="17" t="str">
        <f>IFERROR(__xludf.DUMMYFUNCTION("""COMPUTED_VALUE"""),"")</f>
        <v/>
      </c>
      <c r="J2820" s="15"/>
      <c r="L2820" s="18"/>
      <c r="M2820" s="19"/>
      <c r="N2820" s="19"/>
    </row>
    <row r="2821">
      <c r="A2821" s="14"/>
      <c r="B2821" s="15" t="str">
        <f>IFERROR(__xludf.DUMMYFUNCTION("""COMPUTED_VALUE"""),"")</f>
        <v/>
      </c>
      <c r="C2821" s="15"/>
      <c r="D2821" s="15"/>
      <c r="E2821" s="15"/>
      <c r="F2821" s="15"/>
      <c r="G2821" s="15"/>
      <c r="H2821" s="15"/>
      <c r="I2821" s="17" t="str">
        <f>IFERROR(__xludf.DUMMYFUNCTION("""COMPUTED_VALUE"""),"")</f>
        <v/>
      </c>
      <c r="J2821" s="15"/>
      <c r="L2821" s="18"/>
      <c r="M2821" s="19"/>
      <c r="N2821" s="19"/>
    </row>
    <row r="2822">
      <c r="A2822" s="14"/>
      <c r="B2822" s="15" t="str">
        <f>IFERROR(__xludf.DUMMYFUNCTION("""COMPUTED_VALUE"""),"")</f>
        <v/>
      </c>
      <c r="C2822" s="15"/>
      <c r="D2822" s="15"/>
      <c r="E2822" s="15"/>
      <c r="F2822" s="15"/>
      <c r="G2822" s="15"/>
      <c r="H2822" s="15"/>
      <c r="I2822" s="17" t="str">
        <f>IFERROR(__xludf.DUMMYFUNCTION("""COMPUTED_VALUE"""),"")</f>
        <v/>
      </c>
      <c r="J2822" s="15"/>
      <c r="L2822" s="18"/>
      <c r="M2822" s="19"/>
      <c r="N2822" s="19"/>
    </row>
    <row r="2823">
      <c r="A2823" s="14"/>
      <c r="B2823" s="15" t="str">
        <f>IFERROR(__xludf.DUMMYFUNCTION("""COMPUTED_VALUE"""),"")</f>
        <v/>
      </c>
      <c r="C2823" s="15"/>
      <c r="D2823" s="15"/>
      <c r="E2823" s="15"/>
      <c r="F2823" s="15"/>
      <c r="G2823" s="15"/>
      <c r="H2823" s="15"/>
      <c r="I2823" s="17" t="str">
        <f>IFERROR(__xludf.DUMMYFUNCTION("""COMPUTED_VALUE"""),"")</f>
        <v/>
      </c>
      <c r="J2823" s="15"/>
      <c r="L2823" s="18"/>
      <c r="M2823" s="19"/>
      <c r="N2823" s="19"/>
    </row>
    <row r="2824">
      <c r="A2824" s="14"/>
      <c r="B2824" s="15" t="str">
        <f>IFERROR(__xludf.DUMMYFUNCTION("""COMPUTED_VALUE"""),"")</f>
        <v/>
      </c>
      <c r="C2824" s="15"/>
      <c r="D2824" s="15"/>
      <c r="E2824" s="15"/>
      <c r="F2824" s="15"/>
      <c r="G2824" s="15"/>
      <c r="H2824" s="15"/>
      <c r="I2824" s="17" t="str">
        <f>IFERROR(__xludf.DUMMYFUNCTION("""COMPUTED_VALUE"""),"")</f>
        <v/>
      </c>
      <c r="J2824" s="15"/>
      <c r="L2824" s="18"/>
      <c r="M2824" s="19"/>
      <c r="N2824" s="19"/>
    </row>
    <row r="2825">
      <c r="A2825" s="14"/>
      <c r="B2825" s="15" t="str">
        <f>IFERROR(__xludf.DUMMYFUNCTION("""COMPUTED_VALUE"""),"")</f>
        <v/>
      </c>
      <c r="C2825" s="15"/>
      <c r="D2825" s="15"/>
      <c r="E2825" s="15"/>
      <c r="F2825" s="15"/>
      <c r="G2825" s="15"/>
      <c r="H2825" s="15"/>
      <c r="I2825" s="17" t="str">
        <f>IFERROR(__xludf.DUMMYFUNCTION("""COMPUTED_VALUE"""),"")</f>
        <v/>
      </c>
      <c r="J2825" s="15"/>
      <c r="L2825" s="18"/>
      <c r="M2825" s="19"/>
      <c r="N2825" s="19"/>
    </row>
    <row r="2826">
      <c r="A2826" s="14"/>
      <c r="B2826" s="15" t="str">
        <f>IFERROR(__xludf.DUMMYFUNCTION("""COMPUTED_VALUE"""),"")</f>
        <v/>
      </c>
      <c r="C2826" s="15"/>
      <c r="D2826" s="15"/>
      <c r="E2826" s="15"/>
      <c r="F2826" s="15"/>
      <c r="G2826" s="15"/>
      <c r="H2826" s="15"/>
      <c r="I2826" s="17" t="str">
        <f>IFERROR(__xludf.DUMMYFUNCTION("""COMPUTED_VALUE"""),"")</f>
        <v/>
      </c>
      <c r="J2826" s="15"/>
      <c r="L2826" s="18"/>
      <c r="M2826" s="19"/>
      <c r="N2826" s="19"/>
    </row>
    <row r="2827">
      <c r="A2827" s="14"/>
      <c r="B2827" s="15" t="str">
        <f>IFERROR(__xludf.DUMMYFUNCTION("""COMPUTED_VALUE"""),"")</f>
        <v/>
      </c>
      <c r="C2827" s="15"/>
      <c r="D2827" s="15"/>
      <c r="E2827" s="15"/>
      <c r="F2827" s="15"/>
      <c r="G2827" s="15"/>
      <c r="H2827" s="15"/>
      <c r="I2827" s="17" t="str">
        <f>IFERROR(__xludf.DUMMYFUNCTION("""COMPUTED_VALUE"""),"")</f>
        <v/>
      </c>
      <c r="J2827" s="15"/>
      <c r="L2827" s="18"/>
      <c r="M2827" s="19"/>
      <c r="N2827" s="19"/>
    </row>
    <row r="2828">
      <c r="A2828" s="14"/>
      <c r="B2828" s="15" t="str">
        <f>IFERROR(__xludf.DUMMYFUNCTION("""COMPUTED_VALUE"""),"")</f>
        <v/>
      </c>
      <c r="C2828" s="15"/>
      <c r="D2828" s="15"/>
      <c r="E2828" s="15"/>
      <c r="F2828" s="15"/>
      <c r="G2828" s="15"/>
      <c r="H2828" s="15"/>
      <c r="I2828" s="17" t="str">
        <f>IFERROR(__xludf.DUMMYFUNCTION("""COMPUTED_VALUE"""),"")</f>
        <v/>
      </c>
      <c r="J2828" s="15"/>
      <c r="L2828" s="18"/>
      <c r="M2828" s="19"/>
      <c r="N2828" s="19"/>
    </row>
    <row r="2829">
      <c r="A2829" s="14"/>
      <c r="B2829" s="15" t="str">
        <f>IFERROR(__xludf.DUMMYFUNCTION("""COMPUTED_VALUE"""),"")</f>
        <v/>
      </c>
      <c r="C2829" s="15"/>
      <c r="D2829" s="15"/>
      <c r="E2829" s="15"/>
      <c r="F2829" s="15"/>
      <c r="G2829" s="15"/>
      <c r="H2829" s="15"/>
      <c r="I2829" s="17" t="str">
        <f>IFERROR(__xludf.DUMMYFUNCTION("""COMPUTED_VALUE"""),"")</f>
        <v/>
      </c>
      <c r="J2829" s="15"/>
      <c r="L2829" s="18"/>
      <c r="M2829" s="19"/>
      <c r="N2829" s="19"/>
    </row>
    <row r="2830">
      <c r="A2830" s="14"/>
      <c r="B2830" s="15" t="str">
        <f>IFERROR(__xludf.DUMMYFUNCTION("""COMPUTED_VALUE"""),"")</f>
        <v/>
      </c>
      <c r="C2830" s="15"/>
      <c r="D2830" s="15"/>
      <c r="E2830" s="15"/>
      <c r="F2830" s="15"/>
      <c r="G2830" s="15"/>
      <c r="H2830" s="15"/>
      <c r="I2830" s="17" t="str">
        <f>IFERROR(__xludf.DUMMYFUNCTION("""COMPUTED_VALUE"""),"")</f>
        <v/>
      </c>
      <c r="J2830" s="15"/>
      <c r="L2830" s="18"/>
      <c r="M2830" s="19"/>
      <c r="N2830" s="19"/>
    </row>
    <row r="2831">
      <c r="A2831" s="14"/>
      <c r="B2831" s="15" t="str">
        <f>IFERROR(__xludf.DUMMYFUNCTION("""COMPUTED_VALUE"""),"")</f>
        <v/>
      </c>
      <c r="C2831" s="15"/>
      <c r="D2831" s="15"/>
      <c r="E2831" s="15"/>
      <c r="F2831" s="15"/>
      <c r="G2831" s="15"/>
      <c r="H2831" s="15"/>
      <c r="I2831" s="17" t="str">
        <f>IFERROR(__xludf.DUMMYFUNCTION("""COMPUTED_VALUE"""),"")</f>
        <v/>
      </c>
      <c r="J2831" s="15"/>
      <c r="L2831" s="18"/>
      <c r="M2831" s="19"/>
      <c r="N2831" s="19"/>
    </row>
    <row r="2832">
      <c r="A2832" s="14"/>
      <c r="B2832" s="15" t="str">
        <f>IFERROR(__xludf.DUMMYFUNCTION("""COMPUTED_VALUE"""),"")</f>
        <v/>
      </c>
      <c r="C2832" s="15"/>
      <c r="D2832" s="15"/>
      <c r="E2832" s="15"/>
      <c r="F2832" s="15"/>
      <c r="G2832" s="15"/>
      <c r="H2832" s="15"/>
      <c r="I2832" s="17" t="str">
        <f>IFERROR(__xludf.DUMMYFUNCTION("""COMPUTED_VALUE"""),"")</f>
        <v/>
      </c>
      <c r="J2832" s="15"/>
      <c r="L2832" s="18"/>
      <c r="M2832" s="19"/>
      <c r="N2832" s="19"/>
    </row>
    <row r="2833">
      <c r="A2833" s="14"/>
      <c r="B2833" s="15" t="str">
        <f>IFERROR(__xludf.DUMMYFUNCTION("""COMPUTED_VALUE"""),"")</f>
        <v/>
      </c>
      <c r="C2833" s="15"/>
      <c r="D2833" s="15"/>
      <c r="E2833" s="15"/>
      <c r="F2833" s="15"/>
      <c r="G2833" s="15"/>
      <c r="H2833" s="15"/>
      <c r="I2833" s="17" t="str">
        <f>IFERROR(__xludf.DUMMYFUNCTION("""COMPUTED_VALUE"""),"")</f>
        <v/>
      </c>
      <c r="J2833" s="15"/>
      <c r="L2833" s="18"/>
      <c r="M2833" s="19"/>
      <c r="N2833" s="19"/>
    </row>
    <row r="2834">
      <c r="A2834" s="14"/>
      <c r="B2834" s="15" t="str">
        <f>IFERROR(__xludf.DUMMYFUNCTION("""COMPUTED_VALUE"""),"")</f>
        <v/>
      </c>
      <c r="C2834" s="15"/>
      <c r="D2834" s="15"/>
      <c r="E2834" s="15"/>
      <c r="F2834" s="15"/>
      <c r="G2834" s="15"/>
      <c r="H2834" s="15"/>
      <c r="I2834" s="17" t="str">
        <f>IFERROR(__xludf.DUMMYFUNCTION("""COMPUTED_VALUE"""),"")</f>
        <v/>
      </c>
      <c r="J2834" s="15"/>
      <c r="L2834" s="18"/>
      <c r="M2834" s="19"/>
      <c r="N2834" s="19"/>
    </row>
    <row r="2835">
      <c r="A2835" s="14"/>
      <c r="B2835" s="15" t="str">
        <f>IFERROR(__xludf.DUMMYFUNCTION("""COMPUTED_VALUE"""),"")</f>
        <v/>
      </c>
      <c r="C2835" s="15"/>
      <c r="D2835" s="15"/>
      <c r="E2835" s="15"/>
      <c r="F2835" s="15"/>
      <c r="G2835" s="15"/>
      <c r="H2835" s="15"/>
      <c r="I2835" s="17" t="str">
        <f>IFERROR(__xludf.DUMMYFUNCTION("""COMPUTED_VALUE"""),"")</f>
        <v/>
      </c>
      <c r="J2835" s="15"/>
      <c r="L2835" s="18"/>
      <c r="M2835" s="19"/>
      <c r="N2835" s="19"/>
    </row>
    <row r="2836">
      <c r="A2836" s="14"/>
      <c r="B2836" s="15" t="str">
        <f>IFERROR(__xludf.DUMMYFUNCTION("""COMPUTED_VALUE"""),"")</f>
        <v/>
      </c>
      <c r="C2836" s="15"/>
      <c r="D2836" s="15"/>
      <c r="E2836" s="15"/>
      <c r="F2836" s="15"/>
      <c r="G2836" s="15"/>
      <c r="H2836" s="15"/>
      <c r="I2836" s="17" t="str">
        <f>IFERROR(__xludf.DUMMYFUNCTION("""COMPUTED_VALUE"""),"")</f>
        <v/>
      </c>
      <c r="J2836" s="15"/>
      <c r="L2836" s="18"/>
      <c r="M2836" s="19"/>
      <c r="N2836" s="19"/>
    </row>
    <row r="2837">
      <c r="A2837" s="14"/>
      <c r="B2837" s="15" t="str">
        <f>IFERROR(__xludf.DUMMYFUNCTION("""COMPUTED_VALUE"""),"")</f>
        <v/>
      </c>
      <c r="C2837" s="15"/>
      <c r="D2837" s="15"/>
      <c r="E2837" s="15"/>
      <c r="F2837" s="15"/>
      <c r="G2837" s="15"/>
      <c r="H2837" s="15"/>
      <c r="I2837" s="17" t="str">
        <f>IFERROR(__xludf.DUMMYFUNCTION("""COMPUTED_VALUE"""),"")</f>
        <v/>
      </c>
      <c r="J2837" s="15"/>
      <c r="L2837" s="18"/>
      <c r="M2837" s="19"/>
      <c r="N2837" s="19"/>
    </row>
    <row r="2838">
      <c r="A2838" s="14"/>
      <c r="B2838" s="15" t="str">
        <f>IFERROR(__xludf.DUMMYFUNCTION("""COMPUTED_VALUE"""),"")</f>
        <v/>
      </c>
      <c r="C2838" s="15"/>
      <c r="D2838" s="15"/>
      <c r="E2838" s="15"/>
      <c r="F2838" s="15"/>
      <c r="G2838" s="15"/>
      <c r="H2838" s="15"/>
      <c r="I2838" s="17" t="str">
        <f>IFERROR(__xludf.DUMMYFUNCTION("""COMPUTED_VALUE"""),"")</f>
        <v/>
      </c>
      <c r="J2838" s="15"/>
      <c r="L2838" s="18"/>
      <c r="M2838" s="19"/>
      <c r="N2838" s="19"/>
    </row>
    <row r="2839">
      <c r="A2839" s="14"/>
      <c r="B2839" s="15" t="str">
        <f>IFERROR(__xludf.DUMMYFUNCTION("""COMPUTED_VALUE"""),"")</f>
        <v/>
      </c>
      <c r="C2839" s="15"/>
      <c r="D2839" s="15"/>
      <c r="E2839" s="15"/>
      <c r="F2839" s="15"/>
      <c r="G2839" s="15"/>
      <c r="H2839" s="15"/>
      <c r="I2839" s="17" t="str">
        <f>IFERROR(__xludf.DUMMYFUNCTION("""COMPUTED_VALUE"""),"")</f>
        <v/>
      </c>
      <c r="J2839" s="15"/>
      <c r="L2839" s="18"/>
      <c r="M2839" s="19"/>
      <c r="N2839" s="19"/>
    </row>
    <row r="2840">
      <c r="A2840" s="14"/>
      <c r="B2840" s="15" t="str">
        <f>IFERROR(__xludf.DUMMYFUNCTION("""COMPUTED_VALUE"""),"")</f>
        <v/>
      </c>
      <c r="C2840" s="15"/>
      <c r="D2840" s="15"/>
      <c r="E2840" s="15"/>
      <c r="F2840" s="15"/>
      <c r="G2840" s="15"/>
      <c r="H2840" s="15"/>
      <c r="I2840" s="17" t="str">
        <f>IFERROR(__xludf.DUMMYFUNCTION("""COMPUTED_VALUE"""),"")</f>
        <v/>
      </c>
      <c r="J2840" s="15"/>
      <c r="L2840" s="18"/>
      <c r="M2840" s="19"/>
      <c r="N2840" s="19"/>
    </row>
    <row r="2841">
      <c r="A2841" s="14"/>
      <c r="B2841" s="15" t="str">
        <f>IFERROR(__xludf.DUMMYFUNCTION("""COMPUTED_VALUE"""),"")</f>
        <v/>
      </c>
      <c r="C2841" s="15"/>
      <c r="D2841" s="15"/>
      <c r="E2841" s="15"/>
      <c r="F2841" s="15"/>
      <c r="G2841" s="15"/>
      <c r="H2841" s="15"/>
      <c r="I2841" s="17" t="str">
        <f>IFERROR(__xludf.DUMMYFUNCTION("""COMPUTED_VALUE"""),"")</f>
        <v/>
      </c>
      <c r="J2841" s="15"/>
      <c r="L2841" s="18"/>
      <c r="M2841" s="19"/>
      <c r="N2841" s="19"/>
    </row>
    <row r="2842">
      <c r="A2842" s="14"/>
      <c r="B2842" s="15" t="str">
        <f>IFERROR(__xludf.DUMMYFUNCTION("""COMPUTED_VALUE"""),"")</f>
        <v/>
      </c>
      <c r="C2842" s="15"/>
      <c r="D2842" s="15"/>
      <c r="E2842" s="15"/>
      <c r="F2842" s="15"/>
      <c r="G2842" s="15"/>
      <c r="H2842" s="15"/>
      <c r="I2842" s="17" t="str">
        <f>IFERROR(__xludf.DUMMYFUNCTION("""COMPUTED_VALUE"""),"")</f>
        <v/>
      </c>
      <c r="J2842" s="15"/>
      <c r="L2842" s="18"/>
      <c r="M2842" s="19"/>
      <c r="N2842" s="19"/>
    </row>
    <row r="2843">
      <c r="A2843" s="14"/>
      <c r="B2843" s="15" t="str">
        <f>IFERROR(__xludf.DUMMYFUNCTION("""COMPUTED_VALUE"""),"")</f>
        <v/>
      </c>
      <c r="C2843" s="15"/>
      <c r="D2843" s="15"/>
      <c r="E2843" s="15"/>
      <c r="F2843" s="15"/>
      <c r="G2843" s="15"/>
      <c r="H2843" s="15"/>
      <c r="I2843" s="17" t="str">
        <f>IFERROR(__xludf.DUMMYFUNCTION("""COMPUTED_VALUE"""),"")</f>
        <v/>
      </c>
      <c r="J2843" s="15"/>
      <c r="L2843" s="18"/>
      <c r="M2843" s="19"/>
      <c r="N2843" s="19"/>
    </row>
    <row r="2844">
      <c r="A2844" s="14"/>
      <c r="B2844" s="15" t="str">
        <f>IFERROR(__xludf.DUMMYFUNCTION("""COMPUTED_VALUE"""),"")</f>
        <v/>
      </c>
      <c r="C2844" s="15"/>
      <c r="D2844" s="15"/>
      <c r="E2844" s="15"/>
      <c r="F2844" s="15"/>
      <c r="G2844" s="15"/>
      <c r="H2844" s="15"/>
      <c r="I2844" s="17" t="str">
        <f>IFERROR(__xludf.DUMMYFUNCTION("""COMPUTED_VALUE"""),"")</f>
        <v/>
      </c>
      <c r="J2844" s="15"/>
      <c r="L2844" s="18"/>
      <c r="M2844" s="19"/>
      <c r="N2844" s="19"/>
    </row>
    <row r="2845">
      <c r="A2845" s="14"/>
      <c r="B2845" s="15" t="str">
        <f>IFERROR(__xludf.DUMMYFUNCTION("""COMPUTED_VALUE"""),"")</f>
        <v/>
      </c>
      <c r="C2845" s="15"/>
      <c r="D2845" s="15"/>
      <c r="E2845" s="15"/>
      <c r="F2845" s="15"/>
      <c r="G2845" s="15"/>
      <c r="H2845" s="15"/>
      <c r="I2845" s="17" t="str">
        <f>IFERROR(__xludf.DUMMYFUNCTION("""COMPUTED_VALUE"""),"")</f>
        <v/>
      </c>
      <c r="J2845" s="15"/>
      <c r="L2845" s="18"/>
      <c r="M2845" s="19"/>
      <c r="N2845" s="19"/>
    </row>
    <row r="2846">
      <c r="A2846" s="14"/>
      <c r="B2846" s="15" t="str">
        <f>IFERROR(__xludf.DUMMYFUNCTION("""COMPUTED_VALUE"""),"")</f>
        <v/>
      </c>
      <c r="C2846" s="15"/>
      <c r="D2846" s="15"/>
      <c r="E2846" s="15"/>
      <c r="F2846" s="15"/>
      <c r="G2846" s="15"/>
      <c r="H2846" s="15"/>
      <c r="I2846" s="17" t="str">
        <f>IFERROR(__xludf.DUMMYFUNCTION("""COMPUTED_VALUE"""),"")</f>
        <v/>
      </c>
      <c r="J2846" s="15"/>
      <c r="L2846" s="18"/>
      <c r="M2846" s="19"/>
      <c r="N2846" s="19"/>
    </row>
    <row r="2847">
      <c r="A2847" s="14"/>
      <c r="B2847" s="15" t="str">
        <f>IFERROR(__xludf.DUMMYFUNCTION("""COMPUTED_VALUE"""),"")</f>
        <v/>
      </c>
      <c r="C2847" s="15"/>
      <c r="D2847" s="15"/>
      <c r="E2847" s="15"/>
      <c r="F2847" s="15"/>
      <c r="G2847" s="15"/>
      <c r="H2847" s="15"/>
      <c r="I2847" s="17" t="str">
        <f>IFERROR(__xludf.DUMMYFUNCTION("""COMPUTED_VALUE"""),"")</f>
        <v/>
      </c>
      <c r="J2847" s="15"/>
      <c r="L2847" s="18"/>
      <c r="M2847" s="19"/>
      <c r="N2847" s="19"/>
    </row>
    <row r="2848">
      <c r="A2848" s="14"/>
      <c r="B2848" s="15" t="str">
        <f>IFERROR(__xludf.DUMMYFUNCTION("""COMPUTED_VALUE"""),"")</f>
        <v/>
      </c>
      <c r="C2848" s="15"/>
      <c r="D2848" s="15"/>
      <c r="E2848" s="15"/>
      <c r="F2848" s="15"/>
      <c r="G2848" s="15"/>
      <c r="H2848" s="15"/>
      <c r="I2848" s="17" t="str">
        <f>IFERROR(__xludf.DUMMYFUNCTION("""COMPUTED_VALUE"""),"")</f>
        <v/>
      </c>
      <c r="J2848" s="15"/>
      <c r="L2848" s="18"/>
      <c r="M2848" s="19"/>
      <c r="N2848" s="19"/>
    </row>
    <row r="2849">
      <c r="A2849" s="14"/>
      <c r="B2849" s="15" t="str">
        <f>IFERROR(__xludf.DUMMYFUNCTION("""COMPUTED_VALUE"""),"")</f>
        <v/>
      </c>
      <c r="C2849" s="15"/>
      <c r="D2849" s="15"/>
      <c r="E2849" s="15"/>
      <c r="F2849" s="15"/>
      <c r="G2849" s="15"/>
      <c r="H2849" s="15"/>
      <c r="I2849" s="17" t="str">
        <f>IFERROR(__xludf.DUMMYFUNCTION("""COMPUTED_VALUE"""),"")</f>
        <v/>
      </c>
      <c r="J2849" s="15"/>
      <c r="L2849" s="18"/>
      <c r="M2849" s="19"/>
      <c r="N2849" s="19"/>
    </row>
    <row r="2850">
      <c r="A2850" s="14"/>
      <c r="B2850" s="15" t="str">
        <f>IFERROR(__xludf.DUMMYFUNCTION("""COMPUTED_VALUE"""),"")</f>
        <v/>
      </c>
      <c r="C2850" s="15"/>
      <c r="D2850" s="15"/>
      <c r="E2850" s="15"/>
      <c r="F2850" s="15"/>
      <c r="G2850" s="15"/>
      <c r="H2850" s="15"/>
      <c r="I2850" s="17" t="str">
        <f>IFERROR(__xludf.DUMMYFUNCTION("""COMPUTED_VALUE"""),"")</f>
        <v/>
      </c>
      <c r="J2850" s="15"/>
      <c r="L2850" s="18"/>
      <c r="M2850" s="19"/>
      <c r="N2850" s="19"/>
    </row>
    <row r="2851">
      <c r="A2851" s="14"/>
      <c r="B2851" s="15" t="str">
        <f>IFERROR(__xludf.DUMMYFUNCTION("""COMPUTED_VALUE"""),"")</f>
        <v/>
      </c>
      <c r="C2851" s="15"/>
      <c r="D2851" s="15"/>
      <c r="E2851" s="15"/>
      <c r="F2851" s="15"/>
      <c r="G2851" s="15"/>
      <c r="H2851" s="15"/>
      <c r="I2851" s="17" t="str">
        <f>IFERROR(__xludf.DUMMYFUNCTION("""COMPUTED_VALUE"""),"")</f>
        <v/>
      </c>
      <c r="J2851" s="15"/>
      <c r="L2851" s="18"/>
      <c r="M2851" s="19"/>
      <c r="N2851" s="19"/>
    </row>
    <row r="2852">
      <c r="A2852" s="14"/>
      <c r="B2852" s="15" t="str">
        <f>IFERROR(__xludf.DUMMYFUNCTION("""COMPUTED_VALUE"""),"")</f>
        <v/>
      </c>
      <c r="C2852" s="15"/>
      <c r="D2852" s="15"/>
      <c r="E2852" s="15"/>
      <c r="F2852" s="15"/>
      <c r="G2852" s="15"/>
      <c r="H2852" s="15"/>
      <c r="I2852" s="17" t="str">
        <f>IFERROR(__xludf.DUMMYFUNCTION("""COMPUTED_VALUE"""),"")</f>
        <v/>
      </c>
      <c r="J2852" s="15"/>
      <c r="L2852" s="18"/>
      <c r="M2852" s="19"/>
      <c r="N2852" s="19"/>
    </row>
    <row r="2853">
      <c r="A2853" s="14"/>
      <c r="B2853" s="15" t="str">
        <f>IFERROR(__xludf.DUMMYFUNCTION("""COMPUTED_VALUE"""),"")</f>
        <v/>
      </c>
      <c r="C2853" s="15"/>
      <c r="D2853" s="15"/>
      <c r="E2853" s="15"/>
      <c r="F2853" s="15"/>
      <c r="G2853" s="15"/>
      <c r="H2853" s="15"/>
      <c r="I2853" s="17" t="str">
        <f>IFERROR(__xludf.DUMMYFUNCTION("""COMPUTED_VALUE"""),"")</f>
        <v/>
      </c>
      <c r="J2853" s="15"/>
      <c r="L2853" s="18"/>
      <c r="M2853" s="19"/>
      <c r="N2853" s="19"/>
    </row>
    <row r="2854">
      <c r="A2854" s="14"/>
      <c r="B2854" s="15" t="str">
        <f>IFERROR(__xludf.DUMMYFUNCTION("""COMPUTED_VALUE"""),"")</f>
        <v/>
      </c>
      <c r="C2854" s="15"/>
      <c r="D2854" s="15"/>
      <c r="E2854" s="15"/>
      <c r="F2854" s="15"/>
      <c r="G2854" s="15"/>
      <c r="H2854" s="15"/>
      <c r="I2854" s="17" t="str">
        <f>IFERROR(__xludf.DUMMYFUNCTION("""COMPUTED_VALUE"""),"")</f>
        <v/>
      </c>
      <c r="J2854" s="15"/>
      <c r="L2854" s="18"/>
      <c r="M2854" s="19"/>
      <c r="N2854" s="19"/>
    </row>
    <row r="2855">
      <c r="A2855" s="14"/>
      <c r="B2855" s="15" t="str">
        <f>IFERROR(__xludf.DUMMYFUNCTION("""COMPUTED_VALUE"""),"")</f>
        <v/>
      </c>
      <c r="C2855" s="15"/>
      <c r="D2855" s="15"/>
      <c r="E2855" s="15"/>
      <c r="F2855" s="15"/>
      <c r="G2855" s="15"/>
      <c r="H2855" s="15"/>
      <c r="I2855" s="17" t="str">
        <f>IFERROR(__xludf.DUMMYFUNCTION("""COMPUTED_VALUE"""),"")</f>
        <v/>
      </c>
      <c r="J2855" s="15"/>
      <c r="L2855" s="18"/>
      <c r="M2855" s="19"/>
      <c r="N2855" s="19"/>
    </row>
    <row r="2856">
      <c r="A2856" s="14"/>
      <c r="B2856" s="15" t="str">
        <f>IFERROR(__xludf.DUMMYFUNCTION("""COMPUTED_VALUE"""),"")</f>
        <v/>
      </c>
      <c r="C2856" s="15"/>
      <c r="D2856" s="15"/>
      <c r="E2856" s="15"/>
      <c r="F2856" s="15"/>
      <c r="G2856" s="15"/>
      <c r="H2856" s="15"/>
      <c r="I2856" s="17" t="str">
        <f>IFERROR(__xludf.DUMMYFUNCTION("""COMPUTED_VALUE"""),"")</f>
        <v/>
      </c>
      <c r="J2856" s="15"/>
      <c r="L2856" s="18"/>
      <c r="M2856" s="19"/>
      <c r="N2856" s="19"/>
    </row>
    <row r="2857">
      <c r="A2857" s="14"/>
      <c r="B2857" s="15" t="str">
        <f>IFERROR(__xludf.DUMMYFUNCTION("""COMPUTED_VALUE"""),"")</f>
        <v/>
      </c>
      <c r="C2857" s="15"/>
      <c r="D2857" s="15"/>
      <c r="E2857" s="15"/>
      <c r="F2857" s="15"/>
      <c r="G2857" s="15"/>
      <c r="H2857" s="15"/>
      <c r="I2857" s="17" t="str">
        <f>IFERROR(__xludf.DUMMYFUNCTION("""COMPUTED_VALUE"""),"")</f>
        <v/>
      </c>
      <c r="J2857" s="15"/>
      <c r="L2857" s="18"/>
      <c r="M2857" s="19"/>
      <c r="N2857" s="19"/>
    </row>
    <row r="2858">
      <c r="A2858" s="14"/>
      <c r="B2858" s="15" t="str">
        <f>IFERROR(__xludf.DUMMYFUNCTION("""COMPUTED_VALUE"""),"")</f>
        <v/>
      </c>
      <c r="C2858" s="15"/>
      <c r="D2858" s="15"/>
      <c r="E2858" s="15"/>
      <c r="F2858" s="15"/>
      <c r="G2858" s="15"/>
      <c r="H2858" s="15"/>
      <c r="I2858" s="17" t="str">
        <f>IFERROR(__xludf.DUMMYFUNCTION("""COMPUTED_VALUE"""),"")</f>
        <v/>
      </c>
      <c r="J2858" s="15"/>
      <c r="L2858" s="18"/>
      <c r="M2858" s="19"/>
      <c r="N2858" s="19"/>
    </row>
    <row r="2859">
      <c r="A2859" s="14"/>
      <c r="B2859" s="15" t="str">
        <f>IFERROR(__xludf.DUMMYFUNCTION("""COMPUTED_VALUE"""),"")</f>
        <v/>
      </c>
      <c r="C2859" s="15"/>
      <c r="D2859" s="15"/>
      <c r="E2859" s="15"/>
      <c r="F2859" s="15"/>
      <c r="G2859" s="15"/>
      <c r="H2859" s="15"/>
      <c r="I2859" s="17" t="str">
        <f>IFERROR(__xludf.DUMMYFUNCTION("""COMPUTED_VALUE"""),"")</f>
        <v/>
      </c>
      <c r="J2859" s="15"/>
      <c r="L2859" s="18"/>
      <c r="M2859" s="19"/>
      <c r="N2859" s="19"/>
    </row>
    <row r="2860">
      <c r="A2860" s="14"/>
      <c r="B2860" s="15" t="str">
        <f>IFERROR(__xludf.DUMMYFUNCTION("""COMPUTED_VALUE"""),"")</f>
        <v/>
      </c>
      <c r="C2860" s="15"/>
      <c r="D2860" s="15"/>
      <c r="E2860" s="15"/>
      <c r="F2860" s="15"/>
      <c r="G2860" s="15"/>
      <c r="H2860" s="15"/>
      <c r="I2860" s="17" t="str">
        <f>IFERROR(__xludf.DUMMYFUNCTION("""COMPUTED_VALUE"""),"")</f>
        <v/>
      </c>
      <c r="J2860" s="15"/>
      <c r="L2860" s="18"/>
      <c r="M2860" s="19"/>
      <c r="N2860" s="19"/>
    </row>
    <row r="2861">
      <c r="A2861" s="14"/>
      <c r="B2861" s="15" t="str">
        <f>IFERROR(__xludf.DUMMYFUNCTION("""COMPUTED_VALUE"""),"")</f>
        <v/>
      </c>
      <c r="C2861" s="15"/>
      <c r="D2861" s="15"/>
      <c r="E2861" s="15"/>
      <c r="F2861" s="15"/>
      <c r="G2861" s="15"/>
      <c r="H2861" s="15"/>
      <c r="I2861" s="17" t="str">
        <f>IFERROR(__xludf.DUMMYFUNCTION("""COMPUTED_VALUE"""),"")</f>
        <v/>
      </c>
      <c r="J2861" s="15"/>
      <c r="L2861" s="18"/>
      <c r="M2861" s="19"/>
      <c r="N2861" s="19"/>
    </row>
    <row r="2862">
      <c r="A2862" s="14"/>
      <c r="B2862" s="15" t="str">
        <f>IFERROR(__xludf.DUMMYFUNCTION("""COMPUTED_VALUE"""),"")</f>
        <v/>
      </c>
      <c r="C2862" s="15"/>
      <c r="D2862" s="15"/>
      <c r="E2862" s="15"/>
      <c r="F2862" s="15"/>
      <c r="G2862" s="15"/>
      <c r="H2862" s="15"/>
      <c r="I2862" s="17" t="str">
        <f>IFERROR(__xludf.DUMMYFUNCTION("""COMPUTED_VALUE"""),"")</f>
        <v/>
      </c>
      <c r="J2862" s="15"/>
      <c r="L2862" s="18"/>
      <c r="M2862" s="19"/>
      <c r="N2862" s="19"/>
    </row>
    <row r="2863">
      <c r="A2863" s="14"/>
      <c r="B2863" s="15" t="str">
        <f>IFERROR(__xludf.DUMMYFUNCTION("""COMPUTED_VALUE"""),"")</f>
        <v/>
      </c>
      <c r="C2863" s="15"/>
      <c r="D2863" s="15"/>
      <c r="E2863" s="15"/>
      <c r="F2863" s="15"/>
      <c r="G2863" s="15"/>
      <c r="H2863" s="15"/>
      <c r="I2863" s="17" t="str">
        <f>IFERROR(__xludf.DUMMYFUNCTION("""COMPUTED_VALUE"""),"")</f>
        <v/>
      </c>
      <c r="J2863" s="15"/>
      <c r="L2863" s="18"/>
      <c r="M2863" s="19"/>
      <c r="N2863" s="19"/>
    </row>
    <row r="2864">
      <c r="A2864" s="14"/>
      <c r="B2864" s="15" t="str">
        <f>IFERROR(__xludf.DUMMYFUNCTION("""COMPUTED_VALUE"""),"")</f>
        <v/>
      </c>
      <c r="C2864" s="15"/>
      <c r="D2864" s="15"/>
      <c r="E2864" s="15"/>
      <c r="F2864" s="15"/>
      <c r="G2864" s="15"/>
      <c r="H2864" s="15"/>
      <c r="I2864" s="17" t="str">
        <f>IFERROR(__xludf.DUMMYFUNCTION("""COMPUTED_VALUE"""),"")</f>
        <v/>
      </c>
      <c r="J2864" s="15"/>
      <c r="L2864" s="18"/>
      <c r="M2864" s="19"/>
      <c r="N2864" s="19"/>
    </row>
    <row r="2865">
      <c r="A2865" s="14"/>
      <c r="B2865" s="15" t="str">
        <f>IFERROR(__xludf.DUMMYFUNCTION("""COMPUTED_VALUE"""),"")</f>
        <v/>
      </c>
      <c r="C2865" s="15"/>
      <c r="D2865" s="15"/>
      <c r="E2865" s="15"/>
      <c r="F2865" s="15"/>
      <c r="G2865" s="15"/>
      <c r="H2865" s="15"/>
      <c r="I2865" s="17" t="str">
        <f>IFERROR(__xludf.DUMMYFUNCTION("""COMPUTED_VALUE"""),"")</f>
        <v/>
      </c>
      <c r="J2865" s="15"/>
      <c r="L2865" s="18"/>
      <c r="M2865" s="19"/>
      <c r="N2865" s="19"/>
    </row>
    <row r="2866">
      <c r="A2866" s="14"/>
      <c r="B2866" s="15" t="str">
        <f>IFERROR(__xludf.DUMMYFUNCTION("""COMPUTED_VALUE"""),"")</f>
        <v/>
      </c>
      <c r="C2866" s="15"/>
      <c r="D2866" s="15"/>
      <c r="E2866" s="15"/>
      <c r="F2866" s="15"/>
      <c r="G2866" s="15"/>
      <c r="H2866" s="15"/>
      <c r="I2866" s="17" t="str">
        <f>IFERROR(__xludf.DUMMYFUNCTION("""COMPUTED_VALUE"""),"")</f>
        <v/>
      </c>
      <c r="J2866" s="15"/>
      <c r="L2866" s="18"/>
      <c r="M2866" s="19"/>
      <c r="N2866" s="19"/>
    </row>
    <row r="2867">
      <c r="A2867" s="14"/>
      <c r="B2867" s="15" t="str">
        <f>IFERROR(__xludf.DUMMYFUNCTION("""COMPUTED_VALUE"""),"")</f>
        <v/>
      </c>
      <c r="C2867" s="15"/>
      <c r="D2867" s="15"/>
      <c r="E2867" s="15"/>
      <c r="F2867" s="15"/>
      <c r="G2867" s="15"/>
      <c r="H2867" s="15"/>
      <c r="I2867" s="17" t="str">
        <f>IFERROR(__xludf.DUMMYFUNCTION("""COMPUTED_VALUE"""),"")</f>
        <v/>
      </c>
      <c r="J2867" s="15"/>
      <c r="L2867" s="18"/>
      <c r="M2867" s="19"/>
      <c r="N2867" s="19"/>
    </row>
    <row r="2868">
      <c r="A2868" s="14"/>
      <c r="B2868" s="15" t="str">
        <f>IFERROR(__xludf.DUMMYFUNCTION("""COMPUTED_VALUE"""),"")</f>
        <v/>
      </c>
      <c r="C2868" s="15"/>
      <c r="D2868" s="15"/>
      <c r="E2868" s="15"/>
      <c r="F2868" s="15"/>
      <c r="G2868" s="15"/>
      <c r="H2868" s="15"/>
      <c r="I2868" s="17" t="str">
        <f>IFERROR(__xludf.DUMMYFUNCTION("""COMPUTED_VALUE"""),"")</f>
        <v/>
      </c>
      <c r="J2868" s="15"/>
      <c r="L2868" s="18"/>
      <c r="M2868" s="19"/>
      <c r="N2868" s="19"/>
    </row>
    <row r="2869">
      <c r="A2869" s="14"/>
      <c r="B2869" s="15" t="str">
        <f>IFERROR(__xludf.DUMMYFUNCTION("""COMPUTED_VALUE"""),"")</f>
        <v/>
      </c>
      <c r="C2869" s="15"/>
      <c r="D2869" s="15"/>
      <c r="E2869" s="15"/>
      <c r="F2869" s="15"/>
      <c r="G2869" s="15"/>
      <c r="H2869" s="15"/>
      <c r="I2869" s="17" t="str">
        <f>IFERROR(__xludf.DUMMYFUNCTION("""COMPUTED_VALUE"""),"")</f>
        <v/>
      </c>
      <c r="J2869" s="15"/>
      <c r="L2869" s="18"/>
      <c r="M2869" s="19"/>
      <c r="N2869" s="19"/>
    </row>
    <row r="2870">
      <c r="A2870" s="14"/>
      <c r="B2870" s="15" t="str">
        <f>IFERROR(__xludf.DUMMYFUNCTION("""COMPUTED_VALUE"""),"")</f>
        <v/>
      </c>
      <c r="C2870" s="15"/>
      <c r="D2870" s="15"/>
      <c r="E2870" s="15"/>
      <c r="F2870" s="15"/>
      <c r="G2870" s="15"/>
      <c r="H2870" s="15"/>
      <c r="I2870" s="17" t="str">
        <f>IFERROR(__xludf.DUMMYFUNCTION("""COMPUTED_VALUE"""),"")</f>
        <v/>
      </c>
      <c r="J2870" s="15"/>
      <c r="L2870" s="18"/>
      <c r="M2870" s="19"/>
      <c r="N2870" s="19"/>
    </row>
    <row r="2871">
      <c r="A2871" s="14"/>
      <c r="B2871" s="15" t="str">
        <f>IFERROR(__xludf.DUMMYFUNCTION("""COMPUTED_VALUE"""),"")</f>
        <v/>
      </c>
      <c r="C2871" s="15"/>
      <c r="D2871" s="15"/>
      <c r="E2871" s="15"/>
      <c r="F2871" s="15"/>
      <c r="G2871" s="15"/>
      <c r="H2871" s="15"/>
      <c r="I2871" s="17" t="str">
        <f>IFERROR(__xludf.DUMMYFUNCTION("""COMPUTED_VALUE"""),"")</f>
        <v/>
      </c>
      <c r="J2871" s="15"/>
      <c r="L2871" s="18"/>
      <c r="M2871" s="19"/>
      <c r="N2871" s="19"/>
    </row>
    <row r="2872">
      <c r="A2872" s="14"/>
      <c r="B2872" s="15" t="str">
        <f>IFERROR(__xludf.DUMMYFUNCTION("""COMPUTED_VALUE"""),"")</f>
        <v/>
      </c>
      <c r="C2872" s="15"/>
      <c r="D2872" s="15"/>
      <c r="E2872" s="15"/>
      <c r="F2872" s="15"/>
      <c r="G2872" s="15"/>
      <c r="H2872" s="15"/>
      <c r="I2872" s="17" t="str">
        <f>IFERROR(__xludf.DUMMYFUNCTION("""COMPUTED_VALUE"""),"")</f>
        <v/>
      </c>
      <c r="J2872" s="15"/>
      <c r="L2872" s="18"/>
      <c r="M2872" s="19"/>
      <c r="N2872" s="19"/>
    </row>
    <row r="2873">
      <c r="A2873" s="14"/>
      <c r="B2873" s="15" t="str">
        <f>IFERROR(__xludf.DUMMYFUNCTION("""COMPUTED_VALUE"""),"")</f>
        <v/>
      </c>
      <c r="C2873" s="15"/>
      <c r="D2873" s="15"/>
      <c r="E2873" s="15"/>
      <c r="F2873" s="15"/>
      <c r="G2873" s="15"/>
      <c r="H2873" s="15"/>
      <c r="I2873" s="17" t="str">
        <f>IFERROR(__xludf.DUMMYFUNCTION("""COMPUTED_VALUE"""),"")</f>
        <v/>
      </c>
      <c r="J2873" s="15"/>
      <c r="L2873" s="18"/>
      <c r="M2873" s="19"/>
      <c r="N2873" s="19"/>
    </row>
    <row r="2874">
      <c r="A2874" s="14"/>
      <c r="B2874" s="15" t="str">
        <f>IFERROR(__xludf.DUMMYFUNCTION("""COMPUTED_VALUE"""),"")</f>
        <v/>
      </c>
      <c r="C2874" s="15"/>
      <c r="D2874" s="15"/>
      <c r="E2874" s="15"/>
      <c r="F2874" s="15"/>
      <c r="G2874" s="15"/>
      <c r="H2874" s="15"/>
      <c r="I2874" s="17" t="str">
        <f>IFERROR(__xludf.DUMMYFUNCTION("""COMPUTED_VALUE"""),"")</f>
        <v/>
      </c>
      <c r="J2874" s="15"/>
      <c r="L2874" s="18"/>
      <c r="M2874" s="19"/>
      <c r="N2874" s="19"/>
    </row>
    <row r="2875">
      <c r="A2875" s="14"/>
      <c r="B2875" s="15" t="str">
        <f>IFERROR(__xludf.DUMMYFUNCTION("""COMPUTED_VALUE"""),"")</f>
        <v/>
      </c>
      <c r="C2875" s="15"/>
      <c r="D2875" s="15"/>
      <c r="E2875" s="15"/>
      <c r="F2875" s="15"/>
      <c r="G2875" s="15"/>
      <c r="H2875" s="15"/>
      <c r="I2875" s="17" t="str">
        <f>IFERROR(__xludf.DUMMYFUNCTION("""COMPUTED_VALUE"""),"")</f>
        <v/>
      </c>
      <c r="J2875" s="15"/>
      <c r="L2875" s="18"/>
      <c r="M2875" s="19"/>
      <c r="N2875" s="19"/>
    </row>
    <row r="2876">
      <c r="A2876" s="14"/>
      <c r="B2876" s="15" t="str">
        <f>IFERROR(__xludf.DUMMYFUNCTION("""COMPUTED_VALUE"""),"")</f>
        <v/>
      </c>
      <c r="C2876" s="15"/>
      <c r="D2876" s="15"/>
      <c r="E2876" s="15"/>
      <c r="F2876" s="15"/>
      <c r="G2876" s="15"/>
      <c r="H2876" s="15"/>
      <c r="I2876" s="17" t="str">
        <f>IFERROR(__xludf.DUMMYFUNCTION("""COMPUTED_VALUE"""),"")</f>
        <v/>
      </c>
      <c r="J2876" s="15"/>
      <c r="L2876" s="18"/>
      <c r="M2876" s="19"/>
      <c r="N2876" s="19"/>
    </row>
    <row r="2877">
      <c r="A2877" s="14"/>
      <c r="B2877" s="15" t="str">
        <f>IFERROR(__xludf.DUMMYFUNCTION("""COMPUTED_VALUE"""),"")</f>
        <v/>
      </c>
      <c r="C2877" s="15"/>
      <c r="D2877" s="15"/>
      <c r="E2877" s="15"/>
      <c r="F2877" s="15"/>
      <c r="G2877" s="15"/>
      <c r="H2877" s="15"/>
      <c r="I2877" s="17" t="str">
        <f>IFERROR(__xludf.DUMMYFUNCTION("""COMPUTED_VALUE"""),"")</f>
        <v/>
      </c>
      <c r="J2877" s="15"/>
      <c r="L2877" s="18"/>
      <c r="M2877" s="19"/>
      <c r="N2877" s="19"/>
    </row>
    <row r="2878">
      <c r="A2878" s="14"/>
      <c r="B2878" s="15" t="str">
        <f>IFERROR(__xludf.DUMMYFUNCTION("""COMPUTED_VALUE"""),"")</f>
        <v/>
      </c>
      <c r="C2878" s="15"/>
      <c r="D2878" s="15"/>
      <c r="E2878" s="15"/>
      <c r="F2878" s="15"/>
      <c r="G2878" s="15"/>
      <c r="H2878" s="15"/>
      <c r="I2878" s="17" t="str">
        <f>IFERROR(__xludf.DUMMYFUNCTION("""COMPUTED_VALUE"""),"")</f>
        <v/>
      </c>
      <c r="J2878" s="15"/>
      <c r="L2878" s="18"/>
      <c r="M2878" s="19"/>
      <c r="N2878" s="19"/>
    </row>
    <row r="2879">
      <c r="A2879" s="14"/>
      <c r="B2879" s="15" t="str">
        <f>IFERROR(__xludf.DUMMYFUNCTION("""COMPUTED_VALUE"""),"")</f>
        <v/>
      </c>
      <c r="C2879" s="15"/>
      <c r="D2879" s="15"/>
      <c r="E2879" s="15"/>
      <c r="F2879" s="15"/>
      <c r="G2879" s="15"/>
      <c r="H2879" s="15"/>
      <c r="I2879" s="17" t="str">
        <f>IFERROR(__xludf.DUMMYFUNCTION("""COMPUTED_VALUE"""),"")</f>
        <v/>
      </c>
      <c r="J2879" s="15"/>
      <c r="L2879" s="18"/>
      <c r="M2879" s="19"/>
      <c r="N2879" s="19"/>
    </row>
    <row r="2880">
      <c r="A2880" s="14"/>
      <c r="B2880" s="15" t="str">
        <f>IFERROR(__xludf.DUMMYFUNCTION("""COMPUTED_VALUE"""),"")</f>
        <v/>
      </c>
      <c r="C2880" s="15"/>
      <c r="D2880" s="15"/>
      <c r="E2880" s="15"/>
      <c r="F2880" s="15"/>
      <c r="G2880" s="15"/>
      <c r="H2880" s="15"/>
      <c r="I2880" s="17" t="str">
        <f>IFERROR(__xludf.DUMMYFUNCTION("""COMPUTED_VALUE"""),"")</f>
        <v/>
      </c>
      <c r="J2880" s="15"/>
      <c r="L2880" s="18"/>
      <c r="M2880" s="19"/>
      <c r="N2880" s="19"/>
    </row>
    <row r="2881">
      <c r="A2881" s="14"/>
      <c r="B2881" s="15" t="str">
        <f>IFERROR(__xludf.DUMMYFUNCTION("""COMPUTED_VALUE"""),"")</f>
        <v/>
      </c>
      <c r="C2881" s="15"/>
      <c r="D2881" s="15"/>
      <c r="E2881" s="15"/>
      <c r="F2881" s="15"/>
      <c r="G2881" s="15"/>
      <c r="H2881" s="15"/>
      <c r="I2881" s="17" t="str">
        <f>IFERROR(__xludf.DUMMYFUNCTION("""COMPUTED_VALUE"""),"")</f>
        <v/>
      </c>
      <c r="J2881" s="15"/>
      <c r="L2881" s="18"/>
      <c r="M2881" s="19"/>
      <c r="N2881" s="19"/>
    </row>
    <row r="2882">
      <c r="A2882" s="14"/>
      <c r="B2882" s="15" t="str">
        <f>IFERROR(__xludf.DUMMYFUNCTION("""COMPUTED_VALUE"""),"")</f>
        <v/>
      </c>
      <c r="C2882" s="15"/>
      <c r="D2882" s="15"/>
      <c r="E2882" s="15"/>
      <c r="F2882" s="15"/>
      <c r="G2882" s="15"/>
      <c r="H2882" s="15"/>
      <c r="I2882" s="17" t="str">
        <f>IFERROR(__xludf.DUMMYFUNCTION("""COMPUTED_VALUE"""),"")</f>
        <v/>
      </c>
      <c r="J2882" s="15"/>
      <c r="L2882" s="18"/>
      <c r="M2882" s="19"/>
      <c r="N2882" s="19"/>
    </row>
    <row r="2883">
      <c r="A2883" s="14"/>
      <c r="B2883" s="15" t="str">
        <f>IFERROR(__xludf.DUMMYFUNCTION("""COMPUTED_VALUE"""),"")</f>
        <v/>
      </c>
      <c r="C2883" s="15"/>
      <c r="D2883" s="15"/>
      <c r="E2883" s="15"/>
      <c r="F2883" s="15"/>
      <c r="G2883" s="15"/>
      <c r="H2883" s="15"/>
      <c r="I2883" s="17" t="str">
        <f>IFERROR(__xludf.DUMMYFUNCTION("""COMPUTED_VALUE"""),"")</f>
        <v/>
      </c>
      <c r="J2883" s="15"/>
      <c r="L2883" s="18"/>
      <c r="M2883" s="19"/>
      <c r="N2883" s="19"/>
    </row>
    <row r="2884">
      <c r="A2884" s="14"/>
      <c r="B2884" s="15" t="str">
        <f>IFERROR(__xludf.DUMMYFUNCTION("""COMPUTED_VALUE"""),"")</f>
        <v/>
      </c>
      <c r="C2884" s="15"/>
      <c r="D2884" s="15"/>
      <c r="E2884" s="15"/>
      <c r="F2884" s="15"/>
      <c r="G2884" s="15"/>
      <c r="H2884" s="15"/>
      <c r="I2884" s="17" t="str">
        <f>IFERROR(__xludf.DUMMYFUNCTION("""COMPUTED_VALUE"""),"")</f>
        <v/>
      </c>
      <c r="J2884" s="15"/>
      <c r="L2884" s="18"/>
      <c r="M2884" s="19"/>
      <c r="N2884" s="19"/>
    </row>
    <row r="2885">
      <c r="A2885" s="14"/>
      <c r="B2885" s="15" t="str">
        <f>IFERROR(__xludf.DUMMYFUNCTION("""COMPUTED_VALUE"""),"")</f>
        <v/>
      </c>
      <c r="C2885" s="15"/>
      <c r="D2885" s="15"/>
      <c r="E2885" s="15"/>
      <c r="F2885" s="15"/>
      <c r="G2885" s="15"/>
      <c r="H2885" s="15"/>
      <c r="I2885" s="17" t="str">
        <f>IFERROR(__xludf.DUMMYFUNCTION("""COMPUTED_VALUE"""),"")</f>
        <v/>
      </c>
      <c r="J2885" s="15"/>
      <c r="L2885" s="18"/>
      <c r="M2885" s="19"/>
      <c r="N2885" s="19"/>
    </row>
    <row r="2886">
      <c r="A2886" s="14"/>
      <c r="B2886" s="15" t="str">
        <f>IFERROR(__xludf.DUMMYFUNCTION("""COMPUTED_VALUE"""),"")</f>
        <v/>
      </c>
      <c r="C2886" s="15"/>
      <c r="D2886" s="15"/>
      <c r="E2886" s="15"/>
      <c r="F2886" s="15"/>
      <c r="G2886" s="15"/>
      <c r="H2886" s="15"/>
      <c r="I2886" s="17" t="str">
        <f>IFERROR(__xludf.DUMMYFUNCTION("""COMPUTED_VALUE"""),"")</f>
        <v/>
      </c>
      <c r="J2886" s="15"/>
      <c r="L2886" s="18"/>
      <c r="M2886" s="19"/>
      <c r="N2886" s="19"/>
    </row>
    <row r="2887">
      <c r="A2887" s="14"/>
      <c r="B2887" s="15" t="str">
        <f>IFERROR(__xludf.DUMMYFUNCTION("""COMPUTED_VALUE"""),"")</f>
        <v/>
      </c>
      <c r="C2887" s="15"/>
      <c r="D2887" s="15"/>
      <c r="E2887" s="15"/>
      <c r="F2887" s="15"/>
      <c r="G2887" s="15"/>
      <c r="H2887" s="15"/>
      <c r="I2887" s="17" t="str">
        <f>IFERROR(__xludf.DUMMYFUNCTION("""COMPUTED_VALUE"""),"")</f>
        <v/>
      </c>
      <c r="J2887" s="15"/>
      <c r="L2887" s="18"/>
      <c r="M2887" s="19"/>
      <c r="N2887" s="19"/>
    </row>
    <row r="2888">
      <c r="A2888" s="14"/>
      <c r="B2888" s="15" t="str">
        <f>IFERROR(__xludf.DUMMYFUNCTION("""COMPUTED_VALUE"""),"")</f>
        <v/>
      </c>
      <c r="C2888" s="15"/>
      <c r="D2888" s="15"/>
      <c r="E2888" s="15"/>
      <c r="F2888" s="15"/>
      <c r="G2888" s="15"/>
      <c r="H2888" s="15"/>
      <c r="I2888" s="17" t="str">
        <f>IFERROR(__xludf.DUMMYFUNCTION("""COMPUTED_VALUE"""),"")</f>
        <v/>
      </c>
      <c r="J2888" s="15"/>
      <c r="L2888" s="18"/>
      <c r="M2888" s="19"/>
      <c r="N2888" s="19"/>
    </row>
    <row r="2889">
      <c r="A2889" s="14"/>
      <c r="B2889" s="15" t="str">
        <f>IFERROR(__xludf.DUMMYFUNCTION("""COMPUTED_VALUE"""),"")</f>
        <v/>
      </c>
      <c r="C2889" s="15"/>
      <c r="D2889" s="15"/>
      <c r="E2889" s="15"/>
      <c r="F2889" s="15"/>
      <c r="G2889" s="15"/>
      <c r="H2889" s="15"/>
      <c r="I2889" s="17" t="str">
        <f>IFERROR(__xludf.DUMMYFUNCTION("""COMPUTED_VALUE"""),"")</f>
        <v/>
      </c>
      <c r="J2889" s="15"/>
      <c r="L2889" s="18"/>
      <c r="M2889" s="19"/>
      <c r="N2889" s="19"/>
    </row>
    <row r="2890">
      <c r="A2890" s="14"/>
      <c r="B2890" s="15" t="str">
        <f>IFERROR(__xludf.DUMMYFUNCTION("""COMPUTED_VALUE"""),"")</f>
        <v/>
      </c>
      <c r="C2890" s="15"/>
      <c r="D2890" s="15"/>
      <c r="E2890" s="15"/>
      <c r="F2890" s="15"/>
      <c r="G2890" s="15"/>
      <c r="H2890" s="15"/>
      <c r="I2890" s="17" t="str">
        <f>IFERROR(__xludf.DUMMYFUNCTION("""COMPUTED_VALUE"""),"")</f>
        <v/>
      </c>
      <c r="J2890" s="15"/>
      <c r="L2890" s="18"/>
      <c r="M2890" s="19"/>
      <c r="N2890" s="19"/>
    </row>
    <row r="2891">
      <c r="A2891" s="14"/>
      <c r="B2891" s="15" t="str">
        <f>IFERROR(__xludf.DUMMYFUNCTION("""COMPUTED_VALUE"""),"")</f>
        <v/>
      </c>
      <c r="C2891" s="15"/>
      <c r="D2891" s="15"/>
      <c r="E2891" s="15"/>
      <c r="F2891" s="15"/>
      <c r="G2891" s="15"/>
      <c r="H2891" s="15"/>
      <c r="I2891" s="17" t="str">
        <f>IFERROR(__xludf.DUMMYFUNCTION("""COMPUTED_VALUE"""),"")</f>
        <v/>
      </c>
      <c r="J2891" s="15"/>
      <c r="L2891" s="18"/>
      <c r="M2891" s="19"/>
      <c r="N2891" s="19"/>
    </row>
    <row r="2892">
      <c r="A2892" s="14"/>
      <c r="B2892" s="15" t="str">
        <f>IFERROR(__xludf.DUMMYFUNCTION("""COMPUTED_VALUE"""),"")</f>
        <v/>
      </c>
      <c r="C2892" s="15"/>
      <c r="D2892" s="15"/>
      <c r="E2892" s="15"/>
      <c r="F2892" s="15"/>
      <c r="G2892" s="15"/>
      <c r="H2892" s="15"/>
      <c r="I2892" s="17" t="str">
        <f>IFERROR(__xludf.DUMMYFUNCTION("""COMPUTED_VALUE"""),"")</f>
        <v/>
      </c>
      <c r="J2892" s="15"/>
      <c r="L2892" s="18"/>
      <c r="M2892" s="19"/>
      <c r="N2892" s="19"/>
    </row>
    <row r="2893">
      <c r="A2893" s="14"/>
      <c r="B2893" s="15" t="str">
        <f>IFERROR(__xludf.DUMMYFUNCTION("""COMPUTED_VALUE"""),"")</f>
        <v/>
      </c>
      <c r="C2893" s="15"/>
      <c r="D2893" s="15"/>
      <c r="E2893" s="15"/>
      <c r="F2893" s="15"/>
      <c r="G2893" s="15"/>
      <c r="H2893" s="15"/>
      <c r="I2893" s="17" t="str">
        <f>IFERROR(__xludf.DUMMYFUNCTION("""COMPUTED_VALUE"""),"")</f>
        <v/>
      </c>
      <c r="J2893" s="15"/>
      <c r="L2893" s="18"/>
      <c r="M2893" s="19"/>
      <c r="N2893" s="19"/>
    </row>
    <row r="2894">
      <c r="A2894" s="14"/>
      <c r="B2894" s="15" t="str">
        <f>IFERROR(__xludf.DUMMYFUNCTION("""COMPUTED_VALUE"""),"")</f>
        <v/>
      </c>
      <c r="C2894" s="15"/>
      <c r="D2894" s="15"/>
      <c r="E2894" s="15"/>
      <c r="F2894" s="15"/>
      <c r="G2894" s="15"/>
      <c r="H2894" s="15"/>
      <c r="I2894" s="17" t="str">
        <f>IFERROR(__xludf.DUMMYFUNCTION("""COMPUTED_VALUE"""),"")</f>
        <v/>
      </c>
      <c r="J2894" s="15"/>
      <c r="L2894" s="18"/>
      <c r="M2894" s="19"/>
      <c r="N2894" s="19"/>
    </row>
    <row r="2895">
      <c r="A2895" s="14"/>
      <c r="B2895" s="15" t="str">
        <f>IFERROR(__xludf.DUMMYFUNCTION("""COMPUTED_VALUE"""),"")</f>
        <v/>
      </c>
      <c r="C2895" s="15"/>
      <c r="D2895" s="15"/>
      <c r="E2895" s="15"/>
      <c r="F2895" s="15"/>
      <c r="G2895" s="15"/>
      <c r="H2895" s="15"/>
      <c r="I2895" s="17" t="str">
        <f>IFERROR(__xludf.DUMMYFUNCTION("""COMPUTED_VALUE"""),"")</f>
        <v/>
      </c>
      <c r="J2895" s="15"/>
      <c r="L2895" s="18"/>
      <c r="M2895" s="19"/>
      <c r="N2895" s="19"/>
    </row>
    <row r="2896">
      <c r="A2896" s="14"/>
      <c r="B2896" s="15" t="str">
        <f>IFERROR(__xludf.DUMMYFUNCTION("""COMPUTED_VALUE"""),"")</f>
        <v/>
      </c>
      <c r="C2896" s="15"/>
      <c r="D2896" s="15"/>
      <c r="E2896" s="15"/>
      <c r="F2896" s="15"/>
      <c r="G2896" s="15"/>
      <c r="H2896" s="15"/>
      <c r="I2896" s="17" t="str">
        <f>IFERROR(__xludf.DUMMYFUNCTION("""COMPUTED_VALUE"""),"")</f>
        <v/>
      </c>
      <c r="J2896" s="15"/>
      <c r="L2896" s="18"/>
      <c r="M2896" s="19"/>
      <c r="N2896" s="19"/>
    </row>
    <row r="2897">
      <c r="A2897" s="14"/>
      <c r="B2897" s="15" t="str">
        <f>IFERROR(__xludf.DUMMYFUNCTION("""COMPUTED_VALUE"""),"")</f>
        <v/>
      </c>
      <c r="C2897" s="15"/>
      <c r="D2897" s="15"/>
      <c r="E2897" s="15"/>
      <c r="F2897" s="15"/>
      <c r="G2897" s="15"/>
      <c r="H2897" s="15"/>
      <c r="I2897" s="17" t="str">
        <f>IFERROR(__xludf.DUMMYFUNCTION("""COMPUTED_VALUE"""),"")</f>
        <v/>
      </c>
      <c r="J2897" s="15"/>
      <c r="L2897" s="18"/>
      <c r="M2897" s="19"/>
      <c r="N2897" s="19"/>
    </row>
    <row r="2898">
      <c r="A2898" s="14"/>
      <c r="B2898" s="15" t="str">
        <f>IFERROR(__xludf.DUMMYFUNCTION("""COMPUTED_VALUE"""),"")</f>
        <v/>
      </c>
      <c r="C2898" s="15"/>
      <c r="D2898" s="15"/>
      <c r="E2898" s="15"/>
      <c r="F2898" s="15"/>
      <c r="G2898" s="15"/>
      <c r="H2898" s="15"/>
      <c r="I2898" s="17" t="str">
        <f>IFERROR(__xludf.DUMMYFUNCTION("""COMPUTED_VALUE"""),"")</f>
        <v/>
      </c>
      <c r="J2898" s="15"/>
      <c r="L2898" s="18"/>
      <c r="M2898" s="19"/>
      <c r="N2898" s="19"/>
    </row>
    <row r="2899">
      <c r="A2899" s="14"/>
      <c r="B2899" s="15" t="str">
        <f>IFERROR(__xludf.DUMMYFUNCTION("""COMPUTED_VALUE"""),"")</f>
        <v/>
      </c>
      <c r="C2899" s="15"/>
      <c r="D2899" s="15"/>
      <c r="E2899" s="15"/>
      <c r="F2899" s="15"/>
      <c r="G2899" s="15"/>
      <c r="H2899" s="15"/>
      <c r="I2899" s="17" t="str">
        <f>IFERROR(__xludf.DUMMYFUNCTION("""COMPUTED_VALUE"""),"")</f>
        <v/>
      </c>
      <c r="J2899" s="15"/>
      <c r="L2899" s="18"/>
      <c r="M2899" s="19"/>
      <c r="N2899" s="19"/>
    </row>
    <row r="2900">
      <c r="A2900" s="14"/>
      <c r="B2900" s="15" t="str">
        <f>IFERROR(__xludf.DUMMYFUNCTION("""COMPUTED_VALUE"""),"")</f>
        <v/>
      </c>
      <c r="C2900" s="15"/>
      <c r="D2900" s="15"/>
      <c r="E2900" s="15"/>
      <c r="F2900" s="15"/>
      <c r="G2900" s="15"/>
      <c r="H2900" s="15"/>
      <c r="I2900" s="17" t="str">
        <f>IFERROR(__xludf.DUMMYFUNCTION("""COMPUTED_VALUE"""),"")</f>
        <v/>
      </c>
      <c r="J2900" s="15"/>
      <c r="L2900" s="18"/>
      <c r="M2900" s="19"/>
      <c r="N2900" s="19"/>
    </row>
    <row r="2901">
      <c r="A2901" s="14"/>
      <c r="B2901" s="15" t="str">
        <f>IFERROR(__xludf.DUMMYFUNCTION("""COMPUTED_VALUE"""),"")</f>
        <v/>
      </c>
      <c r="C2901" s="15"/>
      <c r="D2901" s="15"/>
      <c r="E2901" s="15"/>
      <c r="F2901" s="15"/>
      <c r="G2901" s="15"/>
      <c r="H2901" s="15"/>
      <c r="I2901" s="17" t="str">
        <f>IFERROR(__xludf.DUMMYFUNCTION("""COMPUTED_VALUE"""),"")</f>
        <v/>
      </c>
      <c r="J2901" s="15"/>
      <c r="L2901" s="18"/>
      <c r="M2901" s="19"/>
      <c r="N2901" s="19"/>
    </row>
    <row r="2902">
      <c r="A2902" s="14"/>
      <c r="B2902" s="15" t="str">
        <f>IFERROR(__xludf.DUMMYFUNCTION("""COMPUTED_VALUE"""),"")</f>
        <v/>
      </c>
      <c r="C2902" s="15"/>
      <c r="D2902" s="15"/>
      <c r="E2902" s="15"/>
      <c r="F2902" s="15"/>
      <c r="G2902" s="15"/>
      <c r="H2902" s="15"/>
      <c r="I2902" s="17" t="str">
        <f>IFERROR(__xludf.DUMMYFUNCTION("""COMPUTED_VALUE"""),"")</f>
        <v/>
      </c>
      <c r="J2902" s="15"/>
      <c r="L2902" s="18"/>
      <c r="M2902" s="19"/>
      <c r="N2902" s="19"/>
    </row>
    <row r="2903">
      <c r="A2903" s="14"/>
      <c r="B2903" s="15" t="str">
        <f>IFERROR(__xludf.DUMMYFUNCTION("""COMPUTED_VALUE"""),"")</f>
        <v/>
      </c>
      <c r="C2903" s="15"/>
      <c r="D2903" s="15"/>
      <c r="E2903" s="15"/>
      <c r="F2903" s="15"/>
      <c r="G2903" s="15"/>
      <c r="H2903" s="15"/>
      <c r="I2903" s="17" t="str">
        <f>IFERROR(__xludf.DUMMYFUNCTION("""COMPUTED_VALUE"""),"")</f>
        <v/>
      </c>
      <c r="J2903" s="15"/>
      <c r="L2903" s="18"/>
      <c r="M2903" s="19"/>
      <c r="N2903" s="19"/>
    </row>
    <row r="2904">
      <c r="A2904" s="14"/>
      <c r="B2904" s="15" t="str">
        <f>IFERROR(__xludf.DUMMYFUNCTION("""COMPUTED_VALUE"""),"")</f>
        <v/>
      </c>
      <c r="C2904" s="15"/>
      <c r="D2904" s="15"/>
      <c r="E2904" s="15"/>
      <c r="F2904" s="15"/>
      <c r="G2904" s="15"/>
      <c r="H2904" s="15"/>
      <c r="I2904" s="17" t="str">
        <f>IFERROR(__xludf.DUMMYFUNCTION("""COMPUTED_VALUE"""),"")</f>
        <v/>
      </c>
      <c r="J2904" s="15"/>
      <c r="L2904" s="18"/>
      <c r="M2904" s="19"/>
      <c r="N2904" s="19"/>
    </row>
    <row r="2905">
      <c r="A2905" s="14"/>
      <c r="B2905" s="15" t="str">
        <f>IFERROR(__xludf.DUMMYFUNCTION("""COMPUTED_VALUE"""),"")</f>
        <v/>
      </c>
      <c r="C2905" s="15"/>
      <c r="D2905" s="15"/>
      <c r="E2905" s="15"/>
      <c r="F2905" s="15"/>
      <c r="G2905" s="15"/>
      <c r="H2905" s="15"/>
      <c r="I2905" s="17" t="str">
        <f>IFERROR(__xludf.DUMMYFUNCTION("""COMPUTED_VALUE"""),"")</f>
        <v/>
      </c>
      <c r="J2905" s="15"/>
      <c r="L2905" s="18"/>
      <c r="M2905" s="19"/>
      <c r="N2905" s="19"/>
    </row>
    <row r="2906">
      <c r="A2906" s="14"/>
      <c r="B2906" s="15" t="str">
        <f>IFERROR(__xludf.DUMMYFUNCTION("""COMPUTED_VALUE"""),"")</f>
        <v/>
      </c>
      <c r="C2906" s="15"/>
      <c r="D2906" s="15"/>
      <c r="E2906" s="15"/>
      <c r="F2906" s="15"/>
      <c r="G2906" s="15"/>
      <c r="H2906" s="15"/>
      <c r="I2906" s="17" t="str">
        <f>IFERROR(__xludf.DUMMYFUNCTION("""COMPUTED_VALUE"""),"")</f>
        <v/>
      </c>
      <c r="J2906" s="15"/>
      <c r="L2906" s="18"/>
      <c r="M2906" s="19"/>
      <c r="N2906" s="19"/>
    </row>
    <row r="2907">
      <c r="A2907" s="14"/>
      <c r="B2907" s="15" t="str">
        <f>IFERROR(__xludf.DUMMYFUNCTION("""COMPUTED_VALUE"""),"")</f>
        <v/>
      </c>
      <c r="C2907" s="15"/>
      <c r="D2907" s="15"/>
      <c r="E2907" s="15"/>
      <c r="F2907" s="15"/>
      <c r="G2907" s="15"/>
      <c r="H2907" s="15"/>
      <c r="I2907" s="17" t="str">
        <f>IFERROR(__xludf.DUMMYFUNCTION("""COMPUTED_VALUE"""),"")</f>
        <v/>
      </c>
      <c r="J2907" s="15"/>
      <c r="L2907" s="18"/>
      <c r="M2907" s="19"/>
      <c r="N2907" s="19"/>
    </row>
    <row r="2908">
      <c r="A2908" s="14"/>
      <c r="B2908" s="15" t="str">
        <f>IFERROR(__xludf.DUMMYFUNCTION("""COMPUTED_VALUE"""),"")</f>
        <v/>
      </c>
      <c r="C2908" s="15"/>
      <c r="D2908" s="15"/>
      <c r="E2908" s="15"/>
      <c r="F2908" s="15"/>
      <c r="G2908" s="15"/>
      <c r="H2908" s="15"/>
      <c r="I2908" s="17" t="str">
        <f>IFERROR(__xludf.DUMMYFUNCTION("""COMPUTED_VALUE"""),"")</f>
        <v/>
      </c>
      <c r="J2908" s="15"/>
      <c r="L2908" s="18"/>
      <c r="M2908" s="19"/>
      <c r="N2908" s="19"/>
    </row>
    <row r="2909">
      <c r="A2909" s="14"/>
      <c r="B2909" s="15" t="str">
        <f>IFERROR(__xludf.DUMMYFUNCTION("""COMPUTED_VALUE"""),"")</f>
        <v/>
      </c>
      <c r="C2909" s="15"/>
      <c r="D2909" s="15"/>
      <c r="E2909" s="15"/>
      <c r="F2909" s="15"/>
      <c r="G2909" s="15"/>
      <c r="H2909" s="15"/>
      <c r="I2909" s="17" t="str">
        <f>IFERROR(__xludf.DUMMYFUNCTION("""COMPUTED_VALUE"""),"")</f>
        <v/>
      </c>
      <c r="J2909" s="15"/>
      <c r="L2909" s="18"/>
      <c r="M2909" s="19"/>
      <c r="N2909" s="19"/>
    </row>
    <row r="2910">
      <c r="A2910" s="14"/>
      <c r="B2910" s="15" t="str">
        <f>IFERROR(__xludf.DUMMYFUNCTION("""COMPUTED_VALUE"""),"")</f>
        <v/>
      </c>
      <c r="C2910" s="15"/>
      <c r="D2910" s="15"/>
      <c r="E2910" s="15"/>
      <c r="F2910" s="15"/>
      <c r="G2910" s="15"/>
      <c r="H2910" s="15"/>
      <c r="I2910" s="17" t="str">
        <f>IFERROR(__xludf.DUMMYFUNCTION("""COMPUTED_VALUE"""),"")</f>
        <v/>
      </c>
      <c r="J2910" s="15"/>
      <c r="L2910" s="18"/>
      <c r="M2910" s="19"/>
      <c r="N2910" s="19"/>
    </row>
    <row r="2911">
      <c r="A2911" s="14"/>
      <c r="B2911" s="15" t="str">
        <f>IFERROR(__xludf.DUMMYFUNCTION("""COMPUTED_VALUE"""),"")</f>
        <v/>
      </c>
      <c r="C2911" s="15"/>
      <c r="D2911" s="15"/>
      <c r="E2911" s="15"/>
      <c r="F2911" s="15"/>
      <c r="G2911" s="15"/>
      <c r="H2911" s="15"/>
      <c r="I2911" s="17" t="str">
        <f>IFERROR(__xludf.DUMMYFUNCTION("""COMPUTED_VALUE"""),"")</f>
        <v/>
      </c>
      <c r="J2911" s="15"/>
      <c r="L2911" s="18"/>
      <c r="M2911" s="19"/>
      <c r="N2911" s="19"/>
    </row>
    <row r="2912">
      <c r="A2912" s="14"/>
      <c r="B2912" s="15" t="str">
        <f>IFERROR(__xludf.DUMMYFUNCTION("""COMPUTED_VALUE"""),"")</f>
        <v/>
      </c>
      <c r="C2912" s="15"/>
      <c r="D2912" s="15"/>
      <c r="E2912" s="15"/>
      <c r="F2912" s="15"/>
      <c r="G2912" s="15"/>
      <c r="H2912" s="15"/>
      <c r="I2912" s="17" t="str">
        <f>IFERROR(__xludf.DUMMYFUNCTION("""COMPUTED_VALUE"""),"")</f>
        <v/>
      </c>
      <c r="J2912" s="15"/>
      <c r="L2912" s="18"/>
      <c r="M2912" s="19"/>
      <c r="N2912" s="19"/>
    </row>
    <row r="2913">
      <c r="A2913" s="14"/>
      <c r="B2913" s="15" t="str">
        <f>IFERROR(__xludf.DUMMYFUNCTION("""COMPUTED_VALUE"""),"")</f>
        <v/>
      </c>
      <c r="C2913" s="15"/>
      <c r="D2913" s="15"/>
      <c r="E2913" s="15"/>
      <c r="F2913" s="15"/>
      <c r="G2913" s="15"/>
      <c r="H2913" s="15"/>
      <c r="I2913" s="17" t="str">
        <f>IFERROR(__xludf.DUMMYFUNCTION("""COMPUTED_VALUE"""),"")</f>
        <v/>
      </c>
      <c r="J2913" s="15"/>
      <c r="L2913" s="18"/>
      <c r="M2913" s="19"/>
      <c r="N2913" s="19"/>
    </row>
    <row r="2914">
      <c r="A2914" s="14"/>
      <c r="B2914" s="15" t="str">
        <f>IFERROR(__xludf.DUMMYFUNCTION("""COMPUTED_VALUE"""),"")</f>
        <v/>
      </c>
      <c r="C2914" s="15"/>
      <c r="D2914" s="15"/>
      <c r="E2914" s="15"/>
      <c r="F2914" s="15"/>
      <c r="G2914" s="15"/>
      <c r="H2914" s="15"/>
      <c r="I2914" s="17" t="str">
        <f>IFERROR(__xludf.DUMMYFUNCTION("""COMPUTED_VALUE"""),"")</f>
        <v/>
      </c>
      <c r="J2914" s="15"/>
      <c r="L2914" s="18"/>
      <c r="M2914" s="19"/>
      <c r="N2914" s="19"/>
    </row>
    <row r="2915">
      <c r="A2915" s="14"/>
      <c r="B2915" s="15" t="str">
        <f>IFERROR(__xludf.DUMMYFUNCTION("""COMPUTED_VALUE"""),"")</f>
        <v/>
      </c>
      <c r="C2915" s="15"/>
      <c r="D2915" s="15"/>
      <c r="E2915" s="15"/>
      <c r="F2915" s="15"/>
      <c r="G2915" s="15"/>
      <c r="H2915" s="15"/>
      <c r="I2915" s="17" t="str">
        <f>IFERROR(__xludf.DUMMYFUNCTION("""COMPUTED_VALUE"""),"")</f>
        <v/>
      </c>
      <c r="J2915" s="15"/>
      <c r="L2915" s="18"/>
      <c r="M2915" s="19"/>
      <c r="N2915" s="19"/>
    </row>
    <row r="2916">
      <c r="A2916" s="14"/>
      <c r="B2916" s="15" t="str">
        <f>IFERROR(__xludf.DUMMYFUNCTION("""COMPUTED_VALUE"""),"")</f>
        <v/>
      </c>
      <c r="C2916" s="15"/>
      <c r="D2916" s="15"/>
      <c r="E2916" s="15"/>
      <c r="F2916" s="15"/>
      <c r="G2916" s="15"/>
      <c r="H2916" s="15"/>
      <c r="I2916" s="17" t="str">
        <f>IFERROR(__xludf.DUMMYFUNCTION("""COMPUTED_VALUE"""),"")</f>
        <v/>
      </c>
      <c r="J2916" s="15"/>
      <c r="L2916" s="18"/>
      <c r="M2916" s="19"/>
      <c r="N2916" s="19"/>
    </row>
    <row r="2917">
      <c r="A2917" s="14"/>
      <c r="B2917" s="15" t="str">
        <f>IFERROR(__xludf.DUMMYFUNCTION("""COMPUTED_VALUE"""),"")</f>
        <v/>
      </c>
      <c r="C2917" s="15"/>
      <c r="D2917" s="15"/>
      <c r="E2917" s="15"/>
      <c r="F2917" s="15"/>
      <c r="G2917" s="15"/>
      <c r="H2917" s="15"/>
      <c r="I2917" s="17" t="str">
        <f>IFERROR(__xludf.DUMMYFUNCTION("""COMPUTED_VALUE"""),"")</f>
        <v/>
      </c>
      <c r="J2917" s="15"/>
      <c r="L2917" s="18"/>
      <c r="M2917" s="19"/>
      <c r="N2917" s="19"/>
    </row>
    <row r="2918">
      <c r="A2918" s="14"/>
      <c r="B2918" s="15" t="str">
        <f>IFERROR(__xludf.DUMMYFUNCTION("""COMPUTED_VALUE"""),"")</f>
        <v/>
      </c>
      <c r="C2918" s="15"/>
      <c r="D2918" s="15"/>
      <c r="E2918" s="15"/>
      <c r="F2918" s="15"/>
      <c r="G2918" s="15"/>
      <c r="H2918" s="15"/>
      <c r="I2918" s="17" t="str">
        <f>IFERROR(__xludf.DUMMYFUNCTION("""COMPUTED_VALUE"""),"")</f>
        <v/>
      </c>
      <c r="J2918" s="15"/>
      <c r="L2918" s="18"/>
      <c r="M2918" s="19"/>
      <c r="N2918" s="19"/>
    </row>
    <row r="2919">
      <c r="A2919" s="14"/>
      <c r="B2919" s="15" t="str">
        <f>IFERROR(__xludf.DUMMYFUNCTION("""COMPUTED_VALUE"""),"")</f>
        <v/>
      </c>
      <c r="C2919" s="15"/>
      <c r="D2919" s="15"/>
      <c r="E2919" s="15"/>
      <c r="F2919" s="15"/>
      <c r="G2919" s="15"/>
      <c r="H2919" s="15"/>
      <c r="I2919" s="17" t="str">
        <f>IFERROR(__xludf.DUMMYFUNCTION("""COMPUTED_VALUE"""),"")</f>
        <v/>
      </c>
      <c r="J2919" s="15"/>
      <c r="L2919" s="18"/>
      <c r="M2919" s="19"/>
      <c r="N2919" s="19"/>
    </row>
    <row r="2920">
      <c r="A2920" s="14"/>
      <c r="B2920" s="15" t="str">
        <f>IFERROR(__xludf.DUMMYFUNCTION("""COMPUTED_VALUE"""),"")</f>
        <v/>
      </c>
      <c r="C2920" s="15"/>
      <c r="D2920" s="15"/>
      <c r="E2920" s="15"/>
      <c r="F2920" s="15"/>
      <c r="G2920" s="15"/>
      <c r="H2920" s="15"/>
      <c r="I2920" s="17" t="str">
        <f>IFERROR(__xludf.DUMMYFUNCTION("""COMPUTED_VALUE"""),"")</f>
        <v/>
      </c>
      <c r="J2920" s="15"/>
      <c r="L2920" s="18"/>
      <c r="M2920" s="19"/>
      <c r="N2920" s="19"/>
    </row>
    <row r="2921">
      <c r="A2921" s="14"/>
      <c r="B2921" s="15" t="str">
        <f>IFERROR(__xludf.DUMMYFUNCTION("""COMPUTED_VALUE"""),"")</f>
        <v/>
      </c>
      <c r="C2921" s="15"/>
      <c r="D2921" s="15"/>
      <c r="E2921" s="15"/>
      <c r="F2921" s="15"/>
      <c r="G2921" s="15"/>
      <c r="H2921" s="15"/>
      <c r="I2921" s="17" t="str">
        <f>IFERROR(__xludf.DUMMYFUNCTION("""COMPUTED_VALUE"""),"")</f>
        <v/>
      </c>
      <c r="J2921" s="15"/>
      <c r="L2921" s="18"/>
      <c r="M2921" s="19"/>
      <c r="N2921" s="19"/>
    </row>
    <row r="2922">
      <c r="A2922" s="14"/>
      <c r="B2922" s="15" t="str">
        <f>IFERROR(__xludf.DUMMYFUNCTION("""COMPUTED_VALUE"""),"")</f>
        <v/>
      </c>
      <c r="C2922" s="15"/>
      <c r="D2922" s="15"/>
      <c r="E2922" s="15"/>
      <c r="F2922" s="15"/>
      <c r="G2922" s="15"/>
      <c r="H2922" s="15"/>
      <c r="I2922" s="17" t="str">
        <f>IFERROR(__xludf.DUMMYFUNCTION("""COMPUTED_VALUE"""),"")</f>
        <v/>
      </c>
      <c r="J2922" s="15"/>
      <c r="L2922" s="18"/>
      <c r="M2922" s="19"/>
      <c r="N2922" s="19"/>
    </row>
    <row r="2923">
      <c r="A2923" s="14"/>
      <c r="B2923" s="15" t="str">
        <f>IFERROR(__xludf.DUMMYFUNCTION("""COMPUTED_VALUE"""),"")</f>
        <v/>
      </c>
      <c r="C2923" s="15"/>
      <c r="D2923" s="15"/>
      <c r="E2923" s="15"/>
      <c r="F2923" s="15"/>
      <c r="G2923" s="15"/>
      <c r="H2923" s="15"/>
      <c r="I2923" s="17" t="str">
        <f>IFERROR(__xludf.DUMMYFUNCTION("""COMPUTED_VALUE"""),"")</f>
        <v/>
      </c>
      <c r="J2923" s="15"/>
      <c r="L2923" s="18"/>
      <c r="M2923" s="19"/>
      <c r="N2923" s="19"/>
    </row>
    <row r="2924">
      <c r="A2924" s="14"/>
      <c r="B2924" s="15" t="str">
        <f>IFERROR(__xludf.DUMMYFUNCTION("""COMPUTED_VALUE"""),"")</f>
        <v/>
      </c>
      <c r="C2924" s="15"/>
      <c r="D2924" s="15"/>
      <c r="E2924" s="15"/>
      <c r="F2924" s="15"/>
      <c r="G2924" s="15"/>
      <c r="H2924" s="15"/>
      <c r="I2924" s="17" t="str">
        <f>IFERROR(__xludf.DUMMYFUNCTION("""COMPUTED_VALUE"""),"")</f>
        <v/>
      </c>
      <c r="J2924" s="15"/>
      <c r="L2924" s="18"/>
      <c r="M2924" s="19"/>
      <c r="N2924" s="19"/>
    </row>
    <row r="2925">
      <c r="A2925" s="14"/>
      <c r="B2925" s="15" t="str">
        <f>IFERROR(__xludf.DUMMYFUNCTION("""COMPUTED_VALUE"""),"")</f>
        <v/>
      </c>
      <c r="C2925" s="15"/>
      <c r="D2925" s="15"/>
      <c r="E2925" s="15"/>
      <c r="F2925" s="15"/>
      <c r="G2925" s="15"/>
      <c r="H2925" s="15"/>
      <c r="I2925" s="17" t="str">
        <f>IFERROR(__xludf.DUMMYFUNCTION("""COMPUTED_VALUE"""),"")</f>
        <v/>
      </c>
      <c r="J2925" s="15"/>
      <c r="L2925" s="18"/>
      <c r="M2925" s="19"/>
      <c r="N2925" s="19"/>
    </row>
    <row r="2926">
      <c r="A2926" s="14"/>
      <c r="B2926" s="15" t="str">
        <f>IFERROR(__xludf.DUMMYFUNCTION("""COMPUTED_VALUE"""),"")</f>
        <v/>
      </c>
      <c r="C2926" s="15"/>
      <c r="D2926" s="15"/>
      <c r="E2926" s="15"/>
      <c r="F2926" s="15"/>
      <c r="G2926" s="15"/>
      <c r="H2926" s="15"/>
      <c r="I2926" s="17" t="str">
        <f>IFERROR(__xludf.DUMMYFUNCTION("""COMPUTED_VALUE"""),"")</f>
        <v/>
      </c>
      <c r="J2926" s="15"/>
      <c r="L2926" s="18"/>
      <c r="M2926" s="19"/>
      <c r="N2926" s="19"/>
    </row>
    <row r="2927">
      <c r="A2927" s="14"/>
      <c r="B2927" s="15" t="str">
        <f>IFERROR(__xludf.DUMMYFUNCTION("""COMPUTED_VALUE"""),"")</f>
        <v/>
      </c>
      <c r="C2927" s="15"/>
      <c r="D2927" s="15"/>
      <c r="E2927" s="15"/>
      <c r="F2927" s="15"/>
      <c r="G2927" s="15"/>
      <c r="H2927" s="15"/>
      <c r="I2927" s="17" t="str">
        <f>IFERROR(__xludf.DUMMYFUNCTION("""COMPUTED_VALUE"""),"")</f>
        <v/>
      </c>
      <c r="J2927" s="15"/>
      <c r="L2927" s="18"/>
      <c r="M2927" s="19"/>
      <c r="N2927" s="19"/>
    </row>
    <row r="2928">
      <c r="A2928" s="14"/>
      <c r="B2928" s="15" t="str">
        <f>IFERROR(__xludf.DUMMYFUNCTION("""COMPUTED_VALUE"""),"")</f>
        <v/>
      </c>
      <c r="C2928" s="15"/>
      <c r="D2928" s="15"/>
      <c r="E2928" s="15"/>
      <c r="F2928" s="15"/>
      <c r="G2928" s="15"/>
      <c r="H2928" s="15"/>
      <c r="I2928" s="17" t="str">
        <f>IFERROR(__xludf.DUMMYFUNCTION("""COMPUTED_VALUE"""),"")</f>
        <v/>
      </c>
      <c r="J2928" s="15"/>
      <c r="L2928" s="18"/>
      <c r="M2928" s="19"/>
      <c r="N2928" s="19"/>
    </row>
    <row r="2929">
      <c r="A2929" s="14"/>
      <c r="B2929" s="15" t="str">
        <f>IFERROR(__xludf.DUMMYFUNCTION("""COMPUTED_VALUE"""),"")</f>
        <v/>
      </c>
      <c r="C2929" s="15"/>
      <c r="D2929" s="15"/>
      <c r="E2929" s="15"/>
      <c r="F2929" s="15"/>
      <c r="G2929" s="15"/>
      <c r="H2929" s="15"/>
      <c r="I2929" s="17" t="str">
        <f>IFERROR(__xludf.DUMMYFUNCTION("""COMPUTED_VALUE"""),"")</f>
        <v/>
      </c>
      <c r="J2929" s="15"/>
      <c r="L2929" s="18"/>
      <c r="M2929" s="19"/>
      <c r="N2929" s="19"/>
    </row>
    <row r="2930">
      <c r="A2930" s="14"/>
      <c r="B2930" s="15" t="str">
        <f>IFERROR(__xludf.DUMMYFUNCTION("""COMPUTED_VALUE"""),"")</f>
        <v/>
      </c>
      <c r="C2930" s="15"/>
      <c r="D2930" s="15"/>
      <c r="E2930" s="15"/>
      <c r="F2930" s="15"/>
      <c r="G2930" s="15"/>
      <c r="H2930" s="15"/>
      <c r="I2930" s="17" t="str">
        <f>IFERROR(__xludf.DUMMYFUNCTION("""COMPUTED_VALUE"""),"")</f>
        <v/>
      </c>
      <c r="J2930" s="15"/>
      <c r="L2930" s="18"/>
      <c r="M2930" s="19"/>
      <c r="N2930" s="19"/>
    </row>
    <row r="2931">
      <c r="A2931" s="14"/>
      <c r="B2931" s="15" t="str">
        <f>IFERROR(__xludf.DUMMYFUNCTION("""COMPUTED_VALUE"""),"")</f>
        <v/>
      </c>
      <c r="C2931" s="15"/>
      <c r="D2931" s="15"/>
      <c r="E2931" s="15"/>
      <c r="F2931" s="15"/>
      <c r="G2931" s="15"/>
      <c r="H2931" s="15"/>
      <c r="I2931" s="17" t="str">
        <f>IFERROR(__xludf.DUMMYFUNCTION("""COMPUTED_VALUE"""),"")</f>
        <v/>
      </c>
      <c r="J2931" s="15"/>
      <c r="L2931" s="18"/>
      <c r="M2931" s="19"/>
      <c r="N2931" s="19"/>
    </row>
    <row r="2932">
      <c r="A2932" s="14"/>
      <c r="B2932" s="15" t="str">
        <f>IFERROR(__xludf.DUMMYFUNCTION("""COMPUTED_VALUE"""),"")</f>
        <v/>
      </c>
      <c r="C2932" s="15"/>
      <c r="D2932" s="15"/>
      <c r="E2932" s="15"/>
      <c r="F2932" s="15"/>
      <c r="G2932" s="15"/>
      <c r="H2932" s="15"/>
      <c r="I2932" s="17" t="str">
        <f>IFERROR(__xludf.DUMMYFUNCTION("""COMPUTED_VALUE"""),"")</f>
        <v/>
      </c>
      <c r="J2932" s="15"/>
      <c r="L2932" s="18"/>
      <c r="M2932" s="19"/>
      <c r="N2932" s="19"/>
    </row>
    <row r="2933">
      <c r="A2933" s="14"/>
      <c r="B2933" s="15" t="str">
        <f>IFERROR(__xludf.DUMMYFUNCTION("""COMPUTED_VALUE"""),"")</f>
        <v/>
      </c>
      <c r="C2933" s="15"/>
      <c r="D2933" s="15"/>
      <c r="E2933" s="15"/>
      <c r="F2933" s="15"/>
      <c r="G2933" s="15"/>
      <c r="H2933" s="15"/>
      <c r="I2933" s="17" t="str">
        <f>IFERROR(__xludf.DUMMYFUNCTION("""COMPUTED_VALUE"""),"")</f>
        <v/>
      </c>
      <c r="J2933" s="15"/>
      <c r="L2933" s="18"/>
      <c r="M2933" s="19"/>
      <c r="N2933" s="19"/>
    </row>
    <row r="2934">
      <c r="A2934" s="14"/>
      <c r="B2934" s="15" t="str">
        <f>IFERROR(__xludf.DUMMYFUNCTION("""COMPUTED_VALUE"""),"")</f>
        <v/>
      </c>
      <c r="C2934" s="15"/>
      <c r="D2934" s="15"/>
      <c r="E2934" s="15"/>
      <c r="F2934" s="15"/>
      <c r="G2934" s="15"/>
      <c r="H2934" s="15"/>
      <c r="I2934" s="17" t="str">
        <f>IFERROR(__xludf.DUMMYFUNCTION("""COMPUTED_VALUE"""),"")</f>
        <v/>
      </c>
      <c r="J2934" s="15"/>
      <c r="L2934" s="18"/>
      <c r="M2934" s="19"/>
      <c r="N2934" s="19"/>
    </row>
    <row r="2935">
      <c r="A2935" s="14"/>
      <c r="B2935" s="15" t="str">
        <f>IFERROR(__xludf.DUMMYFUNCTION("""COMPUTED_VALUE"""),"")</f>
        <v/>
      </c>
      <c r="C2935" s="15"/>
      <c r="D2935" s="15"/>
      <c r="E2935" s="15"/>
      <c r="F2935" s="15"/>
      <c r="G2935" s="15"/>
      <c r="H2935" s="15"/>
      <c r="I2935" s="17" t="str">
        <f>IFERROR(__xludf.DUMMYFUNCTION("""COMPUTED_VALUE"""),"")</f>
        <v/>
      </c>
      <c r="J2935" s="15"/>
      <c r="L2935" s="18"/>
      <c r="M2935" s="19"/>
      <c r="N2935" s="19"/>
    </row>
    <row r="2936">
      <c r="A2936" s="14"/>
      <c r="B2936" s="15" t="str">
        <f>IFERROR(__xludf.DUMMYFUNCTION("""COMPUTED_VALUE"""),"")</f>
        <v/>
      </c>
      <c r="C2936" s="15"/>
      <c r="D2936" s="15"/>
      <c r="E2936" s="15"/>
      <c r="F2936" s="15"/>
      <c r="G2936" s="15"/>
      <c r="H2936" s="15"/>
      <c r="I2936" s="17" t="str">
        <f>IFERROR(__xludf.DUMMYFUNCTION("""COMPUTED_VALUE"""),"")</f>
        <v/>
      </c>
      <c r="J2936" s="15"/>
      <c r="L2936" s="18"/>
      <c r="M2936" s="19"/>
      <c r="N2936" s="19"/>
    </row>
    <row r="2937">
      <c r="A2937" s="14"/>
      <c r="B2937" s="15" t="str">
        <f>IFERROR(__xludf.DUMMYFUNCTION("""COMPUTED_VALUE"""),"")</f>
        <v/>
      </c>
      <c r="C2937" s="15"/>
      <c r="D2937" s="15"/>
      <c r="E2937" s="15"/>
      <c r="F2937" s="15"/>
      <c r="G2937" s="15"/>
      <c r="H2937" s="15"/>
      <c r="I2937" s="17" t="str">
        <f>IFERROR(__xludf.DUMMYFUNCTION("""COMPUTED_VALUE"""),"")</f>
        <v/>
      </c>
      <c r="J2937" s="15"/>
      <c r="L2937" s="18"/>
      <c r="M2937" s="19"/>
      <c r="N2937" s="19"/>
    </row>
    <row r="2938">
      <c r="A2938" s="14"/>
      <c r="B2938" s="15" t="str">
        <f>IFERROR(__xludf.DUMMYFUNCTION("""COMPUTED_VALUE"""),"")</f>
        <v/>
      </c>
      <c r="C2938" s="15"/>
      <c r="D2938" s="15"/>
      <c r="E2938" s="15"/>
      <c r="F2938" s="15"/>
      <c r="G2938" s="15"/>
      <c r="H2938" s="15"/>
      <c r="I2938" s="17" t="str">
        <f>IFERROR(__xludf.DUMMYFUNCTION("""COMPUTED_VALUE"""),"")</f>
        <v/>
      </c>
      <c r="J2938" s="15"/>
      <c r="L2938" s="18"/>
      <c r="M2938" s="19"/>
      <c r="N2938" s="19"/>
    </row>
    <row r="2939">
      <c r="A2939" s="14"/>
      <c r="B2939" s="15" t="str">
        <f>IFERROR(__xludf.DUMMYFUNCTION("""COMPUTED_VALUE"""),"")</f>
        <v/>
      </c>
      <c r="C2939" s="15"/>
      <c r="D2939" s="15"/>
      <c r="E2939" s="15"/>
      <c r="F2939" s="15"/>
      <c r="G2939" s="15"/>
      <c r="H2939" s="15"/>
      <c r="I2939" s="17" t="str">
        <f>IFERROR(__xludf.DUMMYFUNCTION("""COMPUTED_VALUE"""),"")</f>
        <v/>
      </c>
      <c r="J2939" s="15"/>
      <c r="L2939" s="18"/>
      <c r="M2939" s="19"/>
      <c r="N2939" s="19"/>
    </row>
    <row r="2940">
      <c r="A2940" s="14"/>
      <c r="B2940" s="15" t="str">
        <f>IFERROR(__xludf.DUMMYFUNCTION("""COMPUTED_VALUE"""),"")</f>
        <v/>
      </c>
      <c r="C2940" s="15"/>
      <c r="D2940" s="15"/>
      <c r="E2940" s="15"/>
      <c r="F2940" s="15"/>
      <c r="G2940" s="15"/>
      <c r="H2940" s="15"/>
      <c r="I2940" s="17" t="str">
        <f>IFERROR(__xludf.DUMMYFUNCTION("""COMPUTED_VALUE"""),"")</f>
        <v/>
      </c>
      <c r="J2940" s="15"/>
      <c r="L2940" s="18"/>
      <c r="M2940" s="19"/>
      <c r="N2940" s="19"/>
    </row>
    <row r="2941">
      <c r="A2941" s="14"/>
      <c r="B2941" s="15" t="str">
        <f>IFERROR(__xludf.DUMMYFUNCTION("""COMPUTED_VALUE"""),"")</f>
        <v/>
      </c>
      <c r="C2941" s="15"/>
      <c r="D2941" s="15"/>
      <c r="E2941" s="15"/>
      <c r="F2941" s="15"/>
      <c r="G2941" s="15"/>
      <c r="H2941" s="15"/>
      <c r="I2941" s="17" t="str">
        <f>IFERROR(__xludf.DUMMYFUNCTION("""COMPUTED_VALUE"""),"")</f>
        <v/>
      </c>
      <c r="J2941" s="15"/>
      <c r="L2941" s="18"/>
      <c r="M2941" s="19"/>
      <c r="N2941" s="19"/>
    </row>
    <row r="2942">
      <c r="A2942" s="14"/>
      <c r="B2942" s="15" t="str">
        <f>IFERROR(__xludf.DUMMYFUNCTION("""COMPUTED_VALUE"""),"")</f>
        <v/>
      </c>
      <c r="C2942" s="15"/>
      <c r="D2942" s="15"/>
      <c r="E2942" s="15"/>
      <c r="F2942" s="15"/>
      <c r="G2942" s="15"/>
      <c r="H2942" s="15"/>
      <c r="I2942" s="17" t="str">
        <f>IFERROR(__xludf.DUMMYFUNCTION("""COMPUTED_VALUE"""),"")</f>
        <v/>
      </c>
      <c r="J2942" s="15"/>
      <c r="L2942" s="18"/>
      <c r="M2942" s="19"/>
      <c r="N2942" s="19"/>
    </row>
    <row r="2943">
      <c r="A2943" s="14"/>
      <c r="B2943" s="15" t="str">
        <f>IFERROR(__xludf.DUMMYFUNCTION("""COMPUTED_VALUE"""),"")</f>
        <v/>
      </c>
      <c r="C2943" s="15"/>
      <c r="D2943" s="15"/>
      <c r="E2943" s="15"/>
      <c r="F2943" s="15"/>
      <c r="G2943" s="15"/>
      <c r="H2943" s="15"/>
      <c r="I2943" s="17" t="str">
        <f>IFERROR(__xludf.DUMMYFUNCTION("""COMPUTED_VALUE"""),"")</f>
        <v/>
      </c>
      <c r="J2943" s="15"/>
      <c r="L2943" s="18"/>
      <c r="M2943" s="19"/>
      <c r="N2943" s="19"/>
    </row>
    <row r="2944">
      <c r="A2944" s="14"/>
      <c r="B2944" s="15" t="str">
        <f>IFERROR(__xludf.DUMMYFUNCTION("""COMPUTED_VALUE"""),"")</f>
        <v/>
      </c>
      <c r="C2944" s="15"/>
      <c r="D2944" s="15"/>
      <c r="E2944" s="15"/>
      <c r="F2944" s="15"/>
      <c r="G2944" s="15"/>
      <c r="H2944" s="15"/>
      <c r="I2944" s="17" t="str">
        <f>IFERROR(__xludf.DUMMYFUNCTION("""COMPUTED_VALUE"""),"")</f>
        <v/>
      </c>
      <c r="J2944" s="15"/>
      <c r="L2944" s="18"/>
      <c r="M2944" s="19"/>
      <c r="N2944" s="19"/>
    </row>
    <row r="2945">
      <c r="A2945" s="14"/>
      <c r="B2945" s="15" t="str">
        <f>IFERROR(__xludf.DUMMYFUNCTION("""COMPUTED_VALUE"""),"")</f>
        <v/>
      </c>
      <c r="C2945" s="15"/>
      <c r="D2945" s="15"/>
      <c r="E2945" s="15"/>
      <c r="F2945" s="15"/>
      <c r="G2945" s="15"/>
      <c r="H2945" s="15"/>
      <c r="I2945" s="17" t="str">
        <f>IFERROR(__xludf.DUMMYFUNCTION("""COMPUTED_VALUE"""),"")</f>
        <v/>
      </c>
      <c r="J2945" s="15"/>
      <c r="L2945" s="18"/>
      <c r="M2945" s="19"/>
      <c r="N2945" s="19"/>
    </row>
    <row r="2946">
      <c r="A2946" s="14"/>
      <c r="B2946" s="15" t="str">
        <f>IFERROR(__xludf.DUMMYFUNCTION("""COMPUTED_VALUE"""),"")</f>
        <v/>
      </c>
      <c r="C2946" s="15"/>
      <c r="D2946" s="15"/>
      <c r="E2946" s="15"/>
      <c r="F2946" s="15"/>
      <c r="G2946" s="15"/>
      <c r="H2946" s="15"/>
      <c r="I2946" s="17" t="str">
        <f>IFERROR(__xludf.DUMMYFUNCTION("""COMPUTED_VALUE"""),"")</f>
        <v/>
      </c>
      <c r="J2946" s="15"/>
      <c r="L2946" s="18"/>
      <c r="M2946" s="19"/>
      <c r="N2946" s="19"/>
    </row>
    <row r="2947">
      <c r="A2947" s="14"/>
      <c r="B2947" s="15" t="str">
        <f>IFERROR(__xludf.DUMMYFUNCTION("""COMPUTED_VALUE"""),"")</f>
        <v/>
      </c>
      <c r="C2947" s="15"/>
      <c r="D2947" s="15"/>
      <c r="E2947" s="15"/>
      <c r="F2947" s="15"/>
      <c r="G2947" s="15"/>
      <c r="H2947" s="15"/>
      <c r="I2947" s="17" t="str">
        <f>IFERROR(__xludf.DUMMYFUNCTION("""COMPUTED_VALUE"""),"")</f>
        <v/>
      </c>
      <c r="J2947" s="15"/>
      <c r="L2947" s="18"/>
      <c r="M2947" s="19"/>
      <c r="N2947" s="19"/>
    </row>
    <row r="2948">
      <c r="A2948" s="14"/>
      <c r="B2948" s="15" t="str">
        <f>IFERROR(__xludf.DUMMYFUNCTION("""COMPUTED_VALUE"""),"")</f>
        <v/>
      </c>
      <c r="C2948" s="15"/>
      <c r="D2948" s="15"/>
      <c r="E2948" s="15"/>
      <c r="F2948" s="15"/>
      <c r="G2948" s="15"/>
      <c r="H2948" s="15"/>
      <c r="I2948" s="17" t="str">
        <f>IFERROR(__xludf.DUMMYFUNCTION("""COMPUTED_VALUE"""),"")</f>
        <v/>
      </c>
      <c r="J2948" s="15"/>
      <c r="L2948" s="18"/>
      <c r="M2948" s="19"/>
      <c r="N2948" s="19"/>
    </row>
    <row r="2949">
      <c r="A2949" s="14"/>
      <c r="B2949" s="15" t="str">
        <f>IFERROR(__xludf.DUMMYFUNCTION("""COMPUTED_VALUE"""),"")</f>
        <v/>
      </c>
      <c r="C2949" s="15"/>
      <c r="D2949" s="15"/>
      <c r="E2949" s="15"/>
      <c r="F2949" s="15"/>
      <c r="G2949" s="15"/>
      <c r="H2949" s="15"/>
      <c r="I2949" s="17" t="str">
        <f>IFERROR(__xludf.DUMMYFUNCTION("""COMPUTED_VALUE"""),"")</f>
        <v/>
      </c>
      <c r="J2949" s="15"/>
      <c r="L2949" s="18"/>
      <c r="M2949" s="19"/>
      <c r="N2949" s="19"/>
    </row>
    <row r="2950">
      <c r="A2950" s="14"/>
      <c r="B2950" s="15" t="str">
        <f>IFERROR(__xludf.DUMMYFUNCTION("""COMPUTED_VALUE"""),"")</f>
        <v/>
      </c>
      <c r="C2950" s="15"/>
      <c r="D2950" s="15"/>
      <c r="E2950" s="15"/>
      <c r="F2950" s="15"/>
      <c r="G2950" s="15"/>
      <c r="H2950" s="15"/>
      <c r="I2950" s="17" t="str">
        <f>IFERROR(__xludf.DUMMYFUNCTION("""COMPUTED_VALUE"""),"")</f>
        <v/>
      </c>
      <c r="J2950" s="15"/>
      <c r="L2950" s="18"/>
      <c r="M2950" s="19"/>
      <c r="N2950" s="19"/>
    </row>
    <row r="2951">
      <c r="A2951" s="14"/>
      <c r="B2951" s="15" t="str">
        <f>IFERROR(__xludf.DUMMYFUNCTION("""COMPUTED_VALUE"""),"")</f>
        <v/>
      </c>
      <c r="C2951" s="15"/>
      <c r="D2951" s="15"/>
      <c r="E2951" s="15"/>
      <c r="F2951" s="15"/>
      <c r="G2951" s="15"/>
      <c r="H2951" s="15"/>
      <c r="I2951" s="17" t="str">
        <f>IFERROR(__xludf.DUMMYFUNCTION("""COMPUTED_VALUE"""),"")</f>
        <v/>
      </c>
      <c r="J2951" s="15"/>
      <c r="L2951" s="18"/>
      <c r="M2951" s="19"/>
      <c r="N2951" s="19"/>
    </row>
    <row r="2952">
      <c r="A2952" s="14"/>
      <c r="B2952" s="15" t="str">
        <f>IFERROR(__xludf.DUMMYFUNCTION("""COMPUTED_VALUE"""),"")</f>
        <v/>
      </c>
      <c r="C2952" s="15"/>
      <c r="D2952" s="15"/>
      <c r="E2952" s="15"/>
      <c r="F2952" s="15"/>
      <c r="G2952" s="15"/>
      <c r="H2952" s="15"/>
      <c r="I2952" s="17" t="str">
        <f>IFERROR(__xludf.DUMMYFUNCTION("""COMPUTED_VALUE"""),"")</f>
        <v/>
      </c>
      <c r="J2952" s="15"/>
      <c r="L2952" s="18"/>
      <c r="M2952" s="19"/>
      <c r="N2952" s="19"/>
    </row>
    <row r="2953">
      <c r="A2953" s="14"/>
      <c r="B2953" s="15" t="str">
        <f>IFERROR(__xludf.DUMMYFUNCTION("""COMPUTED_VALUE"""),"")</f>
        <v/>
      </c>
      <c r="C2953" s="15"/>
      <c r="D2953" s="15"/>
      <c r="E2953" s="15"/>
      <c r="F2953" s="15"/>
      <c r="G2953" s="15"/>
      <c r="H2953" s="15"/>
      <c r="I2953" s="17" t="str">
        <f>IFERROR(__xludf.DUMMYFUNCTION("""COMPUTED_VALUE"""),"")</f>
        <v/>
      </c>
      <c r="J2953" s="15"/>
      <c r="L2953" s="18"/>
      <c r="M2953" s="19"/>
      <c r="N2953" s="19"/>
    </row>
    <row r="2954">
      <c r="A2954" s="14"/>
      <c r="B2954" s="15" t="str">
        <f>IFERROR(__xludf.DUMMYFUNCTION("""COMPUTED_VALUE"""),"")</f>
        <v/>
      </c>
      <c r="C2954" s="15"/>
      <c r="D2954" s="15"/>
      <c r="E2954" s="15"/>
      <c r="F2954" s="15"/>
      <c r="G2954" s="15"/>
      <c r="H2954" s="15"/>
      <c r="I2954" s="17" t="str">
        <f>IFERROR(__xludf.DUMMYFUNCTION("""COMPUTED_VALUE"""),"")</f>
        <v/>
      </c>
      <c r="J2954" s="15"/>
      <c r="L2954" s="18"/>
      <c r="M2954" s="19"/>
      <c r="N2954" s="19"/>
    </row>
    <row r="2955">
      <c r="A2955" s="14"/>
      <c r="B2955" s="15" t="str">
        <f>IFERROR(__xludf.DUMMYFUNCTION("""COMPUTED_VALUE"""),"")</f>
        <v/>
      </c>
      <c r="C2955" s="15"/>
      <c r="D2955" s="15"/>
      <c r="E2955" s="15"/>
      <c r="F2955" s="15"/>
      <c r="G2955" s="15"/>
      <c r="H2955" s="15"/>
      <c r="I2955" s="17" t="str">
        <f>IFERROR(__xludf.DUMMYFUNCTION("""COMPUTED_VALUE"""),"")</f>
        <v/>
      </c>
      <c r="J2955" s="15"/>
      <c r="L2955" s="18"/>
      <c r="M2955" s="19"/>
      <c r="N2955" s="19"/>
    </row>
    <row r="2956">
      <c r="A2956" s="14"/>
      <c r="B2956" s="15" t="str">
        <f>IFERROR(__xludf.DUMMYFUNCTION("""COMPUTED_VALUE"""),"")</f>
        <v/>
      </c>
      <c r="C2956" s="15"/>
      <c r="D2956" s="15"/>
      <c r="E2956" s="15"/>
      <c r="F2956" s="15"/>
      <c r="G2956" s="15"/>
      <c r="H2956" s="15"/>
      <c r="I2956" s="17" t="str">
        <f>IFERROR(__xludf.DUMMYFUNCTION("""COMPUTED_VALUE"""),"")</f>
        <v/>
      </c>
      <c r="J2956" s="15"/>
      <c r="L2956" s="18"/>
      <c r="M2956" s="19"/>
      <c r="N2956" s="19"/>
    </row>
    <row r="2957">
      <c r="A2957" s="14"/>
      <c r="B2957" s="15" t="str">
        <f>IFERROR(__xludf.DUMMYFUNCTION("""COMPUTED_VALUE"""),"")</f>
        <v/>
      </c>
      <c r="C2957" s="15"/>
      <c r="D2957" s="15"/>
      <c r="E2957" s="15"/>
      <c r="F2957" s="15"/>
      <c r="G2957" s="15"/>
      <c r="H2957" s="15"/>
      <c r="I2957" s="17" t="str">
        <f>IFERROR(__xludf.DUMMYFUNCTION("""COMPUTED_VALUE"""),"")</f>
        <v/>
      </c>
      <c r="J2957" s="15"/>
      <c r="L2957" s="18"/>
      <c r="M2957" s="19"/>
      <c r="N2957" s="19"/>
    </row>
    <row r="2958">
      <c r="A2958" s="14"/>
      <c r="B2958" s="15" t="str">
        <f>IFERROR(__xludf.DUMMYFUNCTION("""COMPUTED_VALUE"""),"")</f>
        <v/>
      </c>
      <c r="C2958" s="15"/>
      <c r="D2958" s="15"/>
      <c r="E2958" s="15"/>
      <c r="F2958" s="15"/>
      <c r="G2958" s="15"/>
      <c r="H2958" s="15"/>
      <c r="I2958" s="17" t="str">
        <f>IFERROR(__xludf.DUMMYFUNCTION("""COMPUTED_VALUE"""),"")</f>
        <v/>
      </c>
      <c r="J2958" s="15"/>
      <c r="L2958" s="18"/>
      <c r="M2958" s="19"/>
      <c r="N2958" s="19"/>
    </row>
    <row r="2959">
      <c r="A2959" s="14"/>
      <c r="B2959" s="15" t="str">
        <f>IFERROR(__xludf.DUMMYFUNCTION("""COMPUTED_VALUE"""),"")</f>
        <v/>
      </c>
      <c r="C2959" s="15"/>
      <c r="D2959" s="15"/>
      <c r="E2959" s="15"/>
      <c r="F2959" s="15"/>
      <c r="G2959" s="15"/>
      <c r="H2959" s="15"/>
      <c r="I2959" s="17" t="str">
        <f>IFERROR(__xludf.DUMMYFUNCTION("""COMPUTED_VALUE"""),"")</f>
        <v/>
      </c>
      <c r="J2959" s="15"/>
      <c r="L2959" s="18"/>
      <c r="M2959" s="19"/>
      <c r="N2959" s="19"/>
    </row>
    <row r="2960">
      <c r="A2960" s="14"/>
      <c r="B2960" s="15" t="str">
        <f>IFERROR(__xludf.DUMMYFUNCTION("""COMPUTED_VALUE"""),"")</f>
        <v/>
      </c>
      <c r="C2960" s="15"/>
      <c r="D2960" s="15"/>
      <c r="E2960" s="15"/>
      <c r="F2960" s="15"/>
      <c r="G2960" s="15"/>
      <c r="H2960" s="15"/>
      <c r="I2960" s="17" t="str">
        <f>IFERROR(__xludf.DUMMYFUNCTION("""COMPUTED_VALUE"""),"")</f>
        <v/>
      </c>
      <c r="J2960" s="15"/>
      <c r="L2960" s="18"/>
      <c r="M2960" s="19"/>
      <c r="N2960" s="19"/>
    </row>
    <row r="2961">
      <c r="A2961" s="14"/>
      <c r="B2961" s="15" t="str">
        <f>IFERROR(__xludf.DUMMYFUNCTION("""COMPUTED_VALUE"""),"")</f>
        <v/>
      </c>
      <c r="C2961" s="15"/>
      <c r="D2961" s="15"/>
      <c r="E2961" s="15"/>
      <c r="F2961" s="15"/>
      <c r="G2961" s="15"/>
      <c r="H2961" s="15"/>
      <c r="I2961" s="17" t="str">
        <f>IFERROR(__xludf.DUMMYFUNCTION("""COMPUTED_VALUE"""),"")</f>
        <v/>
      </c>
      <c r="J2961" s="15"/>
      <c r="L2961" s="18"/>
      <c r="M2961" s="19"/>
      <c r="N2961" s="19"/>
    </row>
    <row r="2962">
      <c r="A2962" s="14"/>
      <c r="B2962" s="15" t="str">
        <f>IFERROR(__xludf.DUMMYFUNCTION("""COMPUTED_VALUE"""),"")</f>
        <v/>
      </c>
      <c r="C2962" s="15"/>
      <c r="D2962" s="15"/>
      <c r="E2962" s="15"/>
      <c r="F2962" s="15"/>
      <c r="G2962" s="15"/>
      <c r="H2962" s="15"/>
      <c r="I2962" s="17" t="str">
        <f>IFERROR(__xludf.DUMMYFUNCTION("""COMPUTED_VALUE"""),"")</f>
        <v/>
      </c>
      <c r="J2962" s="15"/>
      <c r="L2962" s="18"/>
      <c r="M2962" s="19"/>
      <c r="N2962" s="19"/>
    </row>
    <row r="2963">
      <c r="A2963" s="14"/>
      <c r="B2963" s="15" t="str">
        <f>IFERROR(__xludf.DUMMYFUNCTION("""COMPUTED_VALUE"""),"")</f>
        <v/>
      </c>
      <c r="C2963" s="15"/>
      <c r="D2963" s="15"/>
      <c r="E2963" s="15"/>
      <c r="F2963" s="15"/>
      <c r="G2963" s="15"/>
      <c r="H2963" s="15"/>
      <c r="I2963" s="17" t="str">
        <f>IFERROR(__xludf.DUMMYFUNCTION("""COMPUTED_VALUE"""),"")</f>
        <v/>
      </c>
      <c r="J2963" s="15"/>
      <c r="L2963" s="18"/>
      <c r="M2963" s="19"/>
      <c r="N2963" s="19"/>
    </row>
    <row r="2964">
      <c r="A2964" s="14"/>
      <c r="B2964" s="15" t="str">
        <f>IFERROR(__xludf.DUMMYFUNCTION("""COMPUTED_VALUE"""),"")</f>
        <v/>
      </c>
      <c r="C2964" s="15"/>
      <c r="D2964" s="15"/>
      <c r="E2964" s="15"/>
      <c r="F2964" s="15"/>
      <c r="G2964" s="15"/>
      <c r="H2964" s="15"/>
      <c r="I2964" s="17" t="str">
        <f>IFERROR(__xludf.DUMMYFUNCTION("""COMPUTED_VALUE"""),"")</f>
        <v/>
      </c>
      <c r="J2964" s="15"/>
      <c r="L2964" s="18"/>
      <c r="M2964" s="19"/>
      <c r="N2964" s="19"/>
    </row>
    <row r="2965">
      <c r="A2965" s="14"/>
      <c r="B2965" s="15" t="str">
        <f>IFERROR(__xludf.DUMMYFUNCTION("""COMPUTED_VALUE"""),"")</f>
        <v/>
      </c>
      <c r="C2965" s="15"/>
      <c r="D2965" s="15"/>
      <c r="E2965" s="15"/>
      <c r="F2965" s="15"/>
      <c r="G2965" s="15"/>
      <c r="H2965" s="15"/>
      <c r="I2965" s="17" t="str">
        <f>IFERROR(__xludf.DUMMYFUNCTION("""COMPUTED_VALUE"""),"")</f>
        <v/>
      </c>
      <c r="J2965" s="15"/>
      <c r="L2965" s="18"/>
      <c r="M2965" s="19"/>
      <c r="N2965" s="19"/>
    </row>
    <row r="2966">
      <c r="A2966" s="14"/>
      <c r="B2966" s="15" t="str">
        <f>IFERROR(__xludf.DUMMYFUNCTION("""COMPUTED_VALUE"""),"")</f>
        <v/>
      </c>
      <c r="C2966" s="15"/>
      <c r="D2966" s="15"/>
      <c r="E2966" s="15"/>
      <c r="F2966" s="15"/>
      <c r="G2966" s="15"/>
      <c r="H2966" s="15"/>
      <c r="I2966" s="17" t="str">
        <f>IFERROR(__xludf.DUMMYFUNCTION("""COMPUTED_VALUE"""),"")</f>
        <v/>
      </c>
      <c r="J2966" s="15"/>
      <c r="L2966" s="18"/>
      <c r="M2966" s="19"/>
      <c r="N2966" s="19"/>
    </row>
    <row r="2967">
      <c r="A2967" s="14"/>
      <c r="B2967" s="15" t="str">
        <f>IFERROR(__xludf.DUMMYFUNCTION("""COMPUTED_VALUE"""),"")</f>
        <v/>
      </c>
      <c r="C2967" s="15"/>
      <c r="D2967" s="15"/>
      <c r="E2967" s="15"/>
      <c r="F2967" s="15"/>
      <c r="G2967" s="15"/>
      <c r="H2967" s="15"/>
      <c r="I2967" s="17" t="str">
        <f>IFERROR(__xludf.DUMMYFUNCTION("""COMPUTED_VALUE"""),"")</f>
        <v/>
      </c>
      <c r="J2967" s="15"/>
      <c r="L2967" s="18"/>
      <c r="M2967" s="19"/>
      <c r="N2967" s="19"/>
    </row>
    <row r="2968">
      <c r="A2968" s="14"/>
      <c r="B2968" s="15" t="str">
        <f>IFERROR(__xludf.DUMMYFUNCTION("""COMPUTED_VALUE"""),"")</f>
        <v/>
      </c>
      <c r="C2968" s="15"/>
      <c r="D2968" s="15"/>
      <c r="E2968" s="15"/>
      <c r="F2968" s="15"/>
      <c r="G2968" s="15"/>
      <c r="H2968" s="15"/>
      <c r="I2968" s="17" t="str">
        <f>IFERROR(__xludf.DUMMYFUNCTION("""COMPUTED_VALUE"""),"")</f>
        <v/>
      </c>
      <c r="J2968" s="15"/>
      <c r="L2968" s="18"/>
      <c r="M2968" s="19"/>
      <c r="N2968" s="19"/>
    </row>
    <row r="2969">
      <c r="A2969" s="14"/>
      <c r="B2969" s="15" t="str">
        <f>IFERROR(__xludf.DUMMYFUNCTION("""COMPUTED_VALUE"""),"")</f>
        <v/>
      </c>
      <c r="C2969" s="15"/>
      <c r="D2969" s="15"/>
      <c r="E2969" s="15"/>
      <c r="F2969" s="15"/>
      <c r="G2969" s="15"/>
      <c r="H2969" s="15"/>
      <c r="I2969" s="17" t="str">
        <f>IFERROR(__xludf.DUMMYFUNCTION("""COMPUTED_VALUE"""),"")</f>
        <v/>
      </c>
      <c r="J2969" s="15"/>
      <c r="L2969" s="18"/>
      <c r="M2969" s="19"/>
      <c r="N2969" s="19"/>
    </row>
    <row r="2970">
      <c r="A2970" s="14"/>
      <c r="B2970" s="15" t="str">
        <f>IFERROR(__xludf.DUMMYFUNCTION("""COMPUTED_VALUE"""),"")</f>
        <v/>
      </c>
      <c r="C2970" s="15"/>
      <c r="D2970" s="15"/>
      <c r="E2970" s="15"/>
      <c r="F2970" s="15"/>
      <c r="G2970" s="15"/>
      <c r="H2970" s="15"/>
      <c r="I2970" s="17" t="str">
        <f>IFERROR(__xludf.DUMMYFUNCTION("""COMPUTED_VALUE"""),"")</f>
        <v/>
      </c>
      <c r="J2970" s="15"/>
      <c r="L2970" s="18"/>
      <c r="M2970" s="19"/>
      <c r="N2970" s="19"/>
    </row>
    <row r="2971">
      <c r="A2971" s="14"/>
      <c r="B2971" s="15" t="str">
        <f>IFERROR(__xludf.DUMMYFUNCTION("""COMPUTED_VALUE"""),"")</f>
        <v/>
      </c>
      <c r="C2971" s="15"/>
      <c r="D2971" s="15"/>
      <c r="E2971" s="15"/>
      <c r="F2971" s="15"/>
      <c r="G2971" s="15"/>
      <c r="H2971" s="15"/>
      <c r="I2971" s="17" t="str">
        <f>IFERROR(__xludf.DUMMYFUNCTION("""COMPUTED_VALUE"""),"")</f>
        <v/>
      </c>
      <c r="J2971" s="15"/>
      <c r="L2971" s="18"/>
      <c r="M2971" s="19"/>
      <c r="N2971" s="19"/>
    </row>
    <row r="2972">
      <c r="A2972" s="14"/>
      <c r="B2972" s="15" t="str">
        <f>IFERROR(__xludf.DUMMYFUNCTION("""COMPUTED_VALUE"""),"")</f>
        <v/>
      </c>
      <c r="C2972" s="15"/>
      <c r="D2972" s="15"/>
      <c r="E2972" s="15"/>
      <c r="F2972" s="15"/>
      <c r="G2972" s="15"/>
      <c r="H2972" s="15"/>
      <c r="I2972" s="17" t="str">
        <f>IFERROR(__xludf.DUMMYFUNCTION("""COMPUTED_VALUE"""),"")</f>
        <v/>
      </c>
      <c r="J2972" s="15"/>
      <c r="L2972" s="18"/>
      <c r="M2972" s="19"/>
      <c r="N2972" s="19"/>
    </row>
    <row r="2973">
      <c r="A2973" s="14"/>
      <c r="B2973" s="15" t="str">
        <f>IFERROR(__xludf.DUMMYFUNCTION("""COMPUTED_VALUE"""),"")</f>
        <v/>
      </c>
      <c r="C2973" s="15"/>
      <c r="D2973" s="15"/>
      <c r="E2973" s="15"/>
      <c r="F2973" s="15"/>
      <c r="G2973" s="15"/>
      <c r="H2973" s="15"/>
      <c r="I2973" s="17" t="str">
        <f>IFERROR(__xludf.DUMMYFUNCTION("""COMPUTED_VALUE"""),"")</f>
        <v/>
      </c>
      <c r="J2973" s="15"/>
      <c r="L2973" s="18"/>
      <c r="M2973" s="19"/>
      <c r="N2973" s="19"/>
    </row>
    <row r="2974">
      <c r="A2974" s="14"/>
      <c r="B2974" s="15" t="str">
        <f>IFERROR(__xludf.DUMMYFUNCTION("""COMPUTED_VALUE"""),"")</f>
        <v/>
      </c>
      <c r="C2974" s="15"/>
      <c r="D2974" s="15"/>
      <c r="E2974" s="15"/>
      <c r="F2974" s="15"/>
      <c r="G2974" s="15"/>
      <c r="H2974" s="15"/>
      <c r="I2974" s="17" t="str">
        <f>IFERROR(__xludf.DUMMYFUNCTION("""COMPUTED_VALUE"""),"")</f>
        <v/>
      </c>
      <c r="J2974" s="15"/>
      <c r="L2974" s="18"/>
      <c r="M2974" s="19"/>
      <c r="N2974" s="19"/>
    </row>
    <row r="2975">
      <c r="A2975" s="14"/>
      <c r="B2975" s="15" t="str">
        <f>IFERROR(__xludf.DUMMYFUNCTION("""COMPUTED_VALUE"""),"")</f>
        <v/>
      </c>
      <c r="C2975" s="15"/>
      <c r="D2975" s="15"/>
      <c r="E2975" s="15"/>
      <c r="F2975" s="15"/>
      <c r="G2975" s="15"/>
      <c r="H2975" s="15"/>
      <c r="I2975" s="17" t="str">
        <f>IFERROR(__xludf.DUMMYFUNCTION("""COMPUTED_VALUE"""),"")</f>
        <v/>
      </c>
      <c r="J2975" s="15"/>
      <c r="L2975" s="18"/>
      <c r="M2975" s="19"/>
      <c r="N2975" s="19"/>
    </row>
    <row r="2976">
      <c r="A2976" s="14"/>
      <c r="B2976" s="15" t="str">
        <f>IFERROR(__xludf.DUMMYFUNCTION("""COMPUTED_VALUE"""),"")</f>
        <v/>
      </c>
      <c r="C2976" s="15"/>
      <c r="D2976" s="15"/>
      <c r="E2976" s="15"/>
      <c r="F2976" s="15"/>
      <c r="G2976" s="15"/>
      <c r="H2976" s="15"/>
      <c r="I2976" s="17" t="str">
        <f>IFERROR(__xludf.DUMMYFUNCTION("""COMPUTED_VALUE"""),"")</f>
        <v/>
      </c>
      <c r="J2976" s="15"/>
      <c r="L2976" s="18"/>
      <c r="M2976" s="19"/>
      <c r="N2976" s="19"/>
    </row>
    <row r="2977">
      <c r="A2977" s="14"/>
      <c r="B2977" s="15" t="str">
        <f>IFERROR(__xludf.DUMMYFUNCTION("""COMPUTED_VALUE"""),"")</f>
        <v/>
      </c>
      <c r="C2977" s="15"/>
      <c r="D2977" s="15"/>
      <c r="E2977" s="15"/>
      <c r="F2977" s="15"/>
      <c r="G2977" s="15"/>
      <c r="H2977" s="15"/>
      <c r="I2977" s="17" t="str">
        <f>IFERROR(__xludf.DUMMYFUNCTION("""COMPUTED_VALUE"""),"")</f>
        <v/>
      </c>
      <c r="J2977" s="15"/>
      <c r="L2977" s="18"/>
      <c r="M2977" s="19"/>
      <c r="N2977" s="19"/>
    </row>
    <row r="2978">
      <c r="A2978" s="14"/>
      <c r="B2978" s="15" t="str">
        <f>IFERROR(__xludf.DUMMYFUNCTION("""COMPUTED_VALUE"""),"")</f>
        <v/>
      </c>
      <c r="C2978" s="15"/>
      <c r="D2978" s="15"/>
      <c r="E2978" s="15"/>
      <c r="F2978" s="15"/>
      <c r="G2978" s="15"/>
      <c r="H2978" s="15"/>
      <c r="I2978" s="17" t="str">
        <f>IFERROR(__xludf.DUMMYFUNCTION("""COMPUTED_VALUE"""),"")</f>
        <v/>
      </c>
      <c r="J2978" s="15"/>
      <c r="L2978" s="18"/>
      <c r="M2978" s="19"/>
      <c r="N2978" s="19"/>
    </row>
    <row r="2979">
      <c r="A2979" s="14"/>
      <c r="B2979" s="15" t="str">
        <f>IFERROR(__xludf.DUMMYFUNCTION("""COMPUTED_VALUE"""),"")</f>
        <v/>
      </c>
      <c r="C2979" s="15"/>
      <c r="D2979" s="15"/>
      <c r="E2979" s="15"/>
      <c r="F2979" s="15"/>
      <c r="G2979" s="15"/>
      <c r="H2979" s="15"/>
      <c r="I2979" s="17" t="str">
        <f>IFERROR(__xludf.DUMMYFUNCTION("""COMPUTED_VALUE"""),"")</f>
        <v/>
      </c>
      <c r="J2979" s="15"/>
      <c r="L2979" s="18"/>
      <c r="M2979" s="19"/>
      <c r="N2979" s="19"/>
    </row>
    <row r="2980">
      <c r="A2980" s="14"/>
      <c r="B2980" s="15" t="str">
        <f>IFERROR(__xludf.DUMMYFUNCTION("""COMPUTED_VALUE"""),"")</f>
        <v/>
      </c>
      <c r="C2980" s="15"/>
      <c r="D2980" s="15"/>
      <c r="E2980" s="15"/>
      <c r="F2980" s="15"/>
      <c r="G2980" s="15"/>
      <c r="H2980" s="15"/>
      <c r="I2980" s="17" t="str">
        <f>IFERROR(__xludf.DUMMYFUNCTION("""COMPUTED_VALUE"""),"")</f>
        <v/>
      </c>
      <c r="J2980" s="15"/>
      <c r="L2980" s="18"/>
      <c r="M2980" s="19"/>
      <c r="N2980" s="19"/>
    </row>
    <row r="2981">
      <c r="A2981" s="14"/>
      <c r="B2981" s="15" t="str">
        <f>IFERROR(__xludf.DUMMYFUNCTION("""COMPUTED_VALUE"""),"")</f>
        <v/>
      </c>
      <c r="C2981" s="15"/>
      <c r="D2981" s="15"/>
      <c r="E2981" s="15"/>
      <c r="F2981" s="15"/>
      <c r="G2981" s="15"/>
      <c r="H2981" s="15"/>
      <c r="I2981" s="17" t="str">
        <f>IFERROR(__xludf.DUMMYFUNCTION("""COMPUTED_VALUE"""),"")</f>
        <v/>
      </c>
      <c r="J2981" s="15"/>
      <c r="L2981" s="18"/>
      <c r="M2981" s="19"/>
      <c r="N2981" s="19"/>
    </row>
    <row r="2982">
      <c r="A2982" s="14"/>
      <c r="B2982" s="15" t="str">
        <f>IFERROR(__xludf.DUMMYFUNCTION("""COMPUTED_VALUE"""),"")</f>
        <v/>
      </c>
      <c r="C2982" s="15"/>
      <c r="D2982" s="15"/>
      <c r="E2982" s="15"/>
      <c r="F2982" s="15"/>
      <c r="G2982" s="15"/>
      <c r="H2982" s="15"/>
      <c r="I2982" s="17" t="str">
        <f>IFERROR(__xludf.DUMMYFUNCTION("""COMPUTED_VALUE"""),"")</f>
        <v/>
      </c>
      <c r="J2982" s="15"/>
      <c r="L2982" s="18"/>
      <c r="M2982" s="19"/>
      <c r="N2982" s="19"/>
    </row>
    <row r="2983">
      <c r="A2983" s="14"/>
      <c r="B2983" s="15" t="str">
        <f>IFERROR(__xludf.DUMMYFUNCTION("""COMPUTED_VALUE"""),"")</f>
        <v/>
      </c>
      <c r="C2983" s="15"/>
      <c r="D2983" s="15"/>
      <c r="E2983" s="15"/>
      <c r="F2983" s="15"/>
      <c r="G2983" s="15"/>
      <c r="H2983" s="15"/>
      <c r="I2983" s="17" t="str">
        <f>IFERROR(__xludf.DUMMYFUNCTION("""COMPUTED_VALUE"""),"")</f>
        <v/>
      </c>
      <c r="J2983" s="15"/>
      <c r="L2983" s="18"/>
      <c r="M2983" s="19"/>
      <c r="N2983" s="19"/>
    </row>
    <row r="2984">
      <c r="A2984" s="14"/>
      <c r="B2984" s="15" t="str">
        <f>IFERROR(__xludf.DUMMYFUNCTION("""COMPUTED_VALUE"""),"")</f>
        <v/>
      </c>
      <c r="C2984" s="15"/>
      <c r="D2984" s="15"/>
      <c r="E2984" s="15"/>
      <c r="F2984" s="15"/>
      <c r="G2984" s="15"/>
      <c r="H2984" s="15"/>
      <c r="I2984" s="17" t="str">
        <f>IFERROR(__xludf.DUMMYFUNCTION("""COMPUTED_VALUE"""),"")</f>
        <v/>
      </c>
      <c r="J2984" s="15"/>
      <c r="L2984" s="18"/>
      <c r="M2984" s="19"/>
      <c r="N2984" s="19"/>
    </row>
    <row r="2985">
      <c r="A2985" s="14"/>
      <c r="B2985" s="15" t="str">
        <f>IFERROR(__xludf.DUMMYFUNCTION("""COMPUTED_VALUE"""),"")</f>
        <v/>
      </c>
      <c r="C2985" s="15"/>
      <c r="D2985" s="15"/>
      <c r="E2985" s="15"/>
      <c r="F2985" s="15"/>
      <c r="G2985" s="15"/>
      <c r="H2985" s="15"/>
      <c r="I2985" s="17" t="str">
        <f>IFERROR(__xludf.DUMMYFUNCTION("""COMPUTED_VALUE"""),"")</f>
        <v/>
      </c>
      <c r="J2985" s="15"/>
      <c r="L2985" s="18"/>
      <c r="M2985" s="19"/>
      <c r="N2985" s="19"/>
    </row>
    <row r="2986">
      <c r="A2986" s="14"/>
      <c r="B2986" s="15" t="str">
        <f>IFERROR(__xludf.DUMMYFUNCTION("""COMPUTED_VALUE"""),"")</f>
        <v/>
      </c>
      <c r="C2986" s="15"/>
      <c r="D2986" s="15"/>
      <c r="E2986" s="15"/>
      <c r="F2986" s="15"/>
      <c r="G2986" s="15"/>
      <c r="H2986" s="15"/>
      <c r="I2986" s="17" t="str">
        <f>IFERROR(__xludf.DUMMYFUNCTION("""COMPUTED_VALUE"""),"")</f>
        <v/>
      </c>
      <c r="J2986" s="15"/>
      <c r="L2986" s="18"/>
      <c r="M2986" s="19"/>
      <c r="N2986" s="19"/>
    </row>
    <row r="2987">
      <c r="A2987" s="14"/>
      <c r="B2987" s="15" t="str">
        <f>IFERROR(__xludf.DUMMYFUNCTION("""COMPUTED_VALUE"""),"")</f>
        <v/>
      </c>
      <c r="C2987" s="15"/>
      <c r="D2987" s="15"/>
      <c r="E2987" s="15"/>
      <c r="F2987" s="15"/>
      <c r="G2987" s="15"/>
      <c r="H2987" s="15"/>
      <c r="I2987" s="17" t="str">
        <f>IFERROR(__xludf.DUMMYFUNCTION("""COMPUTED_VALUE"""),"")</f>
        <v/>
      </c>
      <c r="J2987" s="15"/>
      <c r="L2987" s="18"/>
      <c r="M2987" s="19"/>
      <c r="N2987" s="19"/>
    </row>
    <row r="2988">
      <c r="A2988" s="14"/>
      <c r="B2988" s="15"/>
      <c r="C2988" s="15"/>
      <c r="D2988" s="15"/>
      <c r="E2988" s="15"/>
      <c r="F2988" s="15"/>
      <c r="G2988" s="15"/>
      <c r="H2988" s="15"/>
      <c r="I2988" s="17" t="str">
        <f>IFERROR(__xludf.DUMMYFUNCTION("""COMPUTED_VALUE"""),"")</f>
        <v/>
      </c>
      <c r="J2988" s="15"/>
      <c r="L2988" s="18"/>
      <c r="M2988" s="19"/>
      <c r="N2988" s="19"/>
    </row>
    <row r="2989">
      <c r="A2989" s="14"/>
      <c r="B2989" s="15"/>
      <c r="C2989" s="15"/>
      <c r="D2989" s="15"/>
      <c r="E2989" s="15"/>
      <c r="F2989" s="15"/>
      <c r="G2989" s="15"/>
      <c r="H2989" s="15"/>
      <c r="I2989" s="17" t="str">
        <f>IFERROR(__xludf.DUMMYFUNCTION("""COMPUTED_VALUE"""),"")</f>
        <v/>
      </c>
      <c r="J2989" s="15"/>
      <c r="L2989" s="18"/>
      <c r="M2989" s="19"/>
      <c r="N2989" s="19"/>
    </row>
    <row r="2990">
      <c r="A2990" s="14"/>
      <c r="B2990" s="15"/>
      <c r="C2990" s="15"/>
      <c r="D2990" s="15"/>
      <c r="E2990" s="15"/>
      <c r="F2990" s="15"/>
      <c r="G2990" s="15"/>
      <c r="H2990" s="15"/>
      <c r="I2990" s="17" t="str">
        <f>IFERROR(__xludf.DUMMYFUNCTION("""COMPUTED_VALUE"""),"")</f>
        <v/>
      </c>
      <c r="J2990" s="15"/>
      <c r="L2990" s="18"/>
      <c r="M2990" s="19"/>
      <c r="N2990" s="19"/>
    </row>
    <row r="2991">
      <c r="A2991" s="14"/>
      <c r="B2991" s="15"/>
      <c r="C2991" s="15"/>
      <c r="D2991" s="15"/>
      <c r="E2991" s="15"/>
      <c r="F2991" s="15"/>
      <c r="G2991" s="15"/>
      <c r="H2991" s="15"/>
      <c r="I2991" s="17" t="str">
        <f>IFERROR(__xludf.DUMMYFUNCTION("""COMPUTED_VALUE"""),"")</f>
        <v/>
      </c>
      <c r="J2991" s="15"/>
      <c r="L2991" s="18"/>
      <c r="M2991" s="19"/>
      <c r="N2991" s="19"/>
    </row>
    <row r="2992">
      <c r="A2992" s="14"/>
      <c r="B2992" s="15"/>
      <c r="C2992" s="15"/>
      <c r="D2992" s="15"/>
      <c r="E2992" s="15"/>
      <c r="F2992" s="15"/>
      <c r="G2992" s="15"/>
      <c r="H2992" s="15"/>
      <c r="I2992" s="17" t="str">
        <f>IFERROR(__xludf.DUMMYFUNCTION("""COMPUTED_VALUE"""),"")</f>
        <v/>
      </c>
      <c r="J2992" s="15"/>
      <c r="L2992" s="18"/>
      <c r="M2992" s="19"/>
      <c r="N2992" s="19"/>
    </row>
    <row r="2993">
      <c r="A2993" s="14"/>
      <c r="B2993" s="15"/>
      <c r="C2993" s="15"/>
      <c r="D2993" s="15"/>
      <c r="E2993" s="15"/>
      <c r="F2993" s="15"/>
      <c r="G2993" s="15"/>
      <c r="H2993" s="15"/>
      <c r="I2993" s="17" t="str">
        <f>IFERROR(__xludf.DUMMYFUNCTION("""COMPUTED_VALUE"""),"")</f>
        <v/>
      </c>
      <c r="J2993" s="15"/>
      <c r="L2993" s="18"/>
      <c r="M2993" s="19"/>
      <c r="N2993" s="19"/>
    </row>
    <row r="2994">
      <c r="A2994" s="14"/>
      <c r="B2994" s="15"/>
      <c r="C2994" s="15"/>
      <c r="D2994" s="15"/>
      <c r="E2994" s="15"/>
      <c r="F2994" s="15"/>
      <c r="G2994" s="15"/>
      <c r="H2994" s="15"/>
      <c r="I2994" s="17" t="str">
        <f>IFERROR(__xludf.DUMMYFUNCTION("""COMPUTED_VALUE"""),"")</f>
        <v/>
      </c>
      <c r="J2994" s="15"/>
      <c r="L2994" s="18"/>
      <c r="M2994" s="19"/>
      <c r="N2994" s="19"/>
    </row>
    <row r="2995">
      <c r="A2995" s="14"/>
      <c r="B2995" s="15"/>
      <c r="C2995" s="15"/>
      <c r="D2995" s="15"/>
      <c r="E2995" s="15"/>
      <c r="F2995" s="15"/>
      <c r="G2995" s="15"/>
      <c r="H2995" s="15"/>
      <c r="I2995" s="17" t="str">
        <f>IFERROR(__xludf.DUMMYFUNCTION("""COMPUTED_VALUE"""),"")</f>
        <v/>
      </c>
      <c r="J2995" s="15"/>
      <c r="L2995" s="18"/>
      <c r="M2995" s="19"/>
      <c r="N2995" s="19"/>
    </row>
    <row r="2996">
      <c r="A2996" s="14"/>
      <c r="B2996" s="15"/>
      <c r="C2996" s="15"/>
      <c r="D2996" s="15"/>
      <c r="E2996" s="15"/>
      <c r="F2996" s="15"/>
      <c r="G2996" s="15"/>
      <c r="H2996" s="15"/>
      <c r="I2996" s="17" t="str">
        <f>IFERROR(__xludf.DUMMYFUNCTION("""COMPUTED_VALUE"""),"")</f>
        <v/>
      </c>
      <c r="J2996" s="15"/>
      <c r="L2996" s="18"/>
      <c r="M2996" s="19"/>
      <c r="N2996" s="19"/>
    </row>
    <row r="2997">
      <c r="A2997" s="14"/>
      <c r="B2997" s="15"/>
      <c r="C2997" s="15"/>
      <c r="D2997" s="15"/>
      <c r="E2997" s="15"/>
      <c r="F2997" s="15"/>
      <c r="G2997" s="15"/>
      <c r="H2997" s="15"/>
      <c r="I2997" s="17" t="str">
        <f>IFERROR(__xludf.DUMMYFUNCTION("""COMPUTED_VALUE"""),"")</f>
        <v/>
      </c>
      <c r="J2997" s="15"/>
      <c r="L2997" s="18"/>
      <c r="M2997" s="19"/>
      <c r="N2997" s="19"/>
    </row>
    <row r="2998">
      <c r="A2998" s="14"/>
      <c r="B2998" s="15"/>
      <c r="C2998" s="15"/>
      <c r="D2998" s="15"/>
      <c r="E2998" s="15"/>
      <c r="F2998" s="15"/>
      <c r="G2998" s="15"/>
      <c r="H2998" s="15"/>
      <c r="I2998" s="17" t="str">
        <f>IFERROR(__xludf.DUMMYFUNCTION("""COMPUTED_VALUE"""),"")</f>
        <v/>
      </c>
      <c r="J2998" s="15"/>
      <c r="L2998" s="18"/>
      <c r="M2998" s="19"/>
      <c r="N2998" s="19"/>
    </row>
    <row r="2999">
      <c r="A2999" s="14"/>
      <c r="B2999" s="15"/>
      <c r="C2999" s="15"/>
      <c r="D2999" s="15"/>
      <c r="E2999" s="15"/>
      <c r="F2999" s="15"/>
      <c r="G2999" s="15"/>
      <c r="H2999" s="15"/>
      <c r="I2999" s="17" t="str">
        <f>IFERROR(__xludf.DUMMYFUNCTION("""COMPUTED_VALUE"""),"")</f>
        <v/>
      </c>
      <c r="J2999" s="15"/>
      <c r="L2999" s="18"/>
      <c r="M2999" s="19"/>
      <c r="N2999" s="19"/>
    </row>
    <row r="3000">
      <c r="A3000" s="14"/>
      <c r="B3000" s="15"/>
      <c r="C3000" s="15"/>
      <c r="D3000" s="15"/>
      <c r="E3000" s="15"/>
      <c r="F3000" s="15"/>
      <c r="G3000" s="15"/>
      <c r="H3000" s="15"/>
      <c r="I3000" s="15"/>
      <c r="J3000" s="15"/>
      <c r="L3000" s="18"/>
      <c r="M3000" s="19"/>
      <c r="N3000" s="19"/>
    </row>
    <row r="3001">
      <c r="A3001" s="14"/>
      <c r="B3001" s="15"/>
      <c r="C3001" s="15"/>
      <c r="D3001" s="15"/>
      <c r="E3001" s="15"/>
      <c r="F3001" s="15"/>
      <c r="G3001" s="15"/>
      <c r="H3001" s="15"/>
      <c r="I3001" s="15"/>
      <c r="J3001" s="15"/>
      <c r="L3001" s="18"/>
      <c r="M3001" s="19"/>
      <c r="N3001" s="19"/>
    </row>
    <row r="3002">
      <c r="A3002" s="14"/>
      <c r="B3002" s="15"/>
      <c r="C3002" s="15"/>
      <c r="D3002" s="15"/>
      <c r="E3002" s="15"/>
      <c r="F3002" s="15"/>
      <c r="G3002" s="15"/>
      <c r="H3002" s="15"/>
      <c r="I3002" s="15"/>
      <c r="J3002" s="15"/>
      <c r="L3002" s="18"/>
      <c r="M3002" s="19"/>
      <c r="N3002" s="19"/>
    </row>
    <row r="3003">
      <c r="A3003" s="14"/>
      <c r="B3003" s="15"/>
      <c r="C3003" s="15"/>
      <c r="D3003" s="15"/>
      <c r="E3003" s="15"/>
      <c r="F3003" s="15"/>
      <c r="G3003" s="15"/>
      <c r="H3003" s="15"/>
      <c r="I3003" s="15"/>
      <c r="J3003" s="15"/>
      <c r="L3003" s="18"/>
      <c r="M3003" s="19"/>
      <c r="N3003" s="19"/>
    </row>
    <row r="3004">
      <c r="A3004" s="14"/>
      <c r="B3004" s="15"/>
      <c r="C3004" s="15"/>
      <c r="D3004" s="15"/>
      <c r="E3004" s="15"/>
      <c r="F3004" s="15"/>
      <c r="G3004" s="15"/>
      <c r="H3004" s="15"/>
      <c r="I3004" s="15"/>
      <c r="J3004" s="15"/>
      <c r="L3004" s="18"/>
      <c r="M3004" s="19"/>
      <c r="N3004" s="19"/>
    </row>
    <row r="3005">
      <c r="A3005" s="14"/>
      <c r="B3005" s="15"/>
      <c r="C3005" s="15"/>
      <c r="D3005" s="15"/>
      <c r="E3005" s="15"/>
      <c r="F3005" s="15"/>
      <c r="G3005" s="15"/>
      <c r="H3005" s="15"/>
      <c r="I3005" s="15"/>
      <c r="J3005" s="15"/>
      <c r="L3005" s="18"/>
      <c r="M3005" s="19"/>
      <c r="N3005" s="19"/>
    </row>
    <row r="3006">
      <c r="A3006" s="14"/>
      <c r="B3006" s="15"/>
      <c r="C3006" s="15"/>
      <c r="D3006" s="15"/>
      <c r="E3006" s="15"/>
      <c r="F3006" s="15"/>
      <c r="G3006" s="15"/>
      <c r="H3006" s="15"/>
      <c r="I3006" s="15"/>
      <c r="J3006" s="15"/>
      <c r="L3006" s="18"/>
      <c r="M3006" s="19"/>
      <c r="N3006" s="19"/>
    </row>
    <row r="3007">
      <c r="A3007" s="14"/>
      <c r="B3007" s="15"/>
      <c r="C3007" s="15"/>
      <c r="D3007" s="15"/>
      <c r="E3007" s="15"/>
      <c r="F3007" s="15"/>
      <c r="G3007" s="15"/>
      <c r="H3007" s="15"/>
      <c r="I3007" s="15"/>
      <c r="J3007" s="15"/>
      <c r="L3007" s="18"/>
      <c r="M3007" s="19"/>
      <c r="N3007" s="19"/>
    </row>
    <row r="3008">
      <c r="A3008" s="14"/>
      <c r="B3008" s="15"/>
      <c r="C3008" s="15"/>
      <c r="D3008" s="15"/>
      <c r="E3008" s="15"/>
      <c r="F3008" s="15"/>
      <c r="G3008" s="15"/>
      <c r="H3008" s="15"/>
      <c r="I3008" s="15"/>
      <c r="J3008" s="15"/>
      <c r="L3008" s="18"/>
      <c r="M3008" s="19"/>
      <c r="N3008" s="19"/>
    </row>
    <row r="3009">
      <c r="A3009" s="14"/>
      <c r="B3009" s="15"/>
      <c r="C3009" s="15"/>
      <c r="D3009" s="15"/>
      <c r="E3009" s="15"/>
      <c r="F3009" s="15"/>
      <c r="G3009" s="15"/>
      <c r="H3009" s="15"/>
      <c r="I3009" s="15"/>
      <c r="J3009" s="15"/>
      <c r="L3009" s="18"/>
      <c r="M3009" s="19"/>
      <c r="N3009" s="19"/>
    </row>
    <row r="3010">
      <c r="A3010" s="14"/>
      <c r="B3010" s="15"/>
      <c r="C3010" s="15"/>
      <c r="D3010" s="15"/>
      <c r="E3010" s="15"/>
      <c r="F3010" s="15"/>
      <c r="G3010" s="15"/>
      <c r="H3010" s="15"/>
      <c r="I3010" s="15"/>
      <c r="J3010" s="15"/>
      <c r="L3010" s="18"/>
      <c r="M3010" s="19"/>
      <c r="N3010" s="19"/>
    </row>
    <row r="3011">
      <c r="A3011" s="14"/>
      <c r="B3011" s="15"/>
      <c r="C3011" s="15"/>
      <c r="D3011" s="15"/>
      <c r="E3011" s="15"/>
      <c r="F3011" s="15"/>
      <c r="G3011" s="15"/>
      <c r="H3011" s="15"/>
      <c r="I3011" s="15"/>
      <c r="J3011" s="15"/>
      <c r="L3011" s="18"/>
      <c r="M3011" s="19"/>
      <c r="N3011" s="19"/>
    </row>
    <row r="3012">
      <c r="A3012" s="14"/>
      <c r="B3012" s="15"/>
      <c r="C3012" s="15"/>
      <c r="D3012" s="15"/>
      <c r="E3012" s="15"/>
      <c r="F3012" s="15"/>
      <c r="G3012" s="15"/>
      <c r="H3012" s="15"/>
      <c r="I3012" s="15"/>
      <c r="J3012" s="15"/>
      <c r="L3012" s="18"/>
      <c r="M3012" s="19"/>
      <c r="N3012" s="19"/>
    </row>
    <row r="3013">
      <c r="A3013" s="14"/>
      <c r="B3013" s="15"/>
      <c r="C3013" s="15"/>
      <c r="D3013" s="15"/>
      <c r="E3013" s="15"/>
      <c r="F3013" s="15"/>
      <c r="G3013" s="15"/>
      <c r="H3013" s="15"/>
      <c r="I3013" s="15"/>
      <c r="J3013" s="15"/>
      <c r="L3013" s="18"/>
      <c r="M3013" s="19"/>
      <c r="N3013" s="19"/>
    </row>
    <row r="3014">
      <c r="A3014" s="14"/>
      <c r="B3014" s="15"/>
      <c r="C3014" s="15"/>
      <c r="D3014" s="15"/>
      <c r="E3014" s="15"/>
      <c r="F3014" s="15"/>
      <c r="G3014" s="15"/>
      <c r="H3014" s="15"/>
      <c r="I3014" s="15"/>
      <c r="J3014" s="15"/>
      <c r="L3014" s="18"/>
      <c r="M3014" s="19"/>
      <c r="N3014" s="19"/>
    </row>
    <row r="3015">
      <c r="A3015" s="14"/>
      <c r="B3015" s="15"/>
      <c r="C3015" s="15"/>
      <c r="D3015" s="15"/>
      <c r="E3015" s="15"/>
      <c r="F3015" s="15"/>
      <c r="G3015" s="15"/>
      <c r="H3015" s="15"/>
      <c r="I3015" s="15"/>
      <c r="J3015" s="15"/>
      <c r="L3015" s="18"/>
      <c r="M3015" s="19"/>
      <c r="N3015" s="19"/>
    </row>
    <row r="3016">
      <c r="A3016" s="14"/>
      <c r="B3016" s="15"/>
      <c r="C3016" s="15"/>
      <c r="D3016" s="15"/>
      <c r="E3016" s="15"/>
      <c r="F3016" s="15"/>
      <c r="G3016" s="15"/>
      <c r="H3016" s="15"/>
      <c r="I3016" s="15"/>
      <c r="J3016" s="15"/>
      <c r="L3016" s="18"/>
      <c r="M3016" s="19"/>
      <c r="N3016" s="19"/>
    </row>
    <row r="3017">
      <c r="A3017" s="14"/>
      <c r="B3017" s="15"/>
      <c r="C3017" s="15"/>
      <c r="D3017" s="15"/>
      <c r="E3017" s="15"/>
      <c r="F3017" s="15"/>
      <c r="G3017" s="15"/>
      <c r="H3017" s="15"/>
      <c r="I3017" s="15"/>
      <c r="J3017" s="15"/>
      <c r="L3017" s="18"/>
      <c r="M3017" s="19"/>
      <c r="N3017" s="19"/>
    </row>
    <row r="3018">
      <c r="A3018" s="14"/>
      <c r="B3018" s="15"/>
      <c r="C3018" s="15"/>
      <c r="D3018" s="15"/>
      <c r="E3018" s="15"/>
      <c r="F3018" s="15"/>
      <c r="G3018" s="15"/>
      <c r="H3018" s="15"/>
      <c r="I3018" s="15"/>
      <c r="J3018" s="15"/>
      <c r="L3018" s="18"/>
      <c r="M3018" s="19"/>
      <c r="N3018" s="19"/>
    </row>
    <row r="3019">
      <c r="A3019" s="14"/>
      <c r="B3019" s="15"/>
      <c r="C3019" s="15"/>
      <c r="D3019" s="15"/>
      <c r="E3019" s="15"/>
      <c r="F3019" s="15"/>
      <c r="G3019" s="15"/>
      <c r="H3019" s="15"/>
      <c r="I3019" s="15"/>
      <c r="J3019" s="15"/>
      <c r="L3019" s="18"/>
      <c r="M3019" s="19"/>
      <c r="N3019" s="19"/>
    </row>
    <row r="3020">
      <c r="A3020" s="14"/>
      <c r="B3020" s="15"/>
      <c r="C3020" s="15"/>
      <c r="D3020" s="15"/>
      <c r="E3020" s="15"/>
      <c r="F3020" s="15"/>
      <c r="G3020" s="15"/>
      <c r="H3020" s="15"/>
      <c r="I3020" s="15"/>
      <c r="J3020" s="15"/>
      <c r="L3020" s="18"/>
      <c r="M3020" s="19"/>
      <c r="N3020" s="19"/>
    </row>
    <row r="3021">
      <c r="A3021" s="14"/>
      <c r="B3021" s="15"/>
      <c r="C3021" s="15"/>
      <c r="D3021" s="15"/>
      <c r="E3021" s="15"/>
      <c r="F3021" s="15"/>
      <c r="G3021" s="15"/>
      <c r="H3021" s="15"/>
      <c r="I3021" s="15"/>
      <c r="J3021" s="15"/>
      <c r="L3021" s="18"/>
      <c r="M3021" s="19"/>
      <c r="N3021" s="19"/>
    </row>
    <row r="3022">
      <c r="A3022" s="14"/>
      <c r="B3022" s="15"/>
      <c r="C3022" s="15"/>
      <c r="D3022" s="15"/>
      <c r="E3022" s="15"/>
      <c r="F3022" s="15"/>
      <c r="G3022" s="15"/>
      <c r="H3022" s="15"/>
      <c r="I3022" s="15"/>
      <c r="J3022" s="15"/>
      <c r="L3022" s="18"/>
      <c r="M3022" s="19"/>
      <c r="N3022" s="19"/>
    </row>
    <row r="3023">
      <c r="A3023" s="14"/>
      <c r="B3023" s="15"/>
      <c r="C3023" s="15"/>
      <c r="D3023" s="15"/>
      <c r="E3023" s="15"/>
      <c r="F3023" s="15"/>
      <c r="G3023" s="15"/>
      <c r="H3023" s="15"/>
      <c r="I3023" s="15"/>
      <c r="J3023" s="15"/>
      <c r="L3023" s="18"/>
      <c r="M3023" s="19"/>
      <c r="N3023" s="19"/>
    </row>
    <row r="3024">
      <c r="A3024" s="14"/>
      <c r="B3024" s="15"/>
      <c r="C3024" s="15"/>
      <c r="D3024" s="15"/>
      <c r="E3024" s="15"/>
      <c r="F3024" s="15"/>
      <c r="G3024" s="15"/>
      <c r="H3024" s="15"/>
      <c r="I3024" s="15"/>
      <c r="J3024" s="15"/>
      <c r="L3024" s="18"/>
      <c r="M3024" s="19"/>
      <c r="N3024" s="19"/>
    </row>
    <row r="3025">
      <c r="A3025" s="14"/>
      <c r="B3025" s="15"/>
      <c r="C3025" s="15"/>
      <c r="D3025" s="15"/>
      <c r="E3025" s="15"/>
      <c r="F3025" s="15"/>
      <c r="G3025" s="15"/>
      <c r="H3025" s="15"/>
      <c r="I3025" s="15"/>
      <c r="J3025" s="15"/>
      <c r="L3025" s="18"/>
      <c r="M3025" s="19"/>
      <c r="N3025" s="19"/>
    </row>
    <row r="3026">
      <c r="A3026" s="14"/>
      <c r="B3026" s="15"/>
      <c r="C3026" s="15"/>
      <c r="D3026" s="15"/>
      <c r="E3026" s="15"/>
      <c r="F3026" s="15"/>
      <c r="G3026" s="15"/>
      <c r="H3026" s="15"/>
      <c r="I3026" s="15"/>
      <c r="J3026" s="15"/>
      <c r="L3026" s="18"/>
      <c r="M3026" s="19"/>
      <c r="N3026" s="19"/>
    </row>
    <row r="3027">
      <c r="A3027" s="14"/>
      <c r="B3027" s="15"/>
      <c r="C3027" s="15"/>
      <c r="D3027" s="15"/>
      <c r="E3027" s="15"/>
      <c r="F3027" s="15"/>
      <c r="G3027" s="15"/>
      <c r="H3027" s="15"/>
      <c r="I3027" s="15"/>
      <c r="J3027" s="15"/>
      <c r="L3027" s="18"/>
      <c r="M3027" s="19"/>
      <c r="N3027" s="19"/>
    </row>
    <row r="3028">
      <c r="A3028" s="14"/>
      <c r="B3028" s="15"/>
      <c r="C3028" s="15"/>
      <c r="D3028" s="15"/>
      <c r="E3028" s="15"/>
      <c r="F3028" s="15"/>
      <c r="G3028" s="15"/>
      <c r="H3028" s="15"/>
      <c r="I3028" s="15"/>
      <c r="J3028" s="15"/>
      <c r="L3028" s="18"/>
      <c r="M3028" s="19"/>
      <c r="N3028" s="19"/>
    </row>
    <row r="3029">
      <c r="A3029" s="14"/>
      <c r="B3029" s="15"/>
      <c r="C3029" s="15"/>
      <c r="D3029" s="15"/>
      <c r="E3029" s="15"/>
      <c r="F3029" s="15"/>
      <c r="G3029" s="15"/>
      <c r="H3029" s="15"/>
      <c r="I3029" s="15"/>
      <c r="J3029" s="15"/>
      <c r="L3029" s="18"/>
      <c r="M3029" s="19"/>
      <c r="N3029" s="19"/>
    </row>
    <row r="3030">
      <c r="A3030" s="14"/>
      <c r="B3030" s="15"/>
      <c r="C3030" s="15"/>
      <c r="D3030" s="15"/>
      <c r="E3030" s="15"/>
      <c r="F3030" s="15"/>
      <c r="G3030" s="15"/>
      <c r="H3030" s="15"/>
      <c r="I3030" s="15"/>
      <c r="J3030" s="15"/>
      <c r="L3030" s="18"/>
      <c r="M3030" s="19"/>
      <c r="N3030" s="19"/>
    </row>
    <row r="3031">
      <c r="A3031" s="14"/>
      <c r="B3031" s="15"/>
      <c r="C3031" s="15"/>
      <c r="D3031" s="15"/>
      <c r="E3031" s="15"/>
      <c r="F3031" s="15"/>
      <c r="G3031" s="15"/>
      <c r="H3031" s="15"/>
      <c r="I3031" s="15"/>
      <c r="J3031" s="15"/>
      <c r="L3031" s="18"/>
      <c r="M3031" s="19"/>
      <c r="N3031" s="19"/>
    </row>
    <row r="3032">
      <c r="A3032" s="14"/>
      <c r="B3032" s="15"/>
      <c r="C3032" s="15"/>
      <c r="D3032" s="15"/>
      <c r="E3032" s="15"/>
      <c r="F3032" s="15"/>
      <c r="G3032" s="15"/>
      <c r="H3032" s="15"/>
      <c r="I3032" s="15"/>
      <c r="J3032" s="15"/>
      <c r="L3032" s="18"/>
      <c r="M3032" s="19"/>
      <c r="N3032" s="19"/>
    </row>
    <row r="3033">
      <c r="A3033" s="14"/>
      <c r="B3033" s="15"/>
      <c r="C3033" s="15"/>
      <c r="D3033" s="15"/>
      <c r="E3033" s="15"/>
      <c r="F3033" s="15"/>
      <c r="G3033" s="15"/>
      <c r="H3033" s="15"/>
      <c r="I3033" s="15"/>
      <c r="J3033" s="15"/>
      <c r="L3033" s="18"/>
      <c r="M3033" s="19"/>
      <c r="N3033" s="19"/>
    </row>
    <row r="3034">
      <c r="A3034" s="14"/>
      <c r="B3034" s="15"/>
      <c r="C3034" s="15"/>
      <c r="D3034" s="15"/>
      <c r="E3034" s="15"/>
      <c r="F3034" s="15"/>
      <c r="G3034" s="15"/>
      <c r="H3034" s="15"/>
      <c r="I3034" s="15"/>
      <c r="J3034" s="15"/>
      <c r="L3034" s="18"/>
      <c r="M3034" s="19"/>
      <c r="N3034" s="19"/>
    </row>
    <row r="3035">
      <c r="A3035" s="14"/>
      <c r="B3035" s="15"/>
      <c r="C3035" s="15"/>
      <c r="D3035" s="15"/>
      <c r="E3035" s="15"/>
      <c r="F3035" s="15"/>
      <c r="G3035" s="15"/>
      <c r="H3035" s="15"/>
      <c r="I3035" s="15"/>
      <c r="J3035" s="15"/>
      <c r="L3035" s="18"/>
      <c r="M3035" s="19"/>
      <c r="N3035" s="19"/>
    </row>
    <row r="3036">
      <c r="A3036" s="14"/>
      <c r="B3036" s="15"/>
      <c r="C3036" s="15"/>
      <c r="D3036" s="15"/>
      <c r="E3036" s="15"/>
      <c r="F3036" s="15"/>
      <c r="G3036" s="15"/>
      <c r="H3036" s="15"/>
      <c r="I3036" s="15"/>
      <c r="J3036" s="15"/>
      <c r="L3036" s="18"/>
      <c r="M3036" s="19"/>
      <c r="N3036" s="19"/>
    </row>
    <row r="3037">
      <c r="A3037" s="14"/>
      <c r="B3037" s="15"/>
      <c r="C3037" s="15"/>
      <c r="D3037" s="15"/>
      <c r="E3037" s="15"/>
      <c r="F3037" s="15"/>
      <c r="G3037" s="15"/>
      <c r="H3037" s="15"/>
      <c r="I3037" s="15"/>
      <c r="J3037" s="15"/>
      <c r="L3037" s="18"/>
      <c r="M3037" s="19"/>
      <c r="N3037" s="19"/>
    </row>
    <row r="3038">
      <c r="A3038" s="14"/>
      <c r="B3038" s="15"/>
      <c r="C3038" s="15"/>
      <c r="D3038" s="15"/>
      <c r="E3038" s="15"/>
      <c r="F3038" s="15"/>
      <c r="G3038" s="15"/>
      <c r="H3038" s="15"/>
      <c r="I3038" s="15"/>
      <c r="J3038" s="15"/>
      <c r="L3038" s="18"/>
      <c r="M3038" s="19"/>
      <c r="N3038" s="19"/>
    </row>
    <row r="3039">
      <c r="A3039" s="14"/>
      <c r="B3039" s="15"/>
      <c r="C3039" s="15"/>
      <c r="D3039" s="15"/>
      <c r="E3039" s="15"/>
      <c r="F3039" s="15"/>
      <c r="G3039" s="15"/>
      <c r="H3039" s="15"/>
      <c r="I3039" s="15"/>
      <c r="J3039" s="15"/>
      <c r="L3039" s="18"/>
      <c r="M3039" s="19"/>
      <c r="N3039" s="19"/>
    </row>
    <row r="3040">
      <c r="A3040" s="14"/>
      <c r="B3040" s="15"/>
      <c r="C3040" s="15"/>
      <c r="D3040" s="15"/>
      <c r="E3040" s="15"/>
      <c r="F3040" s="15"/>
      <c r="G3040" s="15"/>
      <c r="H3040" s="15"/>
      <c r="I3040" s="15"/>
      <c r="J3040" s="15"/>
      <c r="L3040" s="18"/>
      <c r="M3040" s="19"/>
      <c r="N3040" s="19"/>
    </row>
    <row r="3041">
      <c r="A3041" s="14"/>
      <c r="B3041" s="15"/>
      <c r="C3041" s="15"/>
      <c r="D3041" s="15"/>
      <c r="E3041" s="15"/>
      <c r="F3041" s="15"/>
      <c r="G3041" s="15"/>
      <c r="H3041" s="15"/>
      <c r="I3041" s="15"/>
      <c r="J3041" s="15"/>
      <c r="L3041" s="18"/>
      <c r="M3041" s="19"/>
      <c r="N3041" s="19"/>
    </row>
    <row r="3042">
      <c r="A3042" s="14"/>
      <c r="B3042" s="15"/>
      <c r="C3042" s="15"/>
      <c r="D3042" s="15"/>
      <c r="E3042" s="15"/>
      <c r="F3042" s="15"/>
      <c r="G3042" s="15"/>
      <c r="H3042" s="15"/>
      <c r="I3042" s="15"/>
      <c r="J3042" s="15"/>
      <c r="L3042" s="18"/>
      <c r="M3042" s="19"/>
      <c r="N3042" s="19"/>
    </row>
    <row r="3043">
      <c r="A3043" s="14"/>
      <c r="B3043" s="15"/>
      <c r="C3043" s="15"/>
      <c r="D3043" s="15"/>
      <c r="E3043" s="15"/>
      <c r="F3043" s="15"/>
      <c r="G3043" s="15"/>
      <c r="H3043" s="15"/>
      <c r="I3043" s="15"/>
      <c r="J3043" s="15"/>
      <c r="L3043" s="18"/>
      <c r="M3043" s="19"/>
      <c r="N3043" s="19"/>
    </row>
    <row r="3044">
      <c r="A3044" s="14"/>
      <c r="B3044" s="15"/>
      <c r="C3044" s="15"/>
      <c r="D3044" s="15"/>
      <c r="E3044" s="15"/>
      <c r="F3044" s="15"/>
      <c r="G3044" s="15"/>
      <c r="H3044" s="15"/>
      <c r="I3044" s="15"/>
      <c r="J3044" s="15"/>
      <c r="L3044" s="18"/>
      <c r="M3044" s="19"/>
      <c r="N3044" s="19"/>
    </row>
    <row r="3045">
      <c r="A3045" s="14"/>
      <c r="B3045" s="15"/>
      <c r="C3045" s="15"/>
      <c r="D3045" s="15"/>
      <c r="E3045" s="15"/>
      <c r="F3045" s="15"/>
      <c r="G3045" s="15"/>
      <c r="H3045" s="15"/>
      <c r="I3045" s="15"/>
      <c r="J3045" s="15"/>
      <c r="L3045" s="18"/>
      <c r="M3045" s="19"/>
      <c r="N3045" s="19"/>
    </row>
    <row r="3046">
      <c r="A3046" s="14"/>
      <c r="B3046" s="15"/>
      <c r="C3046" s="15"/>
      <c r="D3046" s="15"/>
      <c r="E3046" s="15"/>
      <c r="F3046" s="15"/>
      <c r="G3046" s="15"/>
      <c r="H3046" s="15"/>
      <c r="I3046" s="15"/>
      <c r="J3046" s="15"/>
      <c r="L3046" s="18"/>
      <c r="M3046" s="19"/>
      <c r="N3046" s="19"/>
    </row>
    <row r="3047">
      <c r="A3047" s="14"/>
      <c r="B3047" s="15"/>
      <c r="C3047" s="15"/>
      <c r="D3047" s="15"/>
      <c r="E3047" s="15"/>
      <c r="F3047" s="15"/>
      <c r="G3047" s="15"/>
      <c r="H3047" s="15"/>
      <c r="I3047" s="15"/>
      <c r="J3047" s="15"/>
      <c r="L3047" s="18"/>
      <c r="M3047" s="19"/>
      <c r="N3047" s="19"/>
    </row>
    <row r="3048">
      <c r="A3048" s="14"/>
      <c r="B3048" s="15"/>
      <c r="C3048" s="15"/>
      <c r="D3048" s="15"/>
      <c r="E3048" s="15"/>
      <c r="F3048" s="15"/>
      <c r="G3048" s="15"/>
      <c r="H3048" s="15"/>
      <c r="I3048" s="15"/>
      <c r="J3048" s="15"/>
      <c r="L3048" s="18"/>
      <c r="M3048" s="19"/>
      <c r="N3048" s="19"/>
    </row>
    <row r="3049">
      <c r="A3049" s="14"/>
      <c r="B3049" s="15"/>
      <c r="C3049" s="15"/>
      <c r="D3049" s="15"/>
      <c r="E3049" s="15"/>
      <c r="F3049" s="15"/>
      <c r="G3049" s="15"/>
      <c r="H3049" s="15"/>
      <c r="I3049" s="15"/>
      <c r="J3049" s="15"/>
      <c r="L3049" s="18"/>
      <c r="M3049" s="19"/>
      <c r="N3049" s="19"/>
    </row>
    <row r="3050">
      <c r="A3050" s="14"/>
      <c r="B3050" s="15"/>
      <c r="C3050" s="15"/>
      <c r="D3050" s="15"/>
      <c r="E3050" s="15"/>
      <c r="F3050" s="15"/>
      <c r="G3050" s="15"/>
      <c r="H3050" s="15"/>
      <c r="I3050" s="15"/>
      <c r="J3050" s="15"/>
      <c r="L3050" s="18"/>
      <c r="M3050" s="19"/>
      <c r="N3050" s="19"/>
    </row>
    <row r="3051">
      <c r="A3051" s="14"/>
      <c r="B3051" s="15"/>
      <c r="C3051" s="15"/>
      <c r="D3051" s="15"/>
      <c r="E3051" s="15"/>
      <c r="F3051" s="15"/>
      <c r="G3051" s="15"/>
      <c r="H3051" s="15"/>
      <c r="I3051" s="15"/>
      <c r="J3051" s="15"/>
      <c r="L3051" s="18"/>
      <c r="M3051" s="19"/>
      <c r="N3051" s="19"/>
    </row>
    <row r="3052">
      <c r="A3052" s="14"/>
      <c r="B3052" s="15"/>
      <c r="C3052" s="15"/>
      <c r="D3052" s="15"/>
      <c r="E3052" s="15"/>
      <c r="F3052" s="15"/>
      <c r="G3052" s="15"/>
      <c r="H3052" s="15"/>
      <c r="I3052" s="15"/>
      <c r="J3052" s="15"/>
      <c r="L3052" s="18"/>
      <c r="M3052" s="19"/>
      <c r="N3052" s="19"/>
    </row>
    <row r="3053">
      <c r="A3053" s="14"/>
      <c r="B3053" s="15"/>
      <c r="C3053" s="15"/>
      <c r="D3053" s="15"/>
      <c r="E3053" s="15"/>
      <c r="F3053" s="15"/>
      <c r="G3053" s="15"/>
      <c r="H3053" s="15"/>
      <c r="I3053" s="15"/>
      <c r="J3053" s="15"/>
      <c r="L3053" s="18"/>
      <c r="M3053" s="19"/>
      <c r="N3053" s="19"/>
    </row>
    <row r="3054">
      <c r="A3054" s="14"/>
      <c r="B3054" s="15"/>
      <c r="C3054" s="15"/>
      <c r="D3054" s="15"/>
      <c r="E3054" s="15"/>
      <c r="F3054" s="15"/>
      <c r="G3054" s="15"/>
      <c r="H3054" s="15"/>
      <c r="I3054" s="15"/>
      <c r="J3054" s="15"/>
      <c r="L3054" s="18"/>
      <c r="M3054" s="19"/>
      <c r="N3054" s="19"/>
    </row>
    <row r="3055">
      <c r="A3055" s="14"/>
      <c r="B3055" s="15"/>
      <c r="C3055" s="15"/>
      <c r="D3055" s="15"/>
      <c r="E3055" s="15"/>
      <c r="F3055" s="15"/>
      <c r="G3055" s="15"/>
      <c r="H3055" s="15"/>
      <c r="I3055" s="15"/>
      <c r="J3055" s="15"/>
      <c r="L3055" s="18"/>
      <c r="M3055" s="19"/>
      <c r="N3055" s="19"/>
    </row>
    <row r="3056">
      <c r="A3056" s="14"/>
      <c r="B3056" s="15"/>
      <c r="C3056" s="15"/>
      <c r="D3056" s="15"/>
      <c r="E3056" s="15"/>
      <c r="F3056" s="15"/>
      <c r="G3056" s="15"/>
      <c r="H3056" s="15"/>
      <c r="I3056" s="15"/>
      <c r="J3056" s="15"/>
      <c r="L3056" s="18"/>
      <c r="M3056" s="19"/>
      <c r="N3056" s="19"/>
    </row>
    <row r="3057">
      <c r="A3057" s="14"/>
      <c r="B3057" s="15"/>
      <c r="C3057" s="15"/>
      <c r="D3057" s="15"/>
      <c r="E3057" s="15"/>
      <c r="F3057" s="15"/>
      <c r="G3057" s="15"/>
      <c r="H3057" s="15"/>
      <c r="I3057" s="15"/>
      <c r="J3057" s="15"/>
      <c r="L3057" s="18"/>
      <c r="M3057" s="19"/>
      <c r="N3057" s="19"/>
    </row>
    <row r="3058">
      <c r="A3058" s="14"/>
      <c r="B3058" s="15"/>
      <c r="C3058" s="15"/>
      <c r="D3058" s="15"/>
      <c r="E3058" s="15"/>
      <c r="F3058" s="15"/>
      <c r="G3058" s="15"/>
      <c r="H3058" s="15"/>
      <c r="I3058" s="15"/>
      <c r="J3058" s="15"/>
      <c r="L3058" s="18"/>
      <c r="M3058" s="19"/>
      <c r="N3058" s="19"/>
    </row>
    <row r="3059">
      <c r="A3059" s="14"/>
      <c r="B3059" s="15"/>
      <c r="C3059" s="15"/>
      <c r="D3059" s="15"/>
      <c r="E3059" s="15"/>
      <c r="F3059" s="15"/>
      <c r="G3059" s="15"/>
      <c r="H3059" s="15"/>
      <c r="I3059" s="15"/>
      <c r="J3059" s="15"/>
      <c r="L3059" s="18"/>
      <c r="M3059" s="19"/>
      <c r="N3059" s="19"/>
    </row>
    <row r="3060">
      <c r="A3060" s="14"/>
      <c r="B3060" s="15"/>
      <c r="C3060" s="15"/>
      <c r="D3060" s="15"/>
      <c r="E3060" s="15"/>
      <c r="F3060" s="15"/>
      <c r="G3060" s="15"/>
      <c r="H3060" s="15"/>
      <c r="I3060" s="15"/>
      <c r="J3060" s="15"/>
      <c r="L3060" s="18"/>
      <c r="M3060" s="19"/>
      <c r="N3060" s="19"/>
    </row>
    <row r="3061">
      <c r="A3061" s="14"/>
      <c r="B3061" s="15"/>
      <c r="C3061" s="15"/>
      <c r="D3061" s="15"/>
      <c r="E3061" s="15"/>
      <c r="F3061" s="15"/>
      <c r="G3061" s="15"/>
      <c r="H3061" s="15"/>
      <c r="I3061" s="15"/>
      <c r="J3061" s="15"/>
      <c r="L3061" s="18"/>
      <c r="M3061" s="19"/>
      <c r="N3061" s="19"/>
    </row>
    <row r="3062">
      <c r="A3062" s="14"/>
      <c r="B3062" s="15"/>
      <c r="C3062" s="15"/>
      <c r="D3062" s="15"/>
      <c r="E3062" s="15"/>
      <c r="F3062" s="15"/>
      <c r="G3062" s="15"/>
      <c r="H3062" s="15"/>
      <c r="I3062" s="15"/>
      <c r="J3062" s="15"/>
      <c r="L3062" s="18"/>
      <c r="M3062" s="19"/>
      <c r="N3062" s="19"/>
    </row>
    <row r="3063">
      <c r="A3063" s="14"/>
      <c r="B3063" s="15"/>
      <c r="C3063" s="15"/>
      <c r="D3063" s="15"/>
      <c r="E3063" s="15"/>
      <c r="F3063" s="15"/>
      <c r="G3063" s="15"/>
      <c r="H3063" s="15"/>
      <c r="I3063" s="15"/>
      <c r="J3063" s="15"/>
      <c r="L3063" s="18"/>
      <c r="M3063" s="19"/>
      <c r="N3063" s="19"/>
    </row>
    <row r="3064">
      <c r="A3064" s="14"/>
      <c r="B3064" s="15"/>
      <c r="C3064" s="15"/>
      <c r="D3064" s="15"/>
      <c r="E3064" s="15"/>
      <c r="F3064" s="15"/>
      <c r="G3064" s="15"/>
      <c r="H3064" s="15"/>
      <c r="I3064" s="15"/>
      <c r="J3064" s="15"/>
      <c r="L3064" s="18"/>
      <c r="M3064" s="19"/>
      <c r="N3064" s="19"/>
    </row>
    <row r="3065">
      <c r="A3065" s="14"/>
      <c r="B3065" s="15"/>
      <c r="C3065" s="15"/>
      <c r="D3065" s="15"/>
      <c r="E3065" s="15"/>
      <c r="F3065" s="15"/>
      <c r="G3065" s="15"/>
      <c r="H3065" s="15"/>
      <c r="I3065" s="15"/>
      <c r="J3065" s="15"/>
      <c r="L3065" s="18"/>
      <c r="M3065" s="19"/>
      <c r="N3065" s="19"/>
    </row>
    <row r="3066">
      <c r="A3066" s="14"/>
      <c r="B3066" s="15"/>
      <c r="C3066" s="15"/>
      <c r="D3066" s="15"/>
      <c r="E3066" s="15"/>
      <c r="F3066" s="15"/>
      <c r="G3066" s="15"/>
      <c r="H3066" s="15"/>
      <c r="I3066" s="15"/>
      <c r="J3066" s="15"/>
      <c r="L3066" s="18"/>
      <c r="M3066" s="19"/>
      <c r="N3066" s="19"/>
    </row>
    <row r="3067">
      <c r="A3067" s="14"/>
      <c r="B3067" s="15"/>
      <c r="C3067" s="15"/>
      <c r="D3067" s="15"/>
      <c r="E3067" s="15"/>
      <c r="F3067" s="15"/>
      <c r="G3067" s="15"/>
      <c r="H3067" s="15"/>
      <c r="I3067" s="15"/>
      <c r="J3067" s="15"/>
      <c r="L3067" s="18"/>
      <c r="M3067" s="19"/>
      <c r="N3067" s="19"/>
    </row>
    <row r="3068">
      <c r="A3068" s="14"/>
      <c r="B3068" s="15"/>
      <c r="C3068" s="15"/>
      <c r="D3068" s="15"/>
      <c r="E3068" s="15"/>
      <c r="F3068" s="15"/>
      <c r="G3068" s="15"/>
      <c r="H3068" s="15"/>
      <c r="I3068" s="15"/>
      <c r="J3068" s="15"/>
      <c r="L3068" s="18"/>
      <c r="M3068" s="19"/>
      <c r="N3068" s="19"/>
    </row>
    <row r="3069">
      <c r="A3069" s="14"/>
      <c r="B3069" s="15"/>
      <c r="C3069" s="15"/>
      <c r="D3069" s="15"/>
      <c r="E3069" s="15"/>
      <c r="F3069" s="15"/>
      <c r="G3069" s="15"/>
      <c r="H3069" s="15"/>
      <c r="I3069" s="15"/>
      <c r="J3069" s="15"/>
      <c r="L3069" s="18"/>
      <c r="M3069" s="19"/>
      <c r="N3069" s="19"/>
    </row>
    <row r="3070">
      <c r="A3070" s="14"/>
      <c r="B3070" s="15"/>
      <c r="C3070" s="15"/>
      <c r="D3070" s="15"/>
      <c r="E3070" s="15"/>
      <c r="F3070" s="15"/>
      <c r="G3070" s="15"/>
      <c r="H3070" s="15"/>
      <c r="I3070" s="15"/>
      <c r="J3070" s="15"/>
      <c r="L3070" s="18"/>
      <c r="M3070" s="19"/>
      <c r="N3070" s="19"/>
    </row>
    <row r="3071">
      <c r="A3071" s="14"/>
      <c r="B3071" s="15"/>
      <c r="C3071" s="15"/>
      <c r="D3071" s="15"/>
      <c r="E3071" s="15"/>
      <c r="F3071" s="15"/>
      <c r="G3071" s="15"/>
      <c r="H3071" s="15"/>
      <c r="I3071" s="15"/>
      <c r="J3071" s="15"/>
      <c r="L3071" s="18"/>
      <c r="M3071" s="19"/>
      <c r="N3071" s="19"/>
    </row>
    <row r="3072">
      <c r="A3072" s="14"/>
      <c r="B3072" s="15"/>
      <c r="C3072" s="15"/>
      <c r="D3072" s="15"/>
      <c r="E3072" s="15"/>
      <c r="F3072" s="15"/>
      <c r="G3072" s="15"/>
      <c r="H3072" s="15"/>
      <c r="I3072" s="15"/>
      <c r="J3072" s="15"/>
      <c r="L3072" s="18"/>
      <c r="M3072" s="19"/>
      <c r="N3072" s="19"/>
    </row>
    <row r="3073">
      <c r="A3073" s="14"/>
      <c r="B3073" s="15"/>
      <c r="C3073" s="15"/>
      <c r="D3073" s="15"/>
      <c r="E3073" s="15"/>
      <c r="F3073" s="15"/>
      <c r="G3073" s="15"/>
      <c r="H3073" s="15"/>
      <c r="I3073" s="15"/>
      <c r="J3073" s="15"/>
      <c r="L3073" s="18"/>
      <c r="M3073" s="19"/>
      <c r="N3073" s="19"/>
    </row>
    <row r="3074">
      <c r="A3074" s="14"/>
      <c r="B3074" s="15"/>
      <c r="C3074" s="15"/>
      <c r="D3074" s="15"/>
      <c r="E3074" s="15"/>
      <c r="F3074" s="15"/>
      <c r="G3074" s="15"/>
      <c r="H3074" s="15"/>
      <c r="I3074" s="15"/>
      <c r="J3074" s="15"/>
      <c r="L3074" s="18"/>
      <c r="M3074" s="19"/>
      <c r="N3074" s="19"/>
    </row>
    <row r="3075">
      <c r="A3075" s="14"/>
      <c r="B3075" s="15"/>
      <c r="C3075" s="15"/>
      <c r="D3075" s="15"/>
      <c r="E3075" s="15"/>
      <c r="F3075" s="15"/>
      <c r="G3075" s="15"/>
      <c r="H3075" s="15"/>
      <c r="I3075" s="15"/>
      <c r="J3075" s="15"/>
      <c r="L3075" s="18"/>
      <c r="M3075" s="19"/>
      <c r="N3075" s="19"/>
    </row>
    <row r="3076">
      <c r="A3076" s="14"/>
      <c r="B3076" s="15"/>
      <c r="C3076" s="15"/>
      <c r="D3076" s="15"/>
      <c r="E3076" s="15"/>
      <c r="F3076" s="15"/>
      <c r="G3076" s="15"/>
      <c r="H3076" s="15"/>
      <c r="I3076" s="15"/>
      <c r="J3076" s="15"/>
      <c r="L3076" s="18"/>
      <c r="M3076" s="19"/>
      <c r="N3076" s="19"/>
    </row>
    <row r="3077">
      <c r="A3077" s="14"/>
      <c r="B3077" s="15"/>
      <c r="C3077" s="15"/>
      <c r="D3077" s="15"/>
      <c r="E3077" s="15"/>
      <c r="F3077" s="15"/>
      <c r="G3077" s="15"/>
      <c r="H3077" s="15"/>
      <c r="I3077" s="15"/>
      <c r="J3077" s="15"/>
      <c r="L3077" s="18"/>
      <c r="M3077" s="19"/>
      <c r="N3077" s="19"/>
    </row>
    <row r="3078">
      <c r="A3078" s="14"/>
      <c r="B3078" s="15"/>
      <c r="C3078" s="15"/>
      <c r="D3078" s="15"/>
      <c r="E3078" s="15"/>
      <c r="F3078" s="15"/>
      <c r="G3078" s="15"/>
      <c r="H3078" s="15"/>
      <c r="I3078" s="15"/>
      <c r="J3078" s="15"/>
      <c r="L3078" s="18"/>
      <c r="M3078" s="19"/>
      <c r="N3078" s="19"/>
    </row>
    <row r="3079">
      <c r="A3079" s="14"/>
      <c r="B3079" s="15"/>
      <c r="C3079" s="15"/>
      <c r="D3079" s="15"/>
      <c r="E3079" s="15"/>
      <c r="F3079" s="15"/>
      <c r="G3079" s="15"/>
      <c r="H3079" s="15"/>
      <c r="I3079" s="15"/>
      <c r="J3079" s="15"/>
      <c r="L3079" s="18"/>
      <c r="M3079" s="19"/>
      <c r="N3079" s="19"/>
    </row>
    <row r="3080">
      <c r="A3080" s="14"/>
      <c r="B3080" s="15"/>
      <c r="C3080" s="15"/>
      <c r="D3080" s="15"/>
      <c r="E3080" s="15"/>
      <c r="F3080" s="15"/>
      <c r="G3080" s="15"/>
      <c r="H3080" s="15"/>
      <c r="I3080" s="15"/>
      <c r="J3080" s="15"/>
      <c r="L3080" s="18"/>
      <c r="M3080" s="19"/>
      <c r="N3080" s="19"/>
    </row>
    <row r="3081">
      <c r="A3081" s="14"/>
      <c r="B3081" s="15"/>
      <c r="C3081" s="15"/>
      <c r="D3081" s="15"/>
      <c r="E3081" s="15"/>
      <c r="F3081" s="15"/>
      <c r="G3081" s="15"/>
      <c r="H3081" s="15"/>
      <c r="I3081" s="15"/>
      <c r="J3081" s="15"/>
      <c r="L3081" s="18"/>
      <c r="M3081" s="19"/>
      <c r="N3081" s="19"/>
    </row>
    <row r="3082">
      <c r="A3082" s="14"/>
      <c r="B3082" s="15"/>
      <c r="C3082" s="15"/>
      <c r="D3082" s="15"/>
      <c r="E3082" s="15"/>
      <c r="F3082" s="15"/>
      <c r="G3082" s="15"/>
      <c r="H3082" s="15"/>
      <c r="I3082" s="15"/>
      <c r="J3082" s="15"/>
      <c r="L3082" s="18"/>
      <c r="M3082" s="19"/>
      <c r="N3082" s="19"/>
    </row>
    <row r="3083">
      <c r="A3083" s="14"/>
      <c r="B3083" s="15"/>
      <c r="C3083" s="15"/>
      <c r="D3083" s="15"/>
      <c r="E3083" s="15"/>
      <c r="F3083" s="15"/>
      <c r="G3083" s="15"/>
      <c r="H3083" s="15"/>
      <c r="I3083" s="15"/>
      <c r="J3083" s="15"/>
      <c r="L3083" s="18"/>
      <c r="M3083" s="19"/>
      <c r="N3083" s="19"/>
    </row>
    <row r="3084">
      <c r="A3084" s="14"/>
      <c r="B3084" s="15"/>
      <c r="C3084" s="15"/>
      <c r="D3084" s="15"/>
      <c r="E3084" s="15"/>
      <c r="F3084" s="15"/>
      <c r="G3084" s="15"/>
      <c r="H3084" s="15"/>
      <c r="I3084" s="15"/>
      <c r="J3084" s="15"/>
      <c r="L3084" s="18"/>
      <c r="M3084" s="19"/>
      <c r="N3084" s="19"/>
    </row>
    <row r="3085">
      <c r="A3085" s="14"/>
      <c r="B3085" s="15"/>
      <c r="C3085" s="15"/>
      <c r="D3085" s="15"/>
      <c r="E3085" s="15"/>
      <c r="F3085" s="15"/>
      <c r="G3085" s="15"/>
      <c r="H3085" s="15"/>
      <c r="I3085" s="15"/>
      <c r="J3085" s="15"/>
      <c r="L3085" s="18"/>
      <c r="M3085" s="19"/>
      <c r="N3085" s="19"/>
    </row>
    <row r="3086">
      <c r="A3086" s="14"/>
      <c r="B3086" s="15"/>
      <c r="C3086" s="15"/>
      <c r="D3086" s="15"/>
      <c r="E3086" s="15"/>
      <c r="F3086" s="15"/>
      <c r="G3086" s="15"/>
      <c r="H3086" s="15"/>
      <c r="I3086" s="15"/>
      <c r="J3086" s="15"/>
      <c r="L3086" s="18"/>
      <c r="M3086" s="19"/>
      <c r="N3086" s="19"/>
    </row>
    <row r="3087">
      <c r="A3087" s="14"/>
      <c r="B3087" s="15"/>
      <c r="C3087" s="15"/>
      <c r="D3087" s="15"/>
      <c r="E3087" s="15"/>
      <c r="F3087" s="15"/>
      <c r="G3087" s="15"/>
      <c r="H3087" s="15"/>
      <c r="I3087" s="15"/>
      <c r="J3087" s="15"/>
      <c r="L3087" s="18"/>
      <c r="M3087" s="19"/>
      <c r="N3087" s="19"/>
    </row>
    <row r="3088">
      <c r="A3088" s="14"/>
      <c r="B3088" s="15"/>
      <c r="C3088" s="15"/>
      <c r="D3088" s="15"/>
      <c r="E3088" s="15"/>
      <c r="F3088" s="15"/>
      <c r="G3088" s="15"/>
      <c r="H3088" s="15"/>
      <c r="I3088" s="15"/>
      <c r="J3088" s="15"/>
      <c r="L3088" s="18"/>
      <c r="M3088" s="19"/>
      <c r="N3088" s="19"/>
    </row>
    <row r="3089">
      <c r="A3089" s="14"/>
      <c r="B3089" s="15"/>
      <c r="C3089" s="15"/>
      <c r="D3089" s="15"/>
      <c r="E3089" s="15"/>
      <c r="F3089" s="15"/>
      <c r="G3089" s="15"/>
      <c r="H3089" s="15"/>
      <c r="I3089" s="15"/>
      <c r="J3089" s="15"/>
      <c r="L3089" s="18"/>
      <c r="M3089" s="19"/>
      <c r="N3089" s="19"/>
    </row>
    <row r="3090">
      <c r="A3090" s="14"/>
      <c r="B3090" s="15"/>
      <c r="C3090" s="15"/>
      <c r="D3090" s="15"/>
      <c r="E3090" s="15"/>
      <c r="F3090" s="15"/>
      <c r="G3090" s="15"/>
      <c r="H3090" s="15"/>
      <c r="I3090" s="15"/>
      <c r="J3090" s="15"/>
      <c r="L3090" s="18"/>
      <c r="M3090" s="19"/>
      <c r="N3090" s="19"/>
    </row>
    <row r="3091">
      <c r="A3091" s="14"/>
      <c r="B3091" s="15"/>
      <c r="C3091" s="15"/>
      <c r="D3091" s="15"/>
      <c r="E3091" s="15"/>
      <c r="F3091" s="15"/>
      <c r="G3091" s="15"/>
      <c r="H3091" s="15"/>
      <c r="I3091" s="15"/>
      <c r="J3091" s="15"/>
      <c r="L3091" s="18"/>
      <c r="M3091" s="19"/>
      <c r="N3091" s="19"/>
    </row>
    <row r="3092">
      <c r="A3092" s="14"/>
      <c r="B3092" s="15"/>
      <c r="C3092" s="15"/>
      <c r="D3092" s="15"/>
      <c r="E3092" s="15"/>
      <c r="F3092" s="15"/>
      <c r="G3092" s="15"/>
      <c r="H3092" s="15"/>
      <c r="I3092" s="15"/>
      <c r="J3092" s="15"/>
      <c r="L3092" s="18"/>
      <c r="M3092" s="19"/>
      <c r="N3092" s="19"/>
    </row>
    <row r="3093">
      <c r="A3093" s="14"/>
      <c r="B3093" s="15"/>
      <c r="C3093" s="15"/>
      <c r="D3093" s="15"/>
      <c r="E3093" s="15"/>
      <c r="F3093" s="15"/>
      <c r="G3093" s="15"/>
      <c r="H3093" s="15"/>
      <c r="I3093" s="15"/>
      <c r="J3093" s="15"/>
      <c r="L3093" s="18"/>
      <c r="M3093" s="19"/>
      <c r="N3093" s="19"/>
    </row>
    <row r="3094">
      <c r="A3094" s="14"/>
      <c r="B3094" s="15"/>
      <c r="C3094" s="15"/>
      <c r="D3094" s="15"/>
      <c r="E3094" s="15"/>
      <c r="F3094" s="15"/>
      <c r="G3094" s="15"/>
      <c r="H3094" s="15"/>
      <c r="I3094" s="15"/>
      <c r="J3094" s="15"/>
      <c r="L3094" s="18"/>
      <c r="M3094" s="19"/>
      <c r="N3094" s="19"/>
    </row>
    <row r="3095">
      <c r="A3095" s="14"/>
      <c r="B3095" s="15"/>
      <c r="C3095" s="15"/>
      <c r="D3095" s="15"/>
      <c r="E3095" s="15"/>
      <c r="F3095" s="15"/>
      <c r="G3095" s="15"/>
      <c r="H3095" s="15"/>
      <c r="I3095" s="15"/>
      <c r="J3095" s="15"/>
      <c r="L3095" s="18"/>
      <c r="M3095" s="19"/>
      <c r="N3095" s="19"/>
    </row>
    <row r="3096">
      <c r="A3096" s="14"/>
      <c r="B3096" s="15"/>
      <c r="C3096" s="15"/>
      <c r="D3096" s="15"/>
      <c r="E3096" s="15"/>
      <c r="F3096" s="15"/>
      <c r="G3096" s="15"/>
      <c r="H3096" s="15"/>
      <c r="I3096" s="15"/>
      <c r="J3096" s="15"/>
      <c r="L3096" s="18"/>
      <c r="M3096" s="19"/>
      <c r="N3096" s="19"/>
    </row>
    <row r="3097">
      <c r="A3097" s="14"/>
      <c r="B3097" s="15"/>
      <c r="C3097" s="15"/>
      <c r="D3097" s="15"/>
      <c r="E3097" s="15"/>
      <c r="F3097" s="15"/>
      <c r="G3097" s="15"/>
      <c r="H3097" s="15"/>
      <c r="I3097" s="15"/>
      <c r="J3097" s="15"/>
      <c r="L3097" s="18"/>
      <c r="M3097" s="19"/>
      <c r="N3097" s="19"/>
    </row>
    <row r="3098">
      <c r="A3098" s="14"/>
      <c r="B3098" s="15"/>
      <c r="C3098" s="15"/>
      <c r="D3098" s="15"/>
      <c r="E3098" s="15"/>
      <c r="F3098" s="15"/>
      <c r="G3098" s="15"/>
      <c r="H3098" s="15"/>
      <c r="I3098" s="15"/>
      <c r="J3098" s="15"/>
      <c r="L3098" s="18"/>
      <c r="M3098" s="19"/>
      <c r="N3098" s="19"/>
    </row>
    <row r="3099">
      <c r="A3099" s="14"/>
      <c r="B3099" s="15"/>
      <c r="C3099" s="15"/>
      <c r="D3099" s="15"/>
      <c r="E3099" s="15"/>
      <c r="F3099" s="15"/>
      <c r="G3099" s="15"/>
      <c r="H3099" s="15"/>
      <c r="I3099" s="15"/>
      <c r="J3099" s="15"/>
      <c r="L3099" s="18"/>
      <c r="M3099" s="19"/>
      <c r="N3099" s="19"/>
    </row>
    <row r="3100">
      <c r="A3100" s="14"/>
      <c r="B3100" s="15"/>
      <c r="C3100" s="15"/>
      <c r="D3100" s="15"/>
      <c r="E3100" s="15"/>
      <c r="F3100" s="15"/>
      <c r="G3100" s="15"/>
      <c r="H3100" s="15"/>
      <c r="I3100" s="15"/>
      <c r="J3100" s="15"/>
      <c r="L3100" s="18"/>
      <c r="M3100" s="19"/>
      <c r="N3100" s="19"/>
    </row>
    <row r="3101">
      <c r="A3101" s="14"/>
      <c r="B3101" s="15"/>
      <c r="C3101" s="15"/>
      <c r="D3101" s="15"/>
      <c r="E3101" s="15"/>
      <c r="F3101" s="15"/>
      <c r="G3101" s="15"/>
      <c r="H3101" s="15"/>
      <c r="I3101" s="15"/>
      <c r="J3101" s="15"/>
      <c r="L3101" s="18"/>
      <c r="M3101" s="19"/>
      <c r="N3101" s="19"/>
    </row>
    <row r="3102">
      <c r="A3102" s="14"/>
      <c r="B3102" s="15"/>
      <c r="C3102" s="15"/>
      <c r="D3102" s="15"/>
      <c r="E3102" s="15"/>
      <c r="F3102" s="15"/>
      <c r="G3102" s="15"/>
      <c r="H3102" s="15"/>
      <c r="I3102" s="15"/>
      <c r="J3102" s="15"/>
      <c r="L3102" s="18"/>
      <c r="M3102" s="19"/>
      <c r="N3102" s="19"/>
    </row>
    <row r="3103">
      <c r="A3103" s="14"/>
      <c r="B3103" s="15"/>
      <c r="C3103" s="15"/>
      <c r="D3103" s="15"/>
      <c r="E3103" s="15"/>
      <c r="F3103" s="15"/>
      <c r="G3103" s="15"/>
      <c r="H3103" s="15"/>
      <c r="I3103" s="15"/>
      <c r="J3103" s="15"/>
      <c r="L3103" s="18"/>
      <c r="M3103" s="19"/>
      <c r="N3103" s="19"/>
    </row>
    <row r="3104">
      <c r="A3104" s="14"/>
      <c r="B3104" s="15"/>
      <c r="C3104" s="15"/>
      <c r="D3104" s="15"/>
      <c r="E3104" s="15"/>
      <c r="F3104" s="15"/>
      <c r="G3104" s="15"/>
      <c r="H3104" s="15"/>
      <c r="I3104" s="15"/>
      <c r="J3104" s="15"/>
      <c r="L3104" s="18"/>
      <c r="M3104" s="19"/>
      <c r="N3104" s="19"/>
    </row>
    <row r="3105">
      <c r="A3105" s="14"/>
      <c r="B3105" s="15"/>
      <c r="C3105" s="15"/>
      <c r="D3105" s="15"/>
      <c r="E3105" s="15"/>
      <c r="F3105" s="15"/>
      <c r="G3105" s="15"/>
      <c r="H3105" s="15"/>
      <c r="I3105" s="15"/>
      <c r="J3105" s="15"/>
      <c r="L3105" s="18"/>
      <c r="M3105" s="19"/>
      <c r="N3105" s="19"/>
    </row>
    <row r="3106">
      <c r="A3106" s="14"/>
      <c r="B3106" s="15"/>
      <c r="C3106" s="15"/>
      <c r="D3106" s="15"/>
      <c r="E3106" s="15"/>
      <c r="F3106" s="15"/>
      <c r="G3106" s="15"/>
      <c r="H3106" s="15"/>
      <c r="I3106" s="15"/>
      <c r="J3106" s="15"/>
      <c r="L3106" s="18"/>
      <c r="M3106" s="19"/>
      <c r="N3106" s="19"/>
    </row>
    <row r="3107">
      <c r="A3107" s="14"/>
      <c r="B3107" s="15"/>
      <c r="C3107" s="15"/>
      <c r="D3107" s="15"/>
      <c r="E3107" s="15"/>
      <c r="F3107" s="15"/>
      <c r="G3107" s="15"/>
      <c r="H3107" s="15"/>
      <c r="I3107" s="15"/>
      <c r="J3107" s="15"/>
      <c r="L3107" s="18"/>
      <c r="M3107" s="19"/>
      <c r="N3107" s="19"/>
    </row>
    <row r="3108">
      <c r="A3108" s="14"/>
      <c r="B3108" s="15"/>
      <c r="C3108" s="15"/>
      <c r="D3108" s="15"/>
      <c r="E3108" s="15"/>
      <c r="F3108" s="15"/>
      <c r="G3108" s="15"/>
      <c r="H3108" s="15"/>
      <c r="I3108" s="15"/>
      <c r="J3108" s="15"/>
      <c r="L3108" s="18"/>
      <c r="M3108" s="19"/>
      <c r="N3108" s="19"/>
    </row>
    <row r="3109">
      <c r="A3109" s="14"/>
      <c r="B3109" s="15"/>
      <c r="C3109" s="15"/>
      <c r="D3109" s="15"/>
      <c r="E3109" s="15"/>
      <c r="F3109" s="15"/>
      <c r="G3109" s="15"/>
      <c r="H3109" s="15"/>
      <c r="I3109" s="15"/>
      <c r="J3109" s="15"/>
      <c r="L3109" s="18"/>
      <c r="M3109" s="19"/>
      <c r="N3109" s="19"/>
    </row>
    <row r="3110">
      <c r="A3110" s="14"/>
      <c r="B3110" s="15"/>
      <c r="C3110" s="15"/>
      <c r="D3110" s="15"/>
      <c r="E3110" s="15"/>
      <c r="F3110" s="15"/>
      <c r="G3110" s="15"/>
      <c r="H3110" s="15"/>
      <c r="I3110" s="15"/>
      <c r="J3110" s="15"/>
      <c r="L3110" s="18"/>
      <c r="M3110" s="19"/>
      <c r="N3110" s="19"/>
    </row>
    <row r="3111">
      <c r="A3111" s="14"/>
      <c r="B3111" s="15"/>
      <c r="C3111" s="15"/>
      <c r="D3111" s="15"/>
      <c r="E3111" s="15"/>
      <c r="F3111" s="15"/>
      <c r="G3111" s="15"/>
      <c r="H3111" s="15"/>
      <c r="I3111" s="15"/>
      <c r="J3111" s="15"/>
      <c r="L3111" s="18"/>
      <c r="M3111" s="19"/>
      <c r="N3111" s="19"/>
    </row>
    <row r="3112">
      <c r="A3112" s="14"/>
      <c r="B3112" s="15"/>
      <c r="C3112" s="15"/>
      <c r="D3112" s="15"/>
      <c r="E3112" s="15"/>
      <c r="F3112" s="15"/>
      <c r="G3112" s="15"/>
      <c r="H3112" s="15"/>
      <c r="I3112" s="15"/>
      <c r="J3112" s="15"/>
      <c r="L3112" s="18"/>
      <c r="M3112" s="19"/>
      <c r="N3112" s="19"/>
    </row>
    <row r="3113">
      <c r="A3113" s="14"/>
      <c r="B3113" s="15"/>
      <c r="C3113" s="15"/>
      <c r="D3113" s="15"/>
      <c r="E3113" s="15"/>
      <c r="F3113" s="15"/>
      <c r="G3113" s="15"/>
      <c r="H3113" s="15"/>
      <c r="I3113" s="15"/>
      <c r="J3113" s="15"/>
      <c r="L3113" s="18"/>
      <c r="M3113" s="19"/>
      <c r="N3113" s="19"/>
    </row>
    <row r="3114">
      <c r="A3114" s="14"/>
      <c r="B3114" s="15"/>
      <c r="C3114" s="15"/>
      <c r="D3114" s="15"/>
      <c r="E3114" s="15"/>
      <c r="F3114" s="15"/>
      <c r="G3114" s="15"/>
      <c r="H3114" s="15"/>
      <c r="I3114" s="15"/>
      <c r="J3114" s="15"/>
      <c r="L3114" s="18"/>
      <c r="M3114" s="19"/>
      <c r="N3114" s="19"/>
    </row>
    <row r="3115">
      <c r="A3115" s="14"/>
      <c r="B3115" s="15"/>
      <c r="C3115" s="15"/>
      <c r="D3115" s="15"/>
      <c r="E3115" s="15"/>
      <c r="F3115" s="15"/>
      <c r="G3115" s="15"/>
      <c r="H3115" s="15"/>
      <c r="I3115" s="15"/>
      <c r="J3115" s="15"/>
      <c r="L3115" s="18"/>
      <c r="M3115" s="19"/>
      <c r="N3115" s="19"/>
    </row>
    <row r="3116">
      <c r="A3116" s="14"/>
      <c r="B3116" s="15"/>
      <c r="C3116" s="15"/>
      <c r="D3116" s="15"/>
      <c r="E3116" s="15"/>
      <c r="F3116" s="15"/>
      <c r="G3116" s="15"/>
      <c r="H3116" s="15"/>
      <c r="I3116" s="15"/>
      <c r="J3116" s="15"/>
      <c r="L3116" s="18"/>
      <c r="M3116" s="19"/>
      <c r="N3116" s="19"/>
    </row>
    <row r="3117">
      <c r="A3117" s="14"/>
      <c r="B3117" s="15"/>
      <c r="C3117" s="15"/>
      <c r="D3117" s="15"/>
      <c r="E3117" s="15"/>
      <c r="F3117" s="15"/>
      <c r="G3117" s="15"/>
      <c r="H3117" s="15"/>
      <c r="I3117" s="15"/>
      <c r="J3117" s="15"/>
      <c r="L3117" s="18"/>
      <c r="M3117" s="19"/>
      <c r="N3117" s="19"/>
    </row>
    <row r="3118">
      <c r="A3118" s="14"/>
      <c r="B3118" s="15"/>
      <c r="C3118" s="15"/>
      <c r="D3118" s="15"/>
      <c r="E3118" s="15"/>
      <c r="F3118" s="15"/>
      <c r="G3118" s="15"/>
      <c r="H3118" s="15"/>
      <c r="I3118" s="15"/>
      <c r="J3118" s="15"/>
      <c r="L3118" s="18"/>
      <c r="M3118" s="19"/>
      <c r="N3118" s="19"/>
    </row>
    <row r="3119">
      <c r="A3119" s="14"/>
      <c r="B3119" s="15"/>
      <c r="C3119" s="15"/>
      <c r="D3119" s="15"/>
      <c r="E3119" s="15"/>
      <c r="F3119" s="15"/>
      <c r="G3119" s="15"/>
      <c r="H3119" s="15"/>
      <c r="I3119" s="15"/>
      <c r="J3119" s="15"/>
      <c r="L3119" s="18"/>
      <c r="M3119" s="19"/>
      <c r="N3119" s="19"/>
    </row>
    <row r="3120">
      <c r="A3120" s="14"/>
      <c r="B3120" s="15"/>
      <c r="C3120" s="15"/>
      <c r="D3120" s="15"/>
      <c r="E3120" s="15"/>
      <c r="F3120" s="15"/>
      <c r="G3120" s="15"/>
      <c r="H3120" s="15"/>
      <c r="I3120" s="15"/>
      <c r="J3120" s="15"/>
      <c r="L3120" s="18"/>
      <c r="M3120" s="19"/>
      <c r="N3120" s="19"/>
    </row>
    <row r="3121">
      <c r="A3121" s="14"/>
      <c r="B3121" s="15"/>
      <c r="C3121" s="15"/>
      <c r="D3121" s="15"/>
      <c r="E3121" s="15"/>
      <c r="F3121" s="15"/>
      <c r="G3121" s="15"/>
      <c r="H3121" s="15"/>
      <c r="I3121" s="15"/>
      <c r="J3121" s="15"/>
      <c r="L3121" s="18"/>
      <c r="M3121" s="19"/>
      <c r="N3121" s="19"/>
    </row>
    <row r="3122">
      <c r="A3122" s="14"/>
      <c r="B3122" s="15"/>
      <c r="C3122" s="15"/>
      <c r="D3122" s="15"/>
      <c r="E3122" s="15"/>
      <c r="F3122" s="15"/>
      <c r="G3122" s="15"/>
      <c r="H3122" s="15"/>
      <c r="I3122" s="15"/>
      <c r="J3122" s="15"/>
      <c r="L3122" s="18"/>
      <c r="M3122" s="19"/>
      <c r="N3122" s="19"/>
    </row>
    <row r="3123">
      <c r="A3123" s="14"/>
      <c r="B3123" s="15"/>
      <c r="C3123" s="15"/>
      <c r="D3123" s="15"/>
      <c r="E3123" s="15"/>
      <c r="F3123" s="15"/>
      <c r="G3123" s="15"/>
      <c r="H3123" s="15"/>
      <c r="I3123" s="15"/>
      <c r="J3123" s="15"/>
      <c r="L3123" s="18"/>
      <c r="M3123" s="19"/>
      <c r="N3123" s="19"/>
    </row>
    <row r="3124">
      <c r="A3124" s="14"/>
      <c r="B3124" s="15"/>
      <c r="C3124" s="15"/>
      <c r="D3124" s="15"/>
      <c r="E3124" s="15"/>
      <c r="F3124" s="15"/>
      <c r="G3124" s="15"/>
      <c r="H3124" s="15"/>
      <c r="I3124" s="15"/>
      <c r="J3124" s="15"/>
      <c r="L3124" s="18"/>
      <c r="M3124" s="19"/>
      <c r="N3124" s="19"/>
    </row>
    <row r="3125">
      <c r="A3125" s="14"/>
      <c r="B3125" s="15"/>
      <c r="C3125" s="15"/>
      <c r="D3125" s="15"/>
      <c r="E3125" s="15"/>
      <c r="F3125" s="15"/>
      <c r="G3125" s="15"/>
      <c r="H3125" s="15"/>
      <c r="I3125" s="15"/>
      <c r="J3125" s="15"/>
      <c r="L3125" s="18"/>
      <c r="M3125" s="19"/>
      <c r="N3125" s="19"/>
    </row>
    <row r="3126">
      <c r="A3126" s="14"/>
      <c r="B3126" s="15"/>
      <c r="C3126" s="15"/>
      <c r="D3126" s="15"/>
      <c r="E3126" s="15"/>
      <c r="F3126" s="15"/>
      <c r="G3126" s="15"/>
      <c r="H3126" s="15"/>
      <c r="I3126" s="15"/>
      <c r="J3126" s="15"/>
      <c r="L3126" s="18"/>
      <c r="M3126" s="19"/>
      <c r="N3126" s="19"/>
    </row>
    <row r="3127">
      <c r="A3127" s="14"/>
      <c r="B3127" s="15"/>
      <c r="C3127" s="15"/>
      <c r="D3127" s="15"/>
      <c r="E3127" s="15"/>
      <c r="F3127" s="15"/>
      <c r="G3127" s="15"/>
      <c r="H3127" s="15"/>
      <c r="I3127" s="15"/>
      <c r="J3127" s="15"/>
      <c r="L3127" s="18"/>
      <c r="M3127" s="19"/>
      <c r="N3127" s="19"/>
    </row>
    <row r="3128">
      <c r="A3128" s="14"/>
      <c r="B3128" s="15"/>
      <c r="C3128" s="15"/>
      <c r="D3128" s="15"/>
      <c r="E3128" s="15"/>
      <c r="F3128" s="15"/>
      <c r="G3128" s="15"/>
      <c r="H3128" s="15"/>
      <c r="I3128" s="15"/>
      <c r="J3128" s="15"/>
      <c r="L3128" s="18"/>
      <c r="M3128" s="19"/>
      <c r="N3128" s="19"/>
    </row>
    <row r="3129">
      <c r="A3129" s="14"/>
      <c r="B3129" s="15"/>
      <c r="C3129" s="15"/>
      <c r="D3129" s="15"/>
      <c r="E3129" s="15"/>
      <c r="F3129" s="15"/>
      <c r="G3129" s="15"/>
      <c r="H3129" s="15"/>
      <c r="I3129" s="15"/>
      <c r="J3129" s="15"/>
      <c r="L3129" s="18"/>
      <c r="M3129" s="19"/>
      <c r="N3129" s="19"/>
    </row>
    <row r="3130">
      <c r="A3130" s="14"/>
      <c r="B3130" s="15"/>
      <c r="C3130" s="15"/>
      <c r="D3130" s="15"/>
      <c r="E3130" s="15"/>
      <c r="F3130" s="15"/>
      <c r="G3130" s="15"/>
      <c r="H3130" s="15"/>
      <c r="I3130" s="15"/>
      <c r="J3130" s="15"/>
      <c r="L3130" s="18"/>
      <c r="M3130" s="19"/>
      <c r="N3130" s="19"/>
    </row>
    <row r="3131">
      <c r="A3131" s="14"/>
      <c r="B3131" s="15"/>
      <c r="C3131" s="15"/>
      <c r="D3131" s="15"/>
      <c r="E3131" s="15"/>
      <c r="F3131" s="15"/>
      <c r="G3131" s="15"/>
      <c r="H3131" s="15"/>
      <c r="I3131" s="15"/>
      <c r="J3131" s="15"/>
      <c r="L3131" s="18"/>
      <c r="M3131" s="19"/>
      <c r="N3131" s="19"/>
    </row>
    <row r="3132">
      <c r="A3132" s="14"/>
      <c r="B3132" s="15"/>
      <c r="C3132" s="15"/>
      <c r="D3132" s="15"/>
      <c r="E3132" s="15"/>
      <c r="F3132" s="15"/>
      <c r="G3132" s="15"/>
      <c r="H3132" s="15"/>
      <c r="I3132" s="15"/>
      <c r="J3132" s="15"/>
      <c r="L3132" s="18"/>
      <c r="M3132" s="19"/>
      <c r="N3132" s="19"/>
    </row>
    <row r="3133">
      <c r="A3133" s="14"/>
      <c r="B3133" s="15"/>
      <c r="C3133" s="15"/>
      <c r="D3133" s="15"/>
      <c r="E3133" s="15"/>
      <c r="F3133" s="15"/>
      <c r="G3133" s="15"/>
      <c r="H3133" s="15"/>
      <c r="I3133" s="15"/>
      <c r="J3133" s="15"/>
      <c r="L3133" s="18"/>
      <c r="M3133" s="19"/>
      <c r="N3133" s="19"/>
    </row>
    <row r="3134">
      <c r="A3134" s="14"/>
      <c r="B3134" s="15"/>
      <c r="C3134" s="15"/>
      <c r="D3134" s="15"/>
      <c r="E3134" s="15"/>
      <c r="F3134" s="15"/>
      <c r="G3134" s="15"/>
      <c r="H3134" s="15"/>
      <c r="I3134" s="15"/>
      <c r="J3134" s="15"/>
      <c r="L3134" s="18"/>
      <c r="M3134" s="19"/>
      <c r="N3134" s="19"/>
    </row>
    <row r="3135">
      <c r="A3135" s="14"/>
      <c r="B3135" s="15"/>
      <c r="C3135" s="15"/>
      <c r="D3135" s="15"/>
      <c r="E3135" s="15"/>
      <c r="F3135" s="15"/>
      <c r="G3135" s="15"/>
      <c r="H3135" s="15"/>
      <c r="I3135" s="15"/>
      <c r="J3135" s="15"/>
      <c r="L3135" s="18"/>
      <c r="M3135" s="19"/>
      <c r="N3135" s="19"/>
    </row>
    <row r="3136">
      <c r="A3136" s="14"/>
      <c r="B3136" s="15"/>
      <c r="C3136" s="15"/>
      <c r="D3136" s="15"/>
      <c r="E3136" s="15"/>
      <c r="F3136" s="15"/>
      <c r="G3136" s="15"/>
      <c r="H3136" s="15"/>
      <c r="I3136" s="15"/>
      <c r="J3136" s="15"/>
      <c r="L3136" s="18"/>
      <c r="M3136" s="19"/>
      <c r="N3136" s="19"/>
    </row>
    <row r="3137">
      <c r="A3137" s="14"/>
      <c r="B3137" s="15"/>
      <c r="C3137" s="15"/>
      <c r="D3137" s="15"/>
      <c r="E3137" s="15"/>
      <c r="F3137" s="15"/>
      <c r="G3137" s="15"/>
      <c r="H3137" s="15"/>
      <c r="I3137" s="15"/>
      <c r="J3137" s="15"/>
      <c r="L3137" s="18"/>
      <c r="M3137" s="19"/>
      <c r="N3137" s="19"/>
    </row>
    <row r="3138">
      <c r="A3138" s="14"/>
      <c r="B3138" s="15"/>
      <c r="C3138" s="15"/>
      <c r="D3138" s="15"/>
      <c r="E3138" s="15"/>
      <c r="F3138" s="15"/>
      <c r="G3138" s="15"/>
      <c r="H3138" s="15"/>
      <c r="I3138" s="15"/>
      <c r="J3138" s="15"/>
      <c r="L3138" s="18"/>
      <c r="M3138" s="19"/>
      <c r="N3138" s="19"/>
    </row>
    <row r="3139">
      <c r="A3139" s="14"/>
      <c r="B3139" s="15"/>
      <c r="C3139" s="15"/>
      <c r="D3139" s="15"/>
      <c r="E3139" s="15"/>
      <c r="F3139" s="15"/>
      <c r="G3139" s="15"/>
      <c r="H3139" s="15"/>
      <c r="I3139" s="15"/>
      <c r="J3139" s="15"/>
      <c r="L3139" s="18"/>
      <c r="M3139" s="19"/>
      <c r="N3139" s="19"/>
    </row>
    <row r="3140">
      <c r="A3140" s="14"/>
      <c r="B3140" s="15"/>
      <c r="C3140" s="15"/>
      <c r="D3140" s="15"/>
      <c r="E3140" s="15"/>
      <c r="F3140" s="15"/>
      <c r="G3140" s="15"/>
      <c r="H3140" s="15"/>
      <c r="I3140" s="15"/>
      <c r="J3140" s="15"/>
      <c r="L3140" s="18"/>
      <c r="M3140" s="19"/>
      <c r="N3140" s="19"/>
    </row>
    <row r="3141">
      <c r="A3141" s="14"/>
      <c r="B3141" s="15"/>
      <c r="C3141" s="15"/>
      <c r="D3141" s="15"/>
      <c r="E3141" s="15"/>
      <c r="F3141" s="15"/>
      <c r="G3141" s="15"/>
      <c r="H3141" s="15"/>
      <c r="I3141" s="15"/>
      <c r="J3141" s="15"/>
      <c r="L3141" s="18"/>
      <c r="M3141" s="19"/>
      <c r="N3141" s="19"/>
    </row>
    <row r="3142">
      <c r="A3142" s="14"/>
      <c r="B3142" s="15"/>
      <c r="C3142" s="15"/>
      <c r="D3142" s="15"/>
      <c r="E3142" s="15"/>
      <c r="F3142" s="15"/>
      <c r="G3142" s="15"/>
      <c r="H3142" s="15"/>
      <c r="I3142" s="15"/>
      <c r="J3142" s="15"/>
      <c r="L3142" s="18"/>
      <c r="M3142" s="19"/>
      <c r="N3142" s="19"/>
    </row>
    <row r="3143">
      <c r="A3143" s="14"/>
      <c r="B3143" s="15"/>
      <c r="C3143" s="15"/>
      <c r="D3143" s="15"/>
      <c r="E3143" s="15"/>
      <c r="F3143" s="15"/>
      <c r="G3143" s="15"/>
      <c r="H3143" s="15"/>
      <c r="I3143" s="15"/>
      <c r="J3143" s="15"/>
      <c r="L3143" s="18"/>
      <c r="M3143" s="19"/>
      <c r="N3143" s="19"/>
    </row>
    <row r="3144">
      <c r="A3144" s="14"/>
      <c r="B3144" s="15"/>
      <c r="C3144" s="15"/>
      <c r="D3144" s="15"/>
      <c r="E3144" s="15"/>
      <c r="F3144" s="15"/>
      <c r="G3144" s="15"/>
      <c r="H3144" s="15"/>
      <c r="I3144" s="15"/>
      <c r="J3144" s="15"/>
      <c r="L3144" s="18"/>
      <c r="M3144" s="19"/>
      <c r="N3144" s="19"/>
    </row>
    <row r="3145">
      <c r="A3145" s="14"/>
      <c r="B3145" s="15"/>
      <c r="C3145" s="15"/>
      <c r="D3145" s="15"/>
      <c r="E3145" s="15"/>
      <c r="F3145" s="15"/>
      <c r="G3145" s="15"/>
      <c r="H3145" s="15"/>
      <c r="I3145" s="15"/>
      <c r="J3145" s="15"/>
      <c r="L3145" s="18"/>
      <c r="M3145" s="19"/>
      <c r="N3145" s="19"/>
    </row>
    <row r="3146">
      <c r="A3146" s="14"/>
      <c r="B3146" s="15"/>
      <c r="C3146" s="15"/>
      <c r="D3146" s="15"/>
      <c r="E3146" s="15"/>
      <c r="F3146" s="15"/>
      <c r="G3146" s="15"/>
      <c r="H3146" s="15"/>
      <c r="I3146" s="15"/>
      <c r="J3146" s="15"/>
      <c r="L3146" s="18"/>
      <c r="M3146" s="19"/>
      <c r="N3146" s="19"/>
    </row>
    <row r="3147">
      <c r="A3147" s="14"/>
      <c r="B3147" s="15"/>
      <c r="C3147" s="15"/>
      <c r="D3147" s="15"/>
      <c r="E3147" s="15"/>
      <c r="F3147" s="15"/>
      <c r="G3147" s="15"/>
      <c r="H3147" s="15"/>
      <c r="I3147" s="15"/>
      <c r="J3147" s="15"/>
      <c r="L3147" s="18"/>
      <c r="M3147" s="19"/>
      <c r="N3147" s="19"/>
    </row>
    <row r="3148">
      <c r="A3148" s="14"/>
      <c r="B3148" s="15"/>
      <c r="C3148" s="15"/>
      <c r="D3148" s="15"/>
      <c r="E3148" s="15"/>
      <c r="F3148" s="15"/>
      <c r="G3148" s="15"/>
      <c r="H3148" s="15"/>
      <c r="I3148" s="15"/>
      <c r="J3148" s="15"/>
      <c r="L3148" s="18"/>
      <c r="M3148" s="19"/>
      <c r="N3148" s="19"/>
    </row>
    <row r="3149">
      <c r="A3149" s="14"/>
      <c r="B3149" s="15"/>
      <c r="C3149" s="15"/>
      <c r="D3149" s="15"/>
      <c r="E3149" s="15"/>
      <c r="F3149" s="15"/>
      <c r="G3149" s="15"/>
      <c r="H3149" s="15"/>
      <c r="I3149" s="15"/>
      <c r="J3149" s="15"/>
      <c r="L3149" s="18"/>
      <c r="M3149" s="19"/>
      <c r="N3149" s="19"/>
    </row>
    <row r="3150">
      <c r="A3150" s="14"/>
      <c r="B3150" s="15"/>
      <c r="C3150" s="15"/>
      <c r="D3150" s="15"/>
      <c r="E3150" s="15"/>
      <c r="F3150" s="15"/>
      <c r="G3150" s="15"/>
      <c r="H3150" s="15"/>
      <c r="I3150" s="15"/>
      <c r="J3150" s="15"/>
      <c r="L3150" s="18"/>
      <c r="M3150" s="19"/>
      <c r="N3150" s="19"/>
    </row>
    <row r="3151">
      <c r="A3151" s="14"/>
      <c r="B3151" s="15"/>
      <c r="C3151" s="15"/>
      <c r="D3151" s="15"/>
      <c r="E3151" s="15"/>
      <c r="F3151" s="15"/>
      <c r="G3151" s="15"/>
      <c r="H3151" s="15"/>
      <c r="I3151" s="15"/>
      <c r="J3151" s="15"/>
      <c r="L3151" s="18"/>
      <c r="M3151" s="19"/>
      <c r="N3151" s="19"/>
    </row>
    <row r="3152">
      <c r="A3152" s="14"/>
      <c r="B3152" s="15"/>
      <c r="C3152" s="15"/>
      <c r="D3152" s="15"/>
      <c r="E3152" s="15"/>
      <c r="F3152" s="15"/>
      <c r="G3152" s="15"/>
      <c r="H3152" s="15"/>
      <c r="I3152" s="15"/>
      <c r="J3152" s="15"/>
      <c r="L3152" s="18"/>
      <c r="M3152" s="19"/>
      <c r="N3152" s="19"/>
    </row>
    <row r="3153">
      <c r="A3153" s="14"/>
      <c r="B3153" s="15"/>
      <c r="C3153" s="15"/>
      <c r="D3153" s="15"/>
      <c r="E3153" s="15"/>
      <c r="F3153" s="15"/>
      <c r="G3153" s="15"/>
      <c r="H3153" s="15"/>
      <c r="I3153" s="15"/>
      <c r="J3153" s="15"/>
      <c r="L3153" s="18"/>
      <c r="M3153" s="19"/>
      <c r="N3153" s="19"/>
    </row>
    <row r="3154">
      <c r="A3154" s="14"/>
      <c r="B3154" s="15"/>
      <c r="C3154" s="15"/>
      <c r="D3154" s="15"/>
      <c r="E3154" s="15"/>
      <c r="F3154" s="15"/>
      <c r="G3154" s="15"/>
      <c r="H3154" s="15"/>
      <c r="I3154" s="15"/>
      <c r="J3154" s="15"/>
      <c r="L3154" s="18"/>
      <c r="M3154" s="19"/>
      <c r="N3154" s="19"/>
    </row>
    <row r="3155">
      <c r="A3155" s="14"/>
      <c r="B3155" s="15"/>
      <c r="C3155" s="15"/>
      <c r="D3155" s="15"/>
      <c r="E3155" s="15"/>
      <c r="F3155" s="15"/>
      <c r="G3155" s="15"/>
      <c r="H3155" s="15"/>
      <c r="I3155" s="15"/>
      <c r="J3155" s="15"/>
      <c r="L3155" s="18"/>
      <c r="M3155" s="19"/>
      <c r="N3155" s="19"/>
    </row>
    <row r="3156">
      <c r="A3156" s="14"/>
      <c r="B3156" s="15"/>
      <c r="C3156" s="15"/>
      <c r="D3156" s="15"/>
      <c r="E3156" s="15"/>
      <c r="F3156" s="15"/>
      <c r="G3156" s="15"/>
      <c r="H3156" s="15"/>
      <c r="I3156" s="15"/>
      <c r="J3156" s="15"/>
      <c r="L3156" s="18"/>
      <c r="M3156" s="19"/>
      <c r="N3156" s="19"/>
    </row>
    <row r="3157">
      <c r="A3157" s="14"/>
      <c r="B3157" s="15"/>
      <c r="C3157" s="15"/>
      <c r="D3157" s="15"/>
      <c r="E3157" s="15"/>
      <c r="F3157" s="15"/>
      <c r="G3157" s="15"/>
      <c r="H3157" s="15"/>
      <c r="I3157" s="15"/>
      <c r="J3157" s="15"/>
      <c r="L3157" s="18"/>
      <c r="M3157" s="19"/>
      <c r="N3157" s="19"/>
    </row>
    <row r="3158">
      <c r="A3158" s="14"/>
      <c r="B3158" s="15"/>
      <c r="C3158" s="15"/>
      <c r="D3158" s="15"/>
      <c r="E3158" s="15"/>
      <c r="F3158" s="15"/>
      <c r="G3158" s="15"/>
      <c r="H3158" s="15"/>
      <c r="I3158" s="15"/>
      <c r="J3158" s="15"/>
      <c r="L3158" s="18"/>
      <c r="M3158" s="19"/>
      <c r="N3158" s="19"/>
    </row>
    <row r="3159">
      <c r="A3159" s="14"/>
      <c r="B3159" s="15"/>
      <c r="C3159" s="15"/>
      <c r="D3159" s="15"/>
      <c r="E3159" s="15"/>
      <c r="F3159" s="15"/>
      <c r="G3159" s="15"/>
      <c r="H3159" s="15"/>
      <c r="I3159" s="15"/>
      <c r="J3159" s="15"/>
      <c r="L3159" s="18"/>
      <c r="M3159" s="19"/>
      <c r="N3159" s="19"/>
    </row>
    <row r="3160">
      <c r="A3160" s="14"/>
      <c r="B3160" s="15"/>
      <c r="C3160" s="15"/>
      <c r="D3160" s="15"/>
      <c r="E3160" s="15"/>
      <c r="F3160" s="15"/>
      <c r="G3160" s="15"/>
      <c r="H3160" s="15"/>
      <c r="I3160" s="15"/>
      <c r="J3160" s="15"/>
      <c r="L3160" s="18"/>
      <c r="M3160" s="19"/>
      <c r="N3160" s="19"/>
    </row>
    <row r="3161">
      <c r="A3161" s="14"/>
      <c r="B3161" s="15"/>
      <c r="C3161" s="15"/>
      <c r="D3161" s="15"/>
      <c r="E3161" s="15"/>
      <c r="F3161" s="15"/>
      <c r="G3161" s="15"/>
      <c r="H3161" s="15"/>
      <c r="I3161" s="15"/>
      <c r="J3161" s="15"/>
      <c r="L3161" s="18"/>
      <c r="M3161" s="19"/>
      <c r="N3161" s="19"/>
    </row>
    <row r="3162">
      <c r="A3162" s="14"/>
      <c r="B3162" s="15"/>
      <c r="C3162" s="15"/>
      <c r="D3162" s="15"/>
      <c r="E3162" s="15"/>
      <c r="F3162" s="15"/>
      <c r="G3162" s="15"/>
      <c r="H3162" s="15"/>
      <c r="I3162" s="15"/>
      <c r="J3162" s="15"/>
      <c r="L3162" s="18"/>
      <c r="M3162" s="19"/>
      <c r="N3162" s="19"/>
    </row>
    <row r="3163">
      <c r="A3163" s="14"/>
      <c r="B3163" s="15"/>
      <c r="C3163" s="15"/>
      <c r="D3163" s="15"/>
      <c r="E3163" s="15"/>
      <c r="F3163" s="15"/>
      <c r="G3163" s="15"/>
      <c r="H3163" s="15"/>
      <c r="I3163" s="15"/>
      <c r="J3163" s="15"/>
      <c r="L3163" s="18"/>
      <c r="M3163" s="19"/>
      <c r="N3163" s="19"/>
    </row>
    <row r="3164">
      <c r="A3164" s="14"/>
      <c r="B3164" s="15"/>
      <c r="C3164" s="15"/>
      <c r="D3164" s="15"/>
      <c r="E3164" s="15"/>
      <c r="F3164" s="15"/>
      <c r="G3164" s="15"/>
      <c r="H3164" s="15"/>
      <c r="I3164" s="15"/>
      <c r="J3164" s="15"/>
      <c r="L3164" s="18"/>
      <c r="M3164" s="19"/>
      <c r="N3164" s="19"/>
    </row>
    <row r="3165">
      <c r="A3165" s="14"/>
      <c r="B3165" s="15"/>
      <c r="C3165" s="15"/>
      <c r="D3165" s="15"/>
      <c r="E3165" s="15"/>
      <c r="F3165" s="15"/>
      <c r="G3165" s="15"/>
      <c r="H3165" s="15"/>
      <c r="I3165" s="15"/>
      <c r="J3165" s="15"/>
      <c r="L3165" s="18"/>
      <c r="M3165" s="19"/>
      <c r="N3165" s="19"/>
    </row>
    <row r="3166">
      <c r="A3166" s="14"/>
      <c r="B3166" s="15"/>
      <c r="C3166" s="15"/>
      <c r="D3166" s="15"/>
      <c r="E3166" s="15"/>
      <c r="F3166" s="15"/>
      <c r="G3166" s="15"/>
      <c r="H3166" s="15"/>
      <c r="I3166" s="15"/>
      <c r="J3166" s="15"/>
      <c r="L3166" s="18"/>
      <c r="M3166" s="19"/>
      <c r="N3166" s="19"/>
    </row>
    <row r="3167">
      <c r="A3167" s="14"/>
      <c r="B3167" s="15"/>
      <c r="C3167" s="15"/>
      <c r="D3167" s="15"/>
      <c r="E3167" s="15"/>
      <c r="F3167" s="15"/>
      <c r="G3167" s="15"/>
      <c r="H3167" s="15"/>
      <c r="I3167" s="15"/>
      <c r="J3167" s="15"/>
      <c r="L3167" s="18"/>
      <c r="M3167" s="19"/>
      <c r="N3167" s="19"/>
    </row>
    <row r="3168">
      <c r="A3168" s="14"/>
      <c r="B3168" s="15"/>
      <c r="C3168" s="15"/>
      <c r="D3168" s="15"/>
      <c r="E3168" s="15"/>
      <c r="F3168" s="15"/>
      <c r="G3168" s="15"/>
      <c r="H3168" s="15"/>
      <c r="I3168" s="15"/>
      <c r="J3168" s="15"/>
      <c r="L3168" s="18"/>
      <c r="M3168" s="19"/>
      <c r="N3168" s="19"/>
    </row>
    <row r="3169">
      <c r="A3169" s="14"/>
      <c r="B3169" s="15"/>
      <c r="C3169" s="15"/>
      <c r="D3169" s="15"/>
      <c r="E3169" s="15"/>
      <c r="F3169" s="15"/>
      <c r="G3169" s="15"/>
      <c r="H3169" s="15"/>
      <c r="I3169" s="15"/>
      <c r="J3169" s="15"/>
      <c r="L3169" s="18"/>
      <c r="M3169" s="19"/>
      <c r="N3169" s="19"/>
    </row>
    <row r="3170">
      <c r="A3170" s="14"/>
      <c r="B3170" s="15"/>
      <c r="C3170" s="15"/>
      <c r="D3170" s="15"/>
      <c r="E3170" s="15"/>
      <c r="F3170" s="15"/>
      <c r="G3170" s="15"/>
      <c r="H3170" s="15"/>
      <c r="I3170" s="15"/>
      <c r="J3170" s="15"/>
      <c r="L3170" s="18"/>
      <c r="M3170" s="19"/>
      <c r="N3170" s="19"/>
    </row>
    <row r="3171">
      <c r="A3171" s="14"/>
      <c r="B3171" s="15"/>
      <c r="C3171" s="15"/>
      <c r="D3171" s="15"/>
      <c r="E3171" s="15"/>
      <c r="F3171" s="15"/>
      <c r="G3171" s="15"/>
      <c r="H3171" s="15"/>
      <c r="I3171" s="15"/>
      <c r="J3171" s="15"/>
      <c r="L3171" s="18"/>
      <c r="M3171" s="19"/>
      <c r="N3171" s="19"/>
    </row>
    <row r="3172">
      <c r="A3172" s="14"/>
      <c r="B3172" s="15"/>
      <c r="C3172" s="15"/>
      <c r="D3172" s="15"/>
      <c r="E3172" s="15"/>
      <c r="F3172" s="15"/>
      <c r="G3172" s="15"/>
      <c r="H3172" s="15"/>
      <c r="I3172" s="15"/>
      <c r="J3172" s="15"/>
      <c r="L3172" s="18"/>
      <c r="M3172" s="19"/>
      <c r="N3172" s="19"/>
    </row>
    <row r="3173">
      <c r="A3173" s="14"/>
      <c r="B3173" s="15"/>
      <c r="C3173" s="15"/>
      <c r="D3173" s="15"/>
      <c r="E3173" s="15"/>
      <c r="F3173" s="15"/>
      <c r="G3173" s="15"/>
      <c r="H3173" s="15"/>
      <c r="I3173" s="15"/>
      <c r="J3173" s="15"/>
      <c r="L3173" s="18"/>
      <c r="M3173" s="19"/>
      <c r="N3173" s="19"/>
    </row>
    <row r="3174">
      <c r="A3174" s="14"/>
      <c r="B3174" s="15"/>
      <c r="C3174" s="15"/>
      <c r="D3174" s="15"/>
      <c r="E3174" s="15"/>
      <c r="F3174" s="15"/>
      <c r="G3174" s="15"/>
      <c r="H3174" s="15"/>
      <c r="I3174" s="15"/>
      <c r="J3174" s="15"/>
      <c r="L3174" s="18"/>
      <c r="M3174" s="19"/>
      <c r="N3174" s="19"/>
    </row>
    <row r="3175">
      <c r="A3175" s="14"/>
      <c r="B3175" s="15"/>
      <c r="C3175" s="15"/>
      <c r="D3175" s="15"/>
      <c r="E3175" s="15"/>
      <c r="F3175" s="15"/>
      <c r="G3175" s="15"/>
      <c r="H3175" s="15"/>
      <c r="I3175" s="15"/>
      <c r="J3175" s="15"/>
      <c r="L3175" s="18"/>
      <c r="M3175" s="19"/>
      <c r="N3175" s="19"/>
    </row>
    <row r="3176">
      <c r="A3176" s="14"/>
      <c r="B3176" s="15"/>
      <c r="C3176" s="15"/>
      <c r="D3176" s="15"/>
      <c r="E3176" s="15"/>
      <c r="F3176" s="15"/>
      <c r="G3176" s="15"/>
      <c r="H3176" s="15"/>
      <c r="I3176" s="15"/>
      <c r="J3176" s="15"/>
      <c r="L3176" s="18"/>
      <c r="M3176" s="19"/>
      <c r="N3176" s="19"/>
    </row>
    <row r="3177">
      <c r="A3177" s="14"/>
      <c r="B3177" s="15"/>
      <c r="C3177" s="15"/>
      <c r="D3177" s="15"/>
      <c r="E3177" s="15"/>
      <c r="F3177" s="15"/>
      <c r="G3177" s="15"/>
      <c r="H3177" s="15"/>
      <c r="I3177" s="15"/>
      <c r="J3177" s="15"/>
      <c r="L3177" s="18"/>
      <c r="M3177" s="19"/>
      <c r="N3177" s="19"/>
    </row>
    <row r="3178">
      <c r="A3178" s="14"/>
      <c r="B3178" s="15"/>
      <c r="C3178" s="15"/>
      <c r="D3178" s="15"/>
      <c r="E3178" s="15"/>
      <c r="F3178" s="15"/>
      <c r="G3178" s="15"/>
      <c r="H3178" s="15"/>
      <c r="I3178" s="15"/>
      <c r="J3178" s="15"/>
      <c r="L3178" s="18"/>
      <c r="M3178" s="19"/>
      <c r="N3178" s="19"/>
    </row>
    <row r="3179">
      <c r="A3179" s="14"/>
      <c r="B3179" s="15"/>
      <c r="C3179" s="15"/>
      <c r="D3179" s="15"/>
      <c r="E3179" s="15"/>
      <c r="F3179" s="15"/>
      <c r="G3179" s="15"/>
      <c r="H3179" s="15"/>
      <c r="I3179" s="15"/>
      <c r="J3179" s="15"/>
      <c r="L3179" s="18"/>
      <c r="M3179" s="19"/>
      <c r="N3179" s="19"/>
    </row>
    <row r="3180">
      <c r="A3180" s="14"/>
      <c r="B3180" s="15"/>
      <c r="C3180" s="15"/>
      <c r="D3180" s="15"/>
      <c r="E3180" s="15"/>
      <c r="F3180" s="15"/>
      <c r="G3180" s="15"/>
      <c r="H3180" s="15"/>
      <c r="I3180" s="15"/>
      <c r="J3180" s="15"/>
      <c r="L3180" s="18"/>
      <c r="M3180" s="19"/>
      <c r="N3180" s="19"/>
    </row>
    <row r="3181">
      <c r="A3181" s="14"/>
      <c r="B3181" s="15"/>
      <c r="C3181" s="15"/>
      <c r="D3181" s="15"/>
      <c r="E3181" s="15"/>
      <c r="F3181" s="15"/>
      <c r="G3181" s="15"/>
      <c r="H3181" s="15"/>
      <c r="I3181" s="15"/>
      <c r="J3181" s="15"/>
      <c r="L3181" s="18"/>
      <c r="M3181" s="19"/>
      <c r="N3181" s="19"/>
    </row>
    <row r="3182">
      <c r="A3182" s="14"/>
      <c r="B3182" s="15"/>
      <c r="C3182" s="15"/>
      <c r="D3182" s="15"/>
      <c r="E3182" s="15"/>
      <c r="F3182" s="15"/>
      <c r="G3182" s="15"/>
      <c r="H3182" s="15"/>
      <c r="I3182" s="15"/>
      <c r="J3182" s="15"/>
      <c r="L3182" s="18"/>
      <c r="M3182" s="19"/>
      <c r="N3182" s="19"/>
    </row>
    <row r="3183">
      <c r="A3183" s="14"/>
      <c r="B3183" s="15"/>
      <c r="C3183" s="15"/>
      <c r="D3183" s="15"/>
      <c r="E3183" s="15"/>
      <c r="F3183" s="15"/>
      <c r="G3183" s="15"/>
      <c r="H3183" s="15"/>
      <c r="I3183" s="15"/>
      <c r="J3183" s="15"/>
      <c r="L3183" s="18"/>
      <c r="M3183" s="19"/>
      <c r="N3183" s="19"/>
    </row>
    <row r="3184">
      <c r="A3184" s="14"/>
      <c r="B3184" s="15"/>
      <c r="C3184" s="15"/>
      <c r="D3184" s="15"/>
      <c r="E3184" s="15"/>
      <c r="F3184" s="15"/>
      <c r="G3184" s="15"/>
      <c r="H3184" s="15"/>
      <c r="I3184" s="15"/>
      <c r="J3184" s="15"/>
      <c r="L3184" s="18"/>
      <c r="M3184" s="19"/>
      <c r="N3184" s="19"/>
    </row>
    <row r="3185">
      <c r="A3185" s="14"/>
      <c r="B3185" s="15"/>
      <c r="C3185" s="15"/>
      <c r="D3185" s="15"/>
      <c r="E3185" s="15"/>
      <c r="F3185" s="15"/>
      <c r="G3185" s="15"/>
      <c r="H3185" s="15"/>
      <c r="I3185" s="15"/>
      <c r="J3185" s="15"/>
      <c r="L3185" s="18"/>
      <c r="M3185" s="19"/>
      <c r="N3185" s="19"/>
    </row>
    <row r="3186">
      <c r="A3186" s="14"/>
      <c r="B3186" s="15"/>
      <c r="C3186" s="15"/>
      <c r="D3186" s="15"/>
      <c r="E3186" s="15"/>
      <c r="F3186" s="15"/>
      <c r="G3186" s="15"/>
      <c r="H3186" s="15"/>
      <c r="I3186" s="15"/>
      <c r="J3186" s="15"/>
      <c r="L3186" s="18"/>
      <c r="M3186" s="19"/>
      <c r="N3186" s="19"/>
    </row>
    <row r="3187">
      <c r="A3187" s="14"/>
      <c r="B3187" s="15"/>
      <c r="C3187" s="15"/>
      <c r="D3187" s="15"/>
      <c r="E3187" s="15"/>
      <c r="F3187" s="15"/>
      <c r="G3187" s="15"/>
      <c r="H3187" s="15"/>
      <c r="I3187" s="15"/>
      <c r="J3187" s="15"/>
      <c r="L3187" s="18"/>
      <c r="M3187" s="19"/>
      <c r="N3187" s="19"/>
    </row>
    <row r="3188">
      <c r="A3188" s="14"/>
      <c r="B3188" s="15"/>
      <c r="C3188" s="15"/>
      <c r="D3188" s="15"/>
      <c r="E3188" s="15"/>
      <c r="F3188" s="15"/>
      <c r="G3188" s="15"/>
      <c r="H3188" s="15"/>
      <c r="I3188" s="15"/>
      <c r="J3188" s="15"/>
      <c r="L3188" s="18"/>
      <c r="M3188" s="19"/>
      <c r="N3188" s="19"/>
    </row>
    <row r="3189">
      <c r="A3189" s="14"/>
      <c r="B3189" s="15"/>
      <c r="C3189" s="15"/>
      <c r="D3189" s="15"/>
      <c r="E3189" s="15"/>
      <c r="F3189" s="15"/>
      <c r="G3189" s="15"/>
      <c r="H3189" s="15"/>
      <c r="I3189" s="15"/>
      <c r="J3189" s="15"/>
      <c r="L3189" s="18"/>
      <c r="M3189" s="19"/>
      <c r="N3189" s="19"/>
    </row>
    <row r="3190">
      <c r="A3190" s="14"/>
      <c r="B3190" s="15"/>
      <c r="C3190" s="15"/>
      <c r="D3190" s="15"/>
      <c r="E3190" s="15"/>
      <c r="F3190" s="15"/>
      <c r="G3190" s="15"/>
      <c r="H3190" s="15"/>
      <c r="I3190" s="15"/>
      <c r="J3190" s="15"/>
      <c r="L3190" s="18"/>
      <c r="M3190" s="19"/>
      <c r="N3190" s="19"/>
    </row>
    <row r="3191">
      <c r="A3191" s="14"/>
      <c r="B3191" s="15"/>
      <c r="C3191" s="15"/>
      <c r="D3191" s="15"/>
      <c r="E3191" s="15"/>
      <c r="F3191" s="15"/>
      <c r="G3191" s="15"/>
      <c r="H3191" s="15"/>
      <c r="I3191" s="15"/>
      <c r="J3191" s="15"/>
      <c r="L3191" s="18"/>
      <c r="M3191" s="19"/>
      <c r="N3191" s="19"/>
    </row>
    <row r="3192">
      <c r="A3192" s="14"/>
      <c r="B3192" s="15"/>
      <c r="C3192" s="15"/>
      <c r="D3192" s="15"/>
      <c r="E3192" s="15"/>
      <c r="F3192" s="15"/>
      <c r="G3192" s="15"/>
      <c r="H3192" s="15"/>
      <c r="I3192" s="15"/>
      <c r="J3192" s="15"/>
      <c r="L3192" s="18"/>
      <c r="M3192" s="19"/>
      <c r="N3192" s="19"/>
    </row>
    <row r="3193">
      <c r="A3193" s="14"/>
      <c r="B3193" s="15"/>
      <c r="C3193" s="15"/>
      <c r="D3193" s="15"/>
      <c r="E3193" s="15"/>
      <c r="F3193" s="15"/>
      <c r="G3193" s="15"/>
      <c r="H3193" s="15"/>
      <c r="I3193" s="15"/>
      <c r="J3193" s="15"/>
      <c r="L3193" s="18"/>
      <c r="M3193" s="19"/>
      <c r="N3193" s="19"/>
    </row>
    <row r="3194">
      <c r="A3194" s="14"/>
      <c r="B3194" s="15"/>
      <c r="C3194" s="15"/>
      <c r="D3194" s="15"/>
      <c r="E3194" s="15"/>
      <c r="F3194" s="15"/>
      <c r="G3194" s="15"/>
      <c r="H3194" s="15"/>
      <c r="I3194" s="15"/>
      <c r="J3194" s="15"/>
      <c r="L3194" s="18"/>
      <c r="M3194" s="19"/>
      <c r="N3194" s="19"/>
    </row>
    <row r="3195">
      <c r="A3195" s="14"/>
      <c r="B3195" s="15"/>
      <c r="C3195" s="15"/>
      <c r="D3195" s="15"/>
      <c r="E3195" s="15"/>
      <c r="F3195" s="15"/>
      <c r="G3195" s="15"/>
      <c r="H3195" s="15"/>
      <c r="I3195" s="15"/>
      <c r="J3195" s="15"/>
      <c r="L3195" s="18"/>
      <c r="M3195" s="19"/>
      <c r="N3195" s="19"/>
    </row>
    <row r="3196">
      <c r="A3196" s="14"/>
      <c r="B3196" s="15"/>
      <c r="C3196" s="15"/>
      <c r="D3196" s="15"/>
      <c r="E3196" s="15"/>
      <c r="F3196" s="15"/>
      <c r="G3196" s="15"/>
      <c r="H3196" s="15"/>
      <c r="I3196" s="15"/>
      <c r="J3196" s="15"/>
      <c r="L3196" s="18"/>
      <c r="M3196" s="19"/>
      <c r="N3196" s="19"/>
    </row>
    <row r="3197">
      <c r="A3197" s="14"/>
      <c r="B3197" s="15"/>
      <c r="C3197" s="15"/>
      <c r="D3197" s="15"/>
      <c r="E3197" s="15"/>
      <c r="F3197" s="15"/>
      <c r="G3197" s="15"/>
      <c r="H3197" s="15"/>
      <c r="I3197" s="15"/>
      <c r="J3197" s="15"/>
      <c r="L3197" s="18"/>
      <c r="M3197" s="19"/>
      <c r="N3197" s="19"/>
    </row>
    <row r="3198">
      <c r="A3198" s="14"/>
      <c r="B3198" s="15"/>
      <c r="C3198" s="15"/>
      <c r="D3198" s="15"/>
      <c r="E3198" s="15"/>
      <c r="F3198" s="15"/>
      <c r="G3198" s="15"/>
      <c r="H3198" s="15"/>
      <c r="I3198" s="15"/>
      <c r="J3198" s="15"/>
      <c r="L3198" s="18"/>
      <c r="M3198" s="19"/>
      <c r="N3198" s="19"/>
    </row>
    <row r="3199">
      <c r="A3199" s="14"/>
      <c r="B3199" s="15"/>
      <c r="C3199" s="15"/>
      <c r="D3199" s="15"/>
      <c r="E3199" s="15"/>
      <c r="F3199" s="15"/>
      <c r="G3199" s="15"/>
      <c r="H3199" s="15"/>
      <c r="I3199" s="15"/>
      <c r="J3199" s="15"/>
      <c r="L3199" s="18"/>
      <c r="M3199" s="19"/>
      <c r="N3199" s="19"/>
    </row>
    <row r="3200">
      <c r="A3200" s="14"/>
      <c r="B3200" s="15"/>
      <c r="C3200" s="15"/>
      <c r="D3200" s="15"/>
      <c r="E3200" s="15"/>
      <c r="F3200" s="15"/>
      <c r="G3200" s="15"/>
      <c r="H3200" s="15"/>
      <c r="I3200" s="15"/>
      <c r="J3200" s="15"/>
      <c r="L3200" s="18"/>
      <c r="M3200" s="19"/>
      <c r="N3200" s="19"/>
    </row>
    <row r="3201">
      <c r="A3201" s="14"/>
      <c r="B3201" s="15"/>
      <c r="C3201" s="15"/>
      <c r="D3201" s="15"/>
      <c r="E3201" s="15"/>
      <c r="F3201" s="15"/>
      <c r="G3201" s="15"/>
      <c r="H3201" s="15"/>
      <c r="I3201" s="15"/>
      <c r="J3201" s="15"/>
      <c r="L3201" s="18"/>
      <c r="M3201" s="19"/>
      <c r="N3201" s="19"/>
    </row>
    <row r="3202">
      <c r="A3202" s="14"/>
      <c r="B3202" s="15"/>
      <c r="C3202" s="15"/>
      <c r="D3202" s="15"/>
      <c r="E3202" s="15"/>
      <c r="F3202" s="15"/>
      <c r="G3202" s="15"/>
      <c r="H3202" s="15"/>
      <c r="I3202" s="15"/>
      <c r="J3202" s="15"/>
      <c r="L3202" s="18"/>
      <c r="M3202" s="19"/>
      <c r="N3202" s="19"/>
    </row>
    <row r="3203">
      <c r="A3203" s="14"/>
      <c r="B3203" s="15"/>
      <c r="C3203" s="15"/>
      <c r="D3203" s="15"/>
      <c r="E3203" s="15"/>
      <c r="F3203" s="15"/>
      <c r="G3203" s="15"/>
      <c r="H3203" s="15"/>
      <c r="I3203" s="15"/>
      <c r="J3203" s="15"/>
      <c r="L3203" s="18"/>
      <c r="M3203" s="19"/>
      <c r="N3203" s="19"/>
    </row>
    <row r="3204">
      <c r="A3204" s="14"/>
      <c r="B3204" s="15"/>
      <c r="C3204" s="15"/>
      <c r="D3204" s="15"/>
      <c r="E3204" s="15"/>
      <c r="F3204" s="15"/>
      <c r="G3204" s="15"/>
      <c r="H3204" s="15"/>
      <c r="I3204" s="15"/>
      <c r="J3204" s="15"/>
      <c r="L3204" s="18"/>
      <c r="M3204" s="19"/>
      <c r="N3204" s="19"/>
    </row>
    <row r="3205">
      <c r="A3205" s="14"/>
      <c r="B3205" s="15"/>
      <c r="C3205" s="15"/>
      <c r="D3205" s="15"/>
      <c r="E3205" s="15"/>
      <c r="F3205" s="15"/>
      <c r="G3205" s="15"/>
      <c r="H3205" s="15"/>
      <c r="I3205" s="15"/>
      <c r="J3205" s="15"/>
      <c r="L3205" s="18"/>
      <c r="M3205" s="19"/>
      <c r="N3205" s="19"/>
    </row>
    <row r="3206">
      <c r="A3206" s="14"/>
      <c r="B3206" s="15"/>
      <c r="C3206" s="15"/>
      <c r="D3206" s="15"/>
      <c r="E3206" s="15"/>
      <c r="F3206" s="15"/>
      <c r="G3206" s="15"/>
      <c r="H3206" s="15"/>
      <c r="I3206" s="15"/>
      <c r="J3206" s="15"/>
      <c r="L3206" s="18"/>
      <c r="M3206" s="19"/>
      <c r="N3206" s="19"/>
    </row>
    <row r="3207">
      <c r="A3207" s="14"/>
      <c r="B3207" s="15"/>
      <c r="C3207" s="15"/>
      <c r="D3207" s="15"/>
      <c r="E3207" s="15"/>
      <c r="F3207" s="15"/>
      <c r="G3207" s="15"/>
      <c r="H3207" s="15"/>
      <c r="I3207" s="15"/>
      <c r="J3207" s="15"/>
      <c r="L3207" s="18"/>
      <c r="M3207" s="19"/>
      <c r="N3207" s="19"/>
    </row>
    <row r="3208">
      <c r="A3208" s="14"/>
      <c r="B3208" s="15"/>
      <c r="C3208" s="15"/>
      <c r="D3208" s="15"/>
      <c r="E3208" s="15"/>
      <c r="F3208" s="15"/>
      <c r="G3208" s="15"/>
      <c r="H3208" s="15"/>
      <c r="I3208" s="15"/>
      <c r="J3208" s="15"/>
      <c r="L3208" s="18"/>
      <c r="M3208" s="19"/>
      <c r="N3208" s="19"/>
    </row>
    <row r="3209">
      <c r="A3209" s="14"/>
      <c r="B3209" s="15"/>
      <c r="C3209" s="15"/>
      <c r="D3209" s="15"/>
      <c r="E3209" s="15"/>
      <c r="F3209" s="15"/>
      <c r="G3209" s="15"/>
      <c r="H3209" s="15"/>
      <c r="I3209" s="15"/>
      <c r="J3209" s="15"/>
      <c r="L3209" s="18"/>
      <c r="M3209" s="19"/>
      <c r="N3209" s="19"/>
    </row>
    <row r="3210">
      <c r="A3210" s="14"/>
      <c r="B3210" s="15"/>
      <c r="C3210" s="15"/>
      <c r="D3210" s="15"/>
      <c r="E3210" s="15"/>
      <c r="F3210" s="15"/>
      <c r="G3210" s="15"/>
      <c r="H3210" s="15"/>
      <c r="I3210" s="15"/>
      <c r="J3210" s="15"/>
      <c r="L3210" s="18"/>
      <c r="M3210" s="19"/>
      <c r="N3210" s="19"/>
    </row>
    <row r="3211">
      <c r="A3211" s="14"/>
      <c r="B3211" s="15"/>
      <c r="C3211" s="15"/>
      <c r="D3211" s="15"/>
      <c r="E3211" s="15"/>
      <c r="F3211" s="15"/>
      <c r="G3211" s="15"/>
      <c r="H3211" s="15"/>
      <c r="I3211" s="15"/>
      <c r="J3211" s="15"/>
      <c r="L3211" s="18"/>
      <c r="M3211" s="19"/>
      <c r="N3211" s="19"/>
    </row>
    <row r="3212">
      <c r="A3212" s="14"/>
      <c r="B3212" s="15"/>
      <c r="C3212" s="15"/>
      <c r="D3212" s="15"/>
      <c r="E3212" s="15"/>
      <c r="F3212" s="15"/>
      <c r="G3212" s="15"/>
      <c r="H3212" s="15"/>
      <c r="I3212" s="15"/>
      <c r="J3212" s="15"/>
      <c r="L3212" s="18"/>
      <c r="M3212" s="19"/>
      <c r="N3212" s="19"/>
    </row>
    <row r="3213">
      <c r="A3213" s="14"/>
      <c r="B3213" s="15"/>
      <c r="C3213" s="15"/>
      <c r="D3213" s="15"/>
      <c r="E3213" s="15"/>
      <c r="F3213" s="15"/>
      <c r="G3213" s="15"/>
      <c r="H3213" s="15"/>
      <c r="I3213" s="15"/>
      <c r="J3213" s="15"/>
      <c r="L3213" s="18"/>
      <c r="M3213" s="19"/>
      <c r="N3213" s="19"/>
    </row>
    <row r="3214">
      <c r="A3214" s="14"/>
      <c r="B3214" s="15"/>
      <c r="C3214" s="15"/>
      <c r="D3214" s="15"/>
      <c r="E3214" s="15"/>
      <c r="F3214" s="15"/>
      <c r="G3214" s="15"/>
      <c r="H3214" s="15"/>
      <c r="I3214" s="15"/>
      <c r="J3214" s="15"/>
      <c r="L3214" s="18"/>
      <c r="M3214" s="19"/>
      <c r="N3214" s="19"/>
    </row>
    <row r="3215">
      <c r="A3215" s="14"/>
      <c r="B3215" s="15"/>
      <c r="C3215" s="15"/>
      <c r="D3215" s="15"/>
      <c r="E3215" s="15"/>
      <c r="F3215" s="15"/>
      <c r="G3215" s="15"/>
      <c r="H3215" s="15"/>
      <c r="I3215" s="15"/>
      <c r="J3215" s="15"/>
      <c r="L3215" s="18"/>
      <c r="M3215" s="19"/>
      <c r="N3215" s="19"/>
    </row>
    <row r="3216">
      <c r="A3216" s="14"/>
      <c r="B3216" s="15"/>
      <c r="C3216" s="15"/>
      <c r="D3216" s="15"/>
      <c r="E3216" s="15"/>
      <c r="F3216" s="15"/>
      <c r="G3216" s="15"/>
      <c r="H3216" s="15"/>
      <c r="I3216" s="15"/>
      <c r="J3216" s="15"/>
      <c r="L3216" s="18"/>
      <c r="M3216" s="19"/>
      <c r="N3216" s="19"/>
    </row>
    <row r="3217">
      <c r="A3217" s="14"/>
      <c r="B3217" s="15"/>
      <c r="C3217" s="15"/>
      <c r="D3217" s="15"/>
      <c r="E3217" s="15"/>
      <c r="F3217" s="15"/>
      <c r="G3217" s="15"/>
      <c r="H3217" s="15"/>
      <c r="I3217" s="15"/>
      <c r="J3217" s="15"/>
      <c r="L3217" s="18"/>
      <c r="M3217" s="19"/>
      <c r="N3217" s="19"/>
    </row>
    <row r="3218">
      <c r="A3218" s="14"/>
      <c r="B3218" s="15"/>
      <c r="C3218" s="15"/>
      <c r="D3218" s="15"/>
      <c r="E3218" s="15"/>
      <c r="F3218" s="15"/>
      <c r="G3218" s="15"/>
      <c r="H3218" s="15"/>
      <c r="I3218" s="15"/>
      <c r="J3218" s="15"/>
      <c r="L3218" s="18"/>
      <c r="M3218" s="19"/>
      <c r="N3218" s="19"/>
    </row>
    <row r="3219">
      <c r="A3219" s="14"/>
      <c r="B3219" s="15"/>
      <c r="C3219" s="15"/>
      <c r="D3219" s="15"/>
      <c r="E3219" s="15"/>
      <c r="F3219" s="15"/>
      <c r="G3219" s="15"/>
      <c r="H3219" s="15"/>
      <c r="I3219" s="15"/>
      <c r="J3219" s="15"/>
      <c r="L3219" s="18"/>
      <c r="M3219" s="19"/>
      <c r="N3219" s="19"/>
    </row>
    <row r="3220">
      <c r="A3220" s="14"/>
      <c r="B3220" s="15"/>
      <c r="C3220" s="15"/>
      <c r="D3220" s="15"/>
      <c r="E3220" s="15"/>
      <c r="F3220" s="15"/>
      <c r="G3220" s="15"/>
      <c r="H3220" s="15"/>
      <c r="I3220" s="15"/>
      <c r="J3220" s="15"/>
      <c r="L3220" s="18"/>
      <c r="M3220" s="19"/>
      <c r="N3220" s="19"/>
    </row>
    <row r="3221">
      <c r="A3221" s="14"/>
      <c r="B3221" s="15"/>
      <c r="C3221" s="15"/>
      <c r="D3221" s="15"/>
      <c r="E3221" s="15"/>
      <c r="F3221" s="15"/>
      <c r="G3221" s="15"/>
      <c r="H3221" s="15"/>
      <c r="I3221" s="15"/>
      <c r="J3221" s="15"/>
      <c r="L3221" s="18"/>
      <c r="M3221" s="19"/>
      <c r="N3221" s="19"/>
    </row>
    <row r="3222">
      <c r="A3222" s="14"/>
      <c r="B3222" s="15"/>
      <c r="C3222" s="15"/>
      <c r="D3222" s="15"/>
      <c r="E3222" s="15"/>
      <c r="F3222" s="15"/>
      <c r="G3222" s="15"/>
      <c r="H3222" s="15"/>
      <c r="I3222" s="15"/>
      <c r="J3222" s="15"/>
      <c r="L3222" s="18"/>
      <c r="M3222" s="19"/>
      <c r="N3222" s="19"/>
    </row>
    <row r="3223">
      <c r="A3223" s="14"/>
      <c r="B3223" s="15"/>
      <c r="C3223" s="15"/>
      <c r="D3223" s="15"/>
      <c r="E3223" s="15"/>
      <c r="F3223" s="15"/>
      <c r="G3223" s="15"/>
      <c r="H3223" s="15"/>
      <c r="I3223" s="15"/>
      <c r="J3223" s="15"/>
      <c r="L3223" s="18"/>
      <c r="M3223" s="19"/>
      <c r="N3223" s="19"/>
    </row>
    <row r="3224">
      <c r="A3224" s="14"/>
      <c r="B3224" s="15"/>
      <c r="C3224" s="15"/>
      <c r="D3224" s="15"/>
      <c r="E3224" s="15"/>
      <c r="F3224" s="15"/>
      <c r="G3224" s="15"/>
      <c r="H3224" s="15"/>
      <c r="I3224" s="15"/>
      <c r="J3224" s="15"/>
      <c r="L3224" s="18"/>
      <c r="M3224" s="19"/>
      <c r="N3224" s="19"/>
    </row>
    <row r="3225">
      <c r="A3225" s="14"/>
      <c r="B3225" s="15"/>
      <c r="C3225" s="15"/>
      <c r="D3225" s="15"/>
      <c r="E3225" s="15"/>
      <c r="F3225" s="15"/>
      <c r="G3225" s="15"/>
      <c r="H3225" s="15"/>
      <c r="I3225" s="15"/>
      <c r="J3225" s="15"/>
      <c r="L3225" s="18"/>
      <c r="M3225" s="19"/>
      <c r="N3225" s="19"/>
    </row>
    <row r="3226">
      <c r="A3226" s="14"/>
      <c r="B3226" s="15"/>
      <c r="C3226" s="15"/>
      <c r="D3226" s="15"/>
      <c r="E3226" s="15"/>
      <c r="F3226" s="15"/>
      <c r="G3226" s="15"/>
      <c r="H3226" s="15"/>
      <c r="I3226" s="15"/>
      <c r="J3226" s="15"/>
      <c r="L3226" s="18"/>
      <c r="M3226" s="19"/>
      <c r="N3226" s="19"/>
    </row>
    <row r="3227">
      <c r="A3227" s="14"/>
      <c r="B3227" s="15"/>
      <c r="C3227" s="15"/>
      <c r="D3227" s="15"/>
      <c r="E3227" s="15"/>
      <c r="F3227" s="15"/>
      <c r="G3227" s="15"/>
      <c r="H3227" s="15"/>
      <c r="I3227" s="15"/>
      <c r="J3227" s="15"/>
      <c r="L3227" s="18"/>
      <c r="M3227" s="19"/>
      <c r="N3227" s="19"/>
    </row>
    <row r="3228">
      <c r="A3228" s="14"/>
      <c r="B3228" s="15"/>
      <c r="C3228" s="15"/>
      <c r="D3228" s="15"/>
      <c r="E3228" s="15"/>
      <c r="F3228" s="15"/>
      <c r="G3228" s="15"/>
      <c r="H3228" s="15"/>
      <c r="I3228" s="15"/>
      <c r="J3228" s="15"/>
      <c r="L3228" s="18"/>
      <c r="M3228" s="19"/>
      <c r="N3228" s="19"/>
    </row>
    <row r="3229">
      <c r="A3229" s="14"/>
      <c r="B3229" s="15"/>
      <c r="C3229" s="15"/>
      <c r="D3229" s="15"/>
      <c r="E3229" s="15"/>
      <c r="F3229" s="15"/>
      <c r="G3229" s="15"/>
      <c r="H3229" s="15"/>
      <c r="I3229" s="15"/>
      <c r="J3229" s="15"/>
      <c r="L3229" s="18"/>
      <c r="M3229" s="19"/>
      <c r="N3229" s="19"/>
    </row>
    <row r="3230">
      <c r="A3230" s="14"/>
      <c r="B3230" s="15"/>
      <c r="C3230" s="15"/>
      <c r="D3230" s="15"/>
      <c r="E3230" s="15"/>
      <c r="F3230" s="15"/>
      <c r="G3230" s="15"/>
      <c r="H3230" s="15"/>
      <c r="I3230" s="15"/>
      <c r="J3230" s="15"/>
      <c r="L3230" s="18"/>
      <c r="M3230" s="19"/>
      <c r="N3230" s="19"/>
    </row>
    <row r="3231">
      <c r="A3231" s="14"/>
      <c r="B3231" s="15"/>
      <c r="C3231" s="15"/>
      <c r="D3231" s="15"/>
      <c r="E3231" s="15"/>
      <c r="F3231" s="15"/>
      <c r="G3231" s="15"/>
      <c r="H3231" s="15"/>
      <c r="I3231" s="15"/>
      <c r="J3231" s="15"/>
      <c r="L3231" s="18"/>
      <c r="M3231" s="19"/>
      <c r="N3231" s="19"/>
    </row>
    <row r="3232">
      <c r="A3232" s="14"/>
      <c r="B3232" s="15"/>
      <c r="C3232" s="15"/>
      <c r="D3232" s="15"/>
      <c r="E3232" s="15"/>
      <c r="F3232" s="15"/>
      <c r="G3232" s="15"/>
      <c r="H3232" s="15"/>
      <c r="I3232" s="15"/>
      <c r="J3232" s="15"/>
      <c r="L3232" s="18"/>
      <c r="M3232" s="19"/>
      <c r="N3232" s="19"/>
    </row>
    <row r="3233">
      <c r="A3233" s="14"/>
      <c r="B3233" s="15"/>
      <c r="C3233" s="15"/>
      <c r="D3233" s="15"/>
      <c r="E3233" s="15"/>
      <c r="F3233" s="15"/>
      <c r="G3233" s="15"/>
      <c r="H3233" s="15"/>
      <c r="I3233" s="15"/>
      <c r="J3233" s="15"/>
      <c r="L3233" s="18"/>
      <c r="M3233" s="19"/>
      <c r="N3233" s="19"/>
    </row>
    <row r="3234">
      <c r="A3234" s="14"/>
      <c r="B3234" s="15"/>
      <c r="C3234" s="15"/>
      <c r="D3234" s="15"/>
      <c r="E3234" s="15"/>
      <c r="F3234" s="15"/>
      <c r="G3234" s="15"/>
      <c r="H3234" s="15"/>
      <c r="I3234" s="15"/>
      <c r="J3234" s="15"/>
      <c r="L3234" s="18"/>
      <c r="M3234" s="19"/>
      <c r="N3234" s="19"/>
    </row>
    <row r="3235">
      <c r="A3235" s="14"/>
      <c r="B3235" s="15"/>
      <c r="C3235" s="15"/>
      <c r="D3235" s="15"/>
      <c r="E3235" s="15"/>
      <c r="F3235" s="15"/>
      <c r="G3235" s="15"/>
      <c r="H3235" s="15"/>
      <c r="I3235" s="15"/>
      <c r="J3235" s="15"/>
      <c r="L3235" s="18"/>
      <c r="M3235" s="19"/>
      <c r="N3235" s="19"/>
    </row>
    <row r="3236">
      <c r="A3236" s="14"/>
      <c r="B3236" s="15"/>
      <c r="C3236" s="15"/>
      <c r="D3236" s="15"/>
      <c r="E3236" s="15"/>
      <c r="F3236" s="15"/>
      <c r="G3236" s="15"/>
      <c r="H3236" s="15"/>
      <c r="I3236" s="15"/>
      <c r="J3236" s="15"/>
      <c r="L3236" s="18"/>
      <c r="M3236" s="19"/>
      <c r="N3236" s="19"/>
    </row>
    <row r="3237">
      <c r="A3237" s="14"/>
      <c r="B3237" s="15"/>
      <c r="C3237" s="15"/>
      <c r="D3237" s="15"/>
      <c r="E3237" s="15"/>
      <c r="F3237" s="15"/>
      <c r="G3237" s="15"/>
      <c r="H3237" s="15"/>
      <c r="I3237" s="15"/>
      <c r="J3237" s="15"/>
      <c r="L3237" s="18"/>
      <c r="M3237" s="19"/>
      <c r="N3237" s="19"/>
    </row>
    <row r="3238">
      <c r="A3238" s="14"/>
      <c r="B3238" s="15"/>
      <c r="C3238" s="15"/>
      <c r="D3238" s="15"/>
      <c r="E3238" s="15"/>
      <c r="F3238" s="15"/>
      <c r="G3238" s="15"/>
      <c r="H3238" s="15"/>
      <c r="I3238" s="15"/>
      <c r="J3238" s="15"/>
      <c r="L3238" s="18"/>
      <c r="M3238" s="19"/>
      <c r="N3238" s="19"/>
    </row>
    <row r="3239">
      <c r="A3239" s="14"/>
      <c r="B3239" s="15"/>
      <c r="C3239" s="15"/>
      <c r="D3239" s="15"/>
      <c r="E3239" s="15"/>
      <c r="F3239" s="15"/>
      <c r="G3239" s="15"/>
      <c r="H3239" s="15"/>
      <c r="I3239" s="15"/>
      <c r="J3239" s="15"/>
      <c r="L3239" s="18"/>
      <c r="M3239" s="19"/>
      <c r="N3239" s="19"/>
    </row>
    <row r="3240">
      <c r="A3240" s="14"/>
      <c r="B3240" s="15"/>
      <c r="C3240" s="15"/>
      <c r="D3240" s="15"/>
      <c r="E3240" s="15"/>
      <c r="F3240" s="15"/>
      <c r="G3240" s="15"/>
      <c r="H3240" s="15"/>
      <c r="I3240" s="15"/>
      <c r="J3240" s="15"/>
      <c r="L3240" s="18"/>
      <c r="M3240" s="19"/>
      <c r="N3240" s="19"/>
    </row>
    <row r="3241">
      <c r="A3241" s="14"/>
      <c r="B3241" s="15"/>
      <c r="C3241" s="15"/>
      <c r="D3241" s="15"/>
      <c r="E3241" s="15"/>
      <c r="F3241" s="15"/>
      <c r="G3241" s="15"/>
      <c r="H3241" s="15"/>
      <c r="I3241" s="15"/>
      <c r="J3241" s="15"/>
      <c r="L3241" s="18"/>
      <c r="M3241" s="19"/>
      <c r="N3241" s="19"/>
    </row>
    <row r="3242">
      <c r="A3242" s="14"/>
      <c r="B3242" s="15"/>
      <c r="C3242" s="15"/>
      <c r="D3242" s="15"/>
      <c r="E3242" s="15"/>
      <c r="F3242" s="15"/>
      <c r="G3242" s="15"/>
      <c r="H3242" s="15"/>
      <c r="I3242" s="15"/>
      <c r="J3242" s="15"/>
      <c r="L3242" s="18"/>
      <c r="M3242" s="19"/>
      <c r="N3242" s="19"/>
    </row>
    <row r="3243">
      <c r="A3243" s="14"/>
      <c r="B3243" s="15"/>
      <c r="C3243" s="15"/>
      <c r="D3243" s="15"/>
      <c r="E3243" s="15"/>
      <c r="F3243" s="15"/>
      <c r="G3243" s="15"/>
      <c r="H3243" s="15"/>
      <c r="I3243" s="15"/>
      <c r="J3243" s="15"/>
      <c r="L3243" s="18"/>
      <c r="M3243" s="19"/>
      <c r="N3243" s="19"/>
    </row>
    <row r="3244">
      <c r="A3244" s="14"/>
      <c r="B3244" s="15"/>
      <c r="C3244" s="15"/>
      <c r="D3244" s="15"/>
      <c r="E3244" s="15"/>
      <c r="F3244" s="15"/>
      <c r="G3244" s="15"/>
      <c r="H3244" s="15"/>
      <c r="I3244" s="15"/>
      <c r="J3244" s="15"/>
      <c r="L3244" s="18"/>
      <c r="M3244" s="19"/>
      <c r="N3244" s="19"/>
    </row>
    <row r="3245">
      <c r="A3245" s="14"/>
      <c r="B3245" s="15"/>
      <c r="C3245" s="15"/>
      <c r="D3245" s="15"/>
      <c r="E3245" s="15"/>
      <c r="F3245" s="15"/>
      <c r="G3245" s="15"/>
      <c r="H3245" s="15"/>
      <c r="I3245" s="15"/>
      <c r="J3245" s="15"/>
      <c r="L3245" s="18"/>
      <c r="M3245" s="19"/>
      <c r="N3245" s="19"/>
    </row>
    <row r="3246">
      <c r="A3246" s="14"/>
      <c r="B3246" s="15"/>
      <c r="C3246" s="15"/>
      <c r="D3246" s="15"/>
      <c r="E3246" s="15"/>
      <c r="F3246" s="15"/>
      <c r="G3246" s="15"/>
      <c r="H3246" s="15"/>
      <c r="I3246" s="15"/>
      <c r="J3246" s="15"/>
      <c r="L3246" s="18"/>
      <c r="M3246" s="19"/>
      <c r="N3246" s="19"/>
    </row>
    <row r="3247">
      <c r="A3247" s="14"/>
      <c r="B3247" s="15"/>
      <c r="C3247" s="15"/>
      <c r="D3247" s="15"/>
      <c r="E3247" s="15"/>
      <c r="F3247" s="15"/>
      <c r="G3247" s="15"/>
      <c r="H3247" s="15"/>
      <c r="I3247" s="15"/>
      <c r="J3247" s="15"/>
      <c r="L3247" s="18"/>
      <c r="M3247" s="19"/>
      <c r="N3247" s="19"/>
    </row>
    <row r="3248">
      <c r="A3248" s="14"/>
      <c r="B3248" s="15"/>
      <c r="C3248" s="15"/>
      <c r="D3248" s="15"/>
      <c r="E3248" s="15"/>
      <c r="F3248" s="15"/>
      <c r="G3248" s="15"/>
      <c r="H3248" s="15"/>
      <c r="I3248" s="15"/>
      <c r="J3248" s="15"/>
      <c r="L3248" s="18"/>
      <c r="M3248" s="19"/>
      <c r="N3248" s="19"/>
    </row>
    <row r="3249">
      <c r="A3249" s="14"/>
      <c r="B3249" s="15"/>
      <c r="C3249" s="15"/>
      <c r="D3249" s="15"/>
      <c r="E3249" s="15"/>
      <c r="F3249" s="15"/>
      <c r="G3249" s="15"/>
      <c r="H3249" s="15"/>
      <c r="I3249" s="15"/>
      <c r="J3249" s="15"/>
      <c r="L3249" s="18"/>
      <c r="M3249" s="19"/>
      <c r="N3249" s="19"/>
    </row>
    <row r="3250">
      <c r="A3250" s="14"/>
      <c r="B3250" s="15"/>
      <c r="C3250" s="15"/>
      <c r="D3250" s="15"/>
      <c r="E3250" s="15"/>
      <c r="F3250" s="15"/>
      <c r="G3250" s="15"/>
      <c r="H3250" s="15"/>
      <c r="I3250" s="15"/>
      <c r="J3250" s="15"/>
      <c r="L3250" s="18"/>
      <c r="M3250" s="19"/>
      <c r="N3250" s="19"/>
    </row>
    <row r="3251">
      <c r="A3251" s="14"/>
      <c r="B3251" s="15"/>
      <c r="C3251" s="15"/>
      <c r="D3251" s="15"/>
      <c r="E3251" s="15"/>
      <c r="F3251" s="15"/>
      <c r="G3251" s="15"/>
      <c r="H3251" s="15"/>
      <c r="I3251" s="15"/>
      <c r="J3251" s="15"/>
      <c r="L3251" s="18"/>
      <c r="M3251" s="19"/>
      <c r="N3251" s="19"/>
    </row>
    <row r="3252">
      <c r="A3252" s="14"/>
      <c r="B3252" s="15"/>
      <c r="C3252" s="15"/>
      <c r="D3252" s="15"/>
      <c r="E3252" s="15"/>
      <c r="F3252" s="15"/>
      <c r="G3252" s="15"/>
      <c r="H3252" s="15"/>
      <c r="I3252" s="15"/>
      <c r="J3252" s="15"/>
      <c r="L3252" s="18"/>
      <c r="M3252" s="19"/>
      <c r="N3252" s="19"/>
    </row>
    <row r="3253">
      <c r="A3253" s="14"/>
      <c r="B3253" s="15"/>
      <c r="C3253" s="15"/>
      <c r="D3253" s="15"/>
      <c r="E3253" s="15"/>
      <c r="F3253" s="15"/>
      <c r="G3253" s="15"/>
      <c r="H3253" s="15"/>
      <c r="I3253" s="15"/>
      <c r="J3253" s="15"/>
      <c r="L3253" s="18"/>
      <c r="M3253" s="19"/>
      <c r="N3253" s="19"/>
    </row>
    <row r="3254">
      <c r="A3254" s="14"/>
      <c r="B3254" s="15"/>
      <c r="C3254" s="15"/>
      <c r="D3254" s="15"/>
      <c r="E3254" s="15"/>
      <c r="F3254" s="15"/>
      <c r="G3254" s="15"/>
      <c r="H3254" s="15"/>
      <c r="I3254" s="15"/>
      <c r="J3254" s="15"/>
      <c r="L3254" s="18"/>
      <c r="M3254" s="19"/>
      <c r="N3254" s="19"/>
    </row>
    <row r="3255">
      <c r="A3255" s="14"/>
      <c r="B3255" s="15"/>
      <c r="C3255" s="15"/>
      <c r="D3255" s="15"/>
      <c r="E3255" s="15"/>
      <c r="F3255" s="15"/>
      <c r="G3255" s="15"/>
      <c r="H3255" s="15"/>
      <c r="I3255" s="15"/>
      <c r="J3255" s="15"/>
      <c r="L3255" s="18"/>
      <c r="M3255" s="19"/>
      <c r="N3255" s="19"/>
    </row>
    <row r="3256">
      <c r="A3256" s="14"/>
      <c r="B3256" s="15"/>
      <c r="C3256" s="15"/>
      <c r="D3256" s="15"/>
      <c r="E3256" s="15"/>
      <c r="F3256" s="15"/>
      <c r="G3256" s="15"/>
      <c r="H3256" s="15"/>
      <c r="I3256" s="15"/>
      <c r="J3256" s="15"/>
      <c r="L3256" s="18"/>
      <c r="M3256" s="19"/>
      <c r="N3256" s="19"/>
    </row>
    <row r="3257">
      <c r="A3257" s="14"/>
      <c r="B3257" s="15"/>
      <c r="C3257" s="15"/>
      <c r="D3257" s="15"/>
      <c r="E3257" s="15"/>
      <c r="F3257" s="15"/>
      <c r="G3257" s="15"/>
      <c r="H3257" s="15"/>
      <c r="I3257" s="15"/>
      <c r="J3257" s="15"/>
      <c r="L3257" s="18"/>
      <c r="M3257" s="19"/>
      <c r="N3257" s="19"/>
    </row>
    <row r="3258">
      <c r="A3258" s="14"/>
      <c r="B3258" s="15"/>
      <c r="C3258" s="15"/>
      <c r="D3258" s="15"/>
      <c r="E3258" s="15"/>
      <c r="F3258" s="15"/>
      <c r="G3258" s="15"/>
      <c r="H3258" s="15"/>
      <c r="I3258" s="15"/>
      <c r="J3258" s="15"/>
      <c r="L3258" s="18"/>
      <c r="M3258" s="19"/>
      <c r="N3258" s="19"/>
    </row>
    <row r="3259">
      <c r="A3259" s="14"/>
      <c r="B3259" s="15"/>
      <c r="C3259" s="15"/>
      <c r="D3259" s="15"/>
      <c r="E3259" s="15"/>
      <c r="F3259" s="15"/>
      <c r="G3259" s="15"/>
      <c r="H3259" s="15"/>
      <c r="I3259" s="15"/>
      <c r="J3259" s="15"/>
      <c r="L3259" s="18"/>
      <c r="M3259" s="19"/>
      <c r="N3259" s="19"/>
    </row>
    <row r="3260">
      <c r="A3260" s="14"/>
      <c r="B3260" s="15"/>
      <c r="C3260" s="15"/>
      <c r="D3260" s="15"/>
      <c r="E3260" s="15"/>
      <c r="F3260" s="15"/>
      <c r="G3260" s="15"/>
      <c r="H3260" s="15"/>
      <c r="I3260" s="15"/>
      <c r="J3260" s="15"/>
      <c r="L3260" s="18"/>
      <c r="M3260" s="19"/>
      <c r="N3260" s="19"/>
    </row>
    <row r="3261">
      <c r="A3261" s="14"/>
      <c r="B3261" s="15"/>
      <c r="C3261" s="15"/>
      <c r="D3261" s="15"/>
      <c r="E3261" s="15"/>
      <c r="F3261" s="15"/>
      <c r="G3261" s="15"/>
      <c r="H3261" s="15"/>
      <c r="I3261" s="15"/>
      <c r="J3261" s="15"/>
      <c r="L3261" s="18"/>
      <c r="M3261" s="19"/>
      <c r="N3261" s="19"/>
    </row>
    <row r="3262">
      <c r="A3262" s="14"/>
      <c r="B3262" s="15"/>
      <c r="C3262" s="15"/>
      <c r="D3262" s="15"/>
      <c r="E3262" s="15"/>
      <c r="F3262" s="15"/>
      <c r="G3262" s="15"/>
      <c r="H3262" s="15"/>
      <c r="I3262" s="15"/>
      <c r="J3262" s="15"/>
      <c r="L3262" s="18"/>
      <c r="M3262" s="19"/>
      <c r="N3262" s="19"/>
    </row>
    <row r="3263">
      <c r="A3263" s="14"/>
      <c r="B3263" s="15"/>
      <c r="C3263" s="15"/>
      <c r="D3263" s="15"/>
      <c r="E3263" s="15"/>
      <c r="F3263" s="15"/>
      <c r="G3263" s="15"/>
      <c r="H3263" s="15"/>
      <c r="I3263" s="15"/>
      <c r="J3263" s="15"/>
      <c r="L3263" s="18"/>
      <c r="M3263" s="19"/>
      <c r="N3263" s="19"/>
    </row>
    <row r="3264">
      <c r="A3264" s="14"/>
      <c r="B3264" s="15"/>
      <c r="C3264" s="15"/>
      <c r="D3264" s="15"/>
      <c r="E3264" s="15"/>
      <c r="F3264" s="15"/>
      <c r="G3264" s="15"/>
      <c r="H3264" s="15"/>
      <c r="I3264" s="15"/>
      <c r="J3264" s="15"/>
      <c r="L3264" s="18"/>
      <c r="M3264" s="19"/>
      <c r="N3264" s="19"/>
    </row>
    <row r="3265">
      <c r="A3265" s="14"/>
      <c r="B3265" s="15"/>
      <c r="C3265" s="15"/>
      <c r="D3265" s="15"/>
      <c r="E3265" s="15"/>
      <c r="F3265" s="15"/>
      <c r="G3265" s="15"/>
      <c r="H3265" s="15"/>
      <c r="I3265" s="15"/>
      <c r="J3265" s="15"/>
      <c r="L3265" s="18"/>
      <c r="M3265" s="19"/>
      <c r="N3265" s="19"/>
    </row>
    <row r="3266">
      <c r="A3266" s="14"/>
      <c r="B3266" s="15"/>
      <c r="C3266" s="15"/>
      <c r="D3266" s="15"/>
      <c r="E3266" s="15"/>
      <c r="F3266" s="15"/>
      <c r="G3266" s="15"/>
      <c r="H3266" s="15"/>
      <c r="I3266" s="15"/>
      <c r="J3266" s="15"/>
      <c r="L3266" s="18"/>
      <c r="M3266" s="19"/>
      <c r="N3266" s="19"/>
    </row>
    <row r="3267">
      <c r="A3267" s="14"/>
      <c r="B3267" s="15"/>
      <c r="C3267" s="15"/>
      <c r="D3267" s="15"/>
      <c r="E3267" s="15"/>
      <c r="F3267" s="15"/>
      <c r="G3267" s="15"/>
      <c r="H3267" s="15"/>
      <c r="I3267" s="15"/>
      <c r="J3267" s="15"/>
      <c r="L3267" s="18"/>
      <c r="M3267" s="19"/>
      <c r="N3267" s="19"/>
    </row>
    <row r="3268">
      <c r="A3268" s="14"/>
      <c r="B3268" s="15"/>
      <c r="C3268" s="15"/>
      <c r="D3268" s="15"/>
      <c r="E3268" s="15"/>
      <c r="F3268" s="15"/>
      <c r="G3268" s="15"/>
      <c r="H3268" s="15"/>
      <c r="I3268" s="15"/>
      <c r="J3268" s="15"/>
      <c r="L3268" s="18"/>
      <c r="M3268" s="19"/>
      <c r="N3268" s="19"/>
    </row>
    <row r="3269">
      <c r="A3269" s="14"/>
      <c r="B3269" s="15"/>
      <c r="C3269" s="15"/>
      <c r="D3269" s="15"/>
      <c r="E3269" s="15"/>
      <c r="F3269" s="15"/>
      <c r="G3269" s="15"/>
      <c r="H3269" s="15"/>
      <c r="I3269" s="15"/>
      <c r="J3269" s="15"/>
      <c r="L3269" s="18"/>
      <c r="M3269" s="19"/>
      <c r="N3269" s="19"/>
    </row>
    <row r="3270">
      <c r="A3270" s="14"/>
      <c r="B3270" s="15"/>
      <c r="C3270" s="15"/>
      <c r="D3270" s="15"/>
      <c r="E3270" s="15"/>
      <c r="F3270" s="15"/>
      <c r="G3270" s="15"/>
      <c r="H3270" s="15"/>
      <c r="I3270" s="15"/>
      <c r="J3270" s="15"/>
      <c r="L3270" s="18"/>
      <c r="M3270" s="19"/>
      <c r="N3270" s="19"/>
    </row>
    <row r="3271">
      <c r="A3271" s="14"/>
      <c r="B3271" s="15"/>
      <c r="C3271" s="15"/>
      <c r="D3271" s="15"/>
      <c r="E3271" s="15"/>
      <c r="F3271" s="15"/>
      <c r="G3271" s="15"/>
      <c r="H3271" s="15"/>
      <c r="I3271" s="15"/>
      <c r="J3271" s="15"/>
      <c r="L3271" s="18"/>
      <c r="M3271" s="19"/>
      <c r="N3271" s="19"/>
    </row>
    <row r="3272">
      <c r="A3272" s="14"/>
      <c r="B3272" s="15"/>
      <c r="C3272" s="15"/>
      <c r="D3272" s="15"/>
      <c r="E3272" s="15"/>
      <c r="F3272" s="15"/>
      <c r="G3272" s="15"/>
      <c r="H3272" s="15"/>
      <c r="I3272" s="15"/>
      <c r="J3272" s="15"/>
      <c r="L3272" s="18"/>
      <c r="M3272" s="19"/>
      <c r="N3272" s="19"/>
    </row>
    <row r="3273">
      <c r="A3273" s="14"/>
      <c r="B3273" s="15"/>
      <c r="C3273" s="15"/>
      <c r="D3273" s="15"/>
      <c r="E3273" s="15"/>
      <c r="F3273" s="15"/>
      <c r="G3273" s="15"/>
      <c r="H3273" s="15"/>
      <c r="I3273" s="15"/>
      <c r="J3273" s="15"/>
      <c r="L3273" s="18"/>
      <c r="M3273" s="19"/>
      <c r="N3273" s="19"/>
    </row>
    <row r="3274">
      <c r="A3274" s="14"/>
      <c r="B3274" s="15"/>
      <c r="C3274" s="15"/>
      <c r="D3274" s="15"/>
      <c r="E3274" s="15"/>
      <c r="F3274" s="15"/>
      <c r="G3274" s="15"/>
      <c r="H3274" s="15"/>
      <c r="I3274" s="15"/>
      <c r="J3274" s="15"/>
      <c r="L3274" s="18"/>
      <c r="M3274" s="19"/>
      <c r="N3274" s="19"/>
    </row>
    <row r="3275">
      <c r="A3275" s="14"/>
      <c r="B3275" s="15"/>
      <c r="C3275" s="15"/>
      <c r="D3275" s="15"/>
      <c r="E3275" s="15"/>
      <c r="F3275" s="15"/>
      <c r="G3275" s="15"/>
      <c r="H3275" s="15"/>
      <c r="I3275" s="15"/>
      <c r="J3275" s="15"/>
      <c r="L3275" s="18"/>
      <c r="M3275" s="19"/>
      <c r="N3275" s="19"/>
    </row>
    <row r="3276">
      <c r="A3276" s="14"/>
      <c r="B3276" s="15"/>
      <c r="C3276" s="15"/>
      <c r="D3276" s="15"/>
      <c r="E3276" s="15"/>
      <c r="F3276" s="15"/>
      <c r="G3276" s="15"/>
      <c r="H3276" s="15"/>
      <c r="I3276" s="15"/>
      <c r="J3276" s="15"/>
      <c r="L3276" s="18"/>
      <c r="M3276" s="19"/>
      <c r="N3276" s="19"/>
    </row>
    <row r="3277">
      <c r="A3277" s="14"/>
      <c r="B3277" s="15"/>
      <c r="C3277" s="15"/>
      <c r="D3277" s="15"/>
      <c r="E3277" s="15"/>
      <c r="F3277" s="15"/>
      <c r="G3277" s="15"/>
      <c r="H3277" s="15"/>
      <c r="I3277" s="15"/>
      <c r="J3277" s="15"/>
      <c r="L3277" s="18"/>
      <c r="M3277" s="19"/>
      <c r="N3277" s="19"/>
    </row>
    <row r="3278">
      <c r="A3278" s="14"/>
      <c r="B3278" s="15"/>
      <c r="C3278" s="15"/>
      <c r="D3278" s="15"/>
      <c r="E3278" s="15"/>
      <c r="F3278" s="15"/>
      <c r="G3278" s="15"/>
      <c r="H3278" s="15"/>
      <c r="I3278" s="15"/>
      <c r="J3278" s="15"/>
      <c r="L3278" s="18"/>
      <c r="M3278" s="19"/>
      <c r="N3278" s="19"/>
    </row>
    <row r="3279">
      <c r="A3279" s="14"/>
      <c r="B3279" s="15"/>
      <c r="C3279" s="15"/>
      <c r="D3279" s="15"/>
      <c r="E3279" s="15"/>
      <c r="F3279" s="15"/>
      <c r="G3279" s="15"/>
      <c r="H3279" s="15"/>
      <c r="I3279" s="15"/>
      <c r="J3279" s="15"/>
      <c r="L3279" s="18"/>
      <c r="M3279" s="19"/>
      <c r="N3279" s="19"/>
    </row>
    <row r="3280">
      <c r="A3280" s="14"/>
      <c r="B3280" s="15"/>
      <c r="C3280" s="15"/>
      <c r="D3280" s="15"/>
      <c r="E3280" s="15"/>
      <c r="F3280" s="15"/>
      <c r="G3280" s="15"/>
      <c r="H3280" s="15"/>
      <c r="I3280" s="15"/>
      <c r="J3280" s="15"/>
      <c r="L3280" s="18"/>
      <c r="M3280" s="19"/>
      <c r="N3280" s="19"/>
    </row>
    <row r="3281">
      <c r="A3281" s="14"/>
      <c r="B3281" s="15"/>
      <c r="C3281" s="15"/>
      <c r="D3281" s="15"/>
      <c r="E3281" s="15"/>
      <c r="F3281" s="15"/>
      <c r="G3281" s="15"/>
      <c r="H3281" s="15"/>
      <c r="I3281" s="15"/>
      <c r="J3281" s="15"/>
      <c r="L3281" s="18"/>
      <c r="M3281" s="19"/>
      <c r="N3281" s="19"/>
    </row>
    <row r="3282">
      <c r="A3282" s="14"/>
      <c r="B3282" s="15"/>
      <c r="C3282" s="15"/>
      <c r="D3282" s="15"/>
      <c r="E3282" s="15"/>
      <c r="F3282" s="15"/>
      <c r="G3282" s="15"/>
      <c r="H3282" s="15"/>
      <c r="I3282" s="15"/>
      <c r="J3282" s="15"/>
      <c r="L3282" s="18"/>
      <c r="M3282" s="19"/>
      <c r="N3282" s="19"/>
    </row>
    <row r="3283">
      <c r="A3283" s="14"/>
      <c r="B3283" s="15"/>
      <c r="C3283" s="15"/>
      <c r="D3283" s="15"/>
      <c r="E3283" s="15"/>
      <c r="F3283" s="15"/>
      <c r="G3283" s="15"/>
      <c r="H3283" s="15"/>
      <c r="I3283" s="15"/>
      <c r="J3283" s="15"/>
      <c r="L3283" s="18"/>
      <c r="M3283" s="19"/>
      <c r="N3283" s="19"/>
    </row>
    <row r="3284">
      <c r="A3284" s="14"/>
      <c r="B3284" s="15"/>
      <c r="C3284" s="15"/>
      <c r="D3284" s="15"/>
      <c r="E3284" s="15"/>
      <c r="F3284" s="15"/>
      <c r="G3284" s="15"/>
      <c r="H3284" s="15"/>
      <c r="I3284" s="15"/>
      <c r="J3284" s="15"/>
      <c r="L3284" s="18"/>
      <c r="M3284" s="19"/>
      <c r="N3284" s="19"/>
    </row>
    <row r="3285">
      <c r="A3285" s="14"/>
      <c r="B3285" s="15"/>
      <c r="C3285" s="15"/>
      <c r="D3285" s="15"/>
      <c r="E3285" s="15"/>
      <c r="F3285" s="15"/>
      <c r="G3285" s="15"/>
      <c r="H3285" s="15"/>
      <c r="I3285" s="15"/>
      <c r="J3285" s="15"/>
      <c r="L3285" s="18"/>
      <c r="M3285" s="19"/>
      <c r="N3285" s="19"/>
    </row>
    <row r="3286">
      <c r="A3286" s="14"/>
      <c r="B3286" s="15"/>
      <c r="C3286" s="15"/>
      <c r="D3286" s="15"/>
      <c r="E3286" s="15"/>
      <c r="F3286" s="15"/>
      <c r="G3286" s="15"/>
      <c r="H3286" s="15"/>
      <c r="I3286" s="15"/>
      <c r="J3286" s="15"/>
      <c r="L3286" s="18"/>
      <c r="M3286" s="19"/>
      <c r="N3286" s="19"/>
    </row>
    <row r="3287">
      <c r="A3287" s="14"/>
      <c r="B3287" s="15"/>
      <c r="C3287" s="15"/>
      <c r="D3287" s="15"/>
      <c r="E3287" s="15"/>
      <c r="F3287" s="15"/>
      <c r="G3287" s="15"/>
      <c r="H3287" s="15"/>
      <c r="I3287" s="15"/>
      <c r="J3287" s="15"/>
      <c r="L3287" s="18"/>
      <c r="M3287" s="19"/>
      <c r="N3287" s="19"/>
    </row>
    <row r="3288">
      <c r="A3288" s="14"/>
      <c r="B3288" s="15"/>
      <c r="C3288" s="15"/>
      <c r="D3288" s="15"/>
      <c r="E3288" s="15"/>
      <c r="F3288" s="15"/>
      <c r="G3288" s="15"/>
      <c r="H3288" s="15"/>
      <c r="I3288" s="15"/>
      <c r="J3288" s="15"/>
      <c r="L3288" s="18"/>
      <c r="M3288" s="19"/>
      <c r="N3288" s="19"/>
    </row>
    <row r="3289">
      <c r="A3289" s="14"/>
      <c r="B3289" s="15"/>
      <c r="C3289" s="15"/>
      <c r="D3289" s="15"/>
      <c r="E3289" s="15"/>
      <c r="F3289" s="15"/>
      <c r="G3289" s="15"/>
      <c r="H3289" s="15"/>
      <c r="I3289" s="15"/>
      <c r="J3289" s="15"/>
      <c r="L3289" s="18"/>
      <c r="M3289" s="19"/>
      <c r="N3289" s="19"/>
    </row>
    <row r="3290">
      <c r="A3290" s="14"/>
      <c r="B3290" s="15"/>
      <c r="C3290" s="15"/>
      <c r="D3290" s="15"/>
      <c r="E3290" s="15"/>
      <c r="F3290" s="15"/>
      <c r="G3290" s="15"/>
      <c r="H3290" s="15"/>
      <c r="I3290" s="15"/>
      <c r="J3290" s="15"/>
      <c r="L3290" s="18"/>
      <c r="M3290" s="19"/>
      <c r="N3290" s="19"/>
    </row>
    <row r="3291">
      <c r="A3291" s="14"/>
      <c r="B3291" s="15"/>
      <c r="C3291" s="15"/>
      <c r="D3291" s="15"/>
      <c r="E3291" s="15"/>
      <c r="F3291" s="15"/>
      <c r="G3291" s="15"/>
      <c r="H3291" s="15"/>
      <c r="I3291" s="15"/>
      <c r="J3291" s="15"/>
      <c r="L3291" s="18"/>
      <c r="M3291" s="19"/>
      <c r="N3291" s="19"/>
    </row>
    <row r="3292">
      <c r="A3292" s="14"/>
      <c r="B3292" s="15"/>
      <c r="C3292" s="15"/>
      <c r="D3292" s="15"/>
      <c r="E3292" s="15"/>
      <c r="F3292" s="15"/>
      <c r="G3292" s="15"/>
      <c r="H3292" s="15"/>
      <c r="I3292" s="15"/>
      <c r="J3292" s="15"/>
      <c r="L3292" s="18"/>
      <c r="M3292" s="19"/>
      <c r="N3292" s="19"/>
    </row>
    <row r="3293">
      <c r="A3293" s="14"/>
      <c r="B3293" s="15"/>
      <c r="C3293" s="15"/>
      <c r="D3293" s="15"/>
      <c r="E3293" s="15"/>
      <c r="F3293" s="15"/>
      <c r="G3293" s="15"/>
      <c r="H3293" s="15"/>
      <c r="I3293" s="15"/>
      <c r="J3293" s="15"/>
      <c r="L3293" s="18"/>
      <c r="M3293" s="19"/>
      <c r="N3293" s="19"/>
    </row>
    <row r="3294">
      <c r="A3294" s="14"/>
      <c r="B3294" s="15"/>
      <c r="C3294" s="15"/>
      <c r="D3294" s="15"/>
      <c r="E3294" s="15"/>
      <c r="F3294" s="15"/>
      <c r="G3294" s="15"/>
      <c r="H3294" s="15"/>
      <c r="I3294" s="15"/>
      <c r="J3294" s="15"/>
      <c r="L3294" s="18"/>
      <c r="M3294" s="19"/>
      <c r="N3294" s="19"/>
    </row>
    <row r="3295">
      <c r="A3295" s="14"/>
      <c r="B3295" s="15"/>
      <c r="C3295" s="15"/>
      <c r="D3295" s="15"/>
      <c r="E3295" s="15"/>
      <c r="F3295" s="15"/>
      <c r="G3295" s="15"/>
      <c r="H3295" s="15"/>
      <c r="I3295" s="15"/>
      <c r="J3295" s="15"/>
      <c r="L3295" s="18"/>
      <c r="M3295" s="19"/>
      <c r="N3295" s="19"/>
    </row>
    <row r="3296">
      <c r="A3296" s="14"/>
      <c r="B3296" s="15"/>
      <c r="C3296" s="15"/>
      <c r="D3296" s="15"/>
      <c r="E3296" s="15"/>
      <c r="F3296" s="15"/>
      <c r="G3296" s="15"/>
      <c r="H3296" s="15"/>
      <c r="I3296" s="15"/>
      <c r="J3296" s="15"/>
      <c r="L3296" s="18"/>
      <c r="M3296" s="19"/>
      <c r="N3296" s="19"/>
    </row>
    <row r="3297">
      <c r="A3297" s="14"/>
      <c r="B3297" s="15"/>
      <c r="C3297" s="15"/>
      <c r="D3297" s="15"/>
      <c r="E3297" s="15"/>
      <c r="F3297" s="15"/>
      <c r="G3297" s="15"/>
      <c r="H3297" s="15"/>
      <c r="I3297" s="15"/>
      <c r="J3297" s="15"/>
      <c r="L3297" s="18"/>
      <c r="M3297" s="19"/>
      <c r="N3297" s="19"/>
    </row>
    <row r="3298">
      <c r="A3298" s="14"/>
      <c r="B3298" s="15"/>
      <c r="C3298" s="15"/>
      <c r="D3298" s="15"/>
      <c r="E3298" s="15"/>
      <c r="F3298" s="15"/>
      <c r="G3298" s="15"/>
      <c r="H3298" s="15"/>
      <c r="I3298" s="15"/>
      <c r="J3298" s="15"/>
      <c r="L3298" s="18"/>
      <c r="M3298" s="19"/>
      <c r="N3298" s="19"/>
    </row>
    <row r="3299">
      <c r="A3299" s="14"/>
      <c r="B3299" s="15"/>
      <c r="C3299" s="15"/>
      <c r="D3299" s="15"/>
      <c r="E3299" s="15"/>
      <c r="F3299" s="15"/>
      <c r="G3299" s="15"/>
      <c r="H3299" s="15"/>
      <c r="I3299" s="15"/>
      <c r="J3299" s="15"/>
      <c r="L3299" s="18"/>
      <c r="M3299" s="19"/>
      <c r="N3299" s="19"/>
    </row>
    <row r="3300">
      <c r="A3300" s="14"/>
      <c r="B3300" s="15"/>
      <c r="C3300" s="15"/>
      <c r="D3300" s="15"/>
      <c r="E3300" s="15"/>
      <c r="F3300" s="15"/>
      <c r="G3300" s="15"/>
      <c r="H3300" s="15"/>
      <c r="I3300" s="15"/>
      <c r="J3300" s="15"/>
      <c r="L3300" s="18"/>
      <c r="M3300" s="19"/>
      <c r="N3300" s="19"/>
    </row>
    <row r="3301">
      <c r="A3301" s="14"/>
      <c r="B3301" s="15"/>
      <c r="C3301" s="15"/>
      <c r="D3301" s="15"/>
      <c r="E3301" s="15"/>
      <c r="F3301" s="15"/>
      <c r="G3301" s="15"/>
      <c r="H3301" s="15"/>
      <c r="I3301" s="15"/>
      <c r="J3301" s="15"/>
      <c r="L3301" s="18"/>
      <c r="M3301" s="19"/>
      <c r="N3301" s="19"/>
    </row>
    <row r="3302">
      <c r="A3302" s="14"/>
      <c r="B3302" s="15"/>
      <c r="C3302" s="15"/>
      <c r="D3302" s="15"/>
      <c r="E3302" s="15"/>
      <c r="F3302" s="15"/>
      <c r="G3302" s="15"/>
      <c r="H3302" s="15"/>
      <c r="I3302" s="15"/>
      <c r="J3302" s="15"/>
      <c r="L3302" s="18"/>
      <c r="M3302" s="19"/>
      <c r="N3302" s="19"/>
    </row>
    <row r="3303">
      <c r="A3303" s="14"/>
      <c r="B3303" s="15"/>
      <c r="C3303" s="15"/>
      <c r="D3303" s="15"/>
      <c r="E3303" s="15"/>
      <c r="F3303" s="15"/>
      <c r="G3303" s="15"/>
      <c r="H3303" s="15"/>
      <c r="I3303" s="15"/>
      <c r="J3303" s="15"/>
      <c r="L3303" s="18"/>
      <c r="M3303" s="19"/>
      <c r="N3303" s="19"/>
    </row>
    <row r="3304">
      <c r="A3304" s="14"/>
      <c r="B3304" s="15"/>
      <c r="C3304" s="15"/>
      <c r="D3304" s="15"/>
      <c r="E3304" s="15"/>
      <c r="F3304" s="15"/>
      <c r="G3304" s="15"/>
      <c r="H3304" s="15"/>
      <c r="I3304" s="15"/>
      <c r="J3304" s="15"/>
      <c r="L3304" s="18"/>
      <c r="M3304" s="19"/>
      <c r="N3304" s="19"/>
    </row>
    <row r="3305">
      <c r="A3305" s="14"/>
      <c r="B3305" s="15"/>
      <c r="C3305" s="15"/>
      <c r="D3305" s="15"/>
      <c r="E3305" s="15"/>
      <c r="F3305" s="15"/>
      <c r="G3305" s="15"/>
      <c r="H3305" s="15"/>
      <c r="I3305" s="15"/>
      <c r="J3305" s="15"/>
      <c r="L3305" s="18"/>
      <c r="M3305" s="19"/>
      <c r="N3305" s="19"/>
    </row>
    <row r="3306">
      <c r="A3306" s="14"/>
      <c r="B3306" s="15"/>
      <c r="C3306" s="15"/>
      <c r="D3306" s="15"/>
      <c r="E3306" s="15"/>
      <c r="F3306" s="15"/>
      <c r="G3306" s="15"/>
      <c r="H3306" s="15"/>
      <c r="I3306" s="15"/>
      <c r="J3306" s="15"/>
      <c r="L3306" s="18"/>
      <c r="M3306" s="19"/>
      <c r="N3306" s="19"/>
    </row>
    <row r="3307">
      <c r="A3307" s="14"/>
      <c r="B3307" s="15"/>
      <c r="C3307" s="15"/>
      <c r="D3307" s="15"/>
      <c r="E3307" s="15"/>
      <c r="F3307" s="15"/>
      <c r="G3307" s="15"/>
      <c r="H3307" s="15"/>
      <c r="I3307" s="15"/>
      <c r="J3307" s="15"/>
      <c r="L3307" s="18"/>
      <c r="M3307" s="19"/>
      <c r="N3307" s="19"/>
    </row>
    <row r="3308">
      <c r="A3308" s="14"/>
      <c r="B3308" s="15"/>
      <c r="C3308" s="15"/>
      <c r="D3308" s="15"/>
      <c r="E3308" s="15"/>
      <c r="F3308" s="15"/>
      <c r="G3308" s="15"/>
      <c r="H3308" s="15"/>
      <c r="I3308" s="15"/>
      <c r="J3308" s="15"/>
      <c r="L3308" s="18"/>
      <c r="M3308" s="19"/>
      <c r="N3308" s="19"/>
    </row>
    <row r="3309">
      <c r="A3309" s="14"/>
      <c r="B3309" s="15"/>
      <c r="C3309" s="15"/>
      <c r="D3309" s="15"/>
      <c r="E3309" s="15"/>
      <c r="F3309" s="15"/>
      <c r="G3309" s="15"/>
      <c r="H3309" s="15"/>
      <c r="I3309" s="15"/>
      <c r="J3309" s="15"/>
      <c r="L3309" s="18"/>
      <c r="M3309" s="19"/>
      <c r="N3309" s="19"/>
    </row>
    <row r="3310">
      <c r="A3310" s="14"/>
      <c r="B3310" s="15"/>
      <c r="C3310" s="15"/>
      <c r="D3310" s="15"/>
      <c r="E3310" s="15"/>
      <c r="F3310" s="15"/>
      <c r="G3310" s="15"/>
      <c r="H3310" s="15"/>
      <c r="I3310" s="15"/>
      <c r="J3310" s="15"/>
      <c r="L3310" s="18"/>
      <c r="M3310" s="19"/>
      <c r="N3310" s="19"/>
    </row>
    <row r="3311">
      <c r="A3311" s="14"/>
      <c r="B3311" s="15"/>
      <c r="C3311" s="15"/>
      <c r="D3311" s="15"/>
      <c r="E3311" s="15"/>
      <c r="F3311" s="15"/>
      <c r="G3311" s="15"/>
      <c r="H3311" s="15"/>
      <c r="I3311" s="15"/>
      <c r="J3311" s="15"/>
      <c r="L3311" s="18"/>
      <c r="M3311" s="19"/>
      <c r="N3311" s="19"/>
    </row>
    <row r="3312">
      <c r="A3312" s="14"/>
      <c r="B3312" s="15"/>
      <c r="C3312" s="15"/>
      <c r="D3312" s="15"/>
      <c r="E3312" s="15"/>
      <c r="F3312" s="15"/>
      <c r="G3312" s="15"/>
      <c r="H3312" s="15"/>
      <c r="I3312" s="15"/>
      <c r="J3312" s="15"/>
      <c r="L3312" s="18"/>
      <c r="M3312" s="19"/>
      <c r="N3312" s="19"/>
    </row>
    <row r="3313">
      <c r="A3313" s="14"/>
      <c r="B3313" s="15"/>
      <c r="C3313" s="15"/>
      <c r="D3313" s="15"/>
      <c r="E3313" s="15"/>
      <c r="F3313" s="15"/>
      <c r="G3313" s="15"/>
      <c r="H3313" s="15"/>
      <c r="I3313" s="15"/>
      <c r="J3313" s="15"/>
      <c r="L3313" s="18"/>
      <c r="M3313" s="19"/>
      <c r="N3313" s="19"/>
    </row>
    <row r="3314">
      <c r="A3314" s="14"/>
      <c r="B3314" s="15"/>
      <c r="C3314" s="15"/>
      <c r="D3314" s="15"/>
      <c r="E3314" s="15"/>
      <c r="F3314" s="15"/>
      <c r="G3314" s="15"/>
      <c r="H3314" s="15"/>
      <c r="I3314" s="15"/>
      <c r="J3314" s="15"/>
      <c r="L3314" s="18"/>
      <c r="M3314" s="19"/>
      <c r="N3314" s="19"/>
    </row>
    <row r="3315">
      <c r="A3315" s="14"/>
      <c r="B3315" s="15"/>
      <c r="C3315" s="15"/>
      <c r="D3315" s="15"/>
      <c r="E3315" s="15"/>
      <c r="F3315" s="15"/>
      <c r="G3315" s="15"/>
      <c r="H3315" s="15"/>
      <c r="I3315" s="15"/>
      <c r="J3315" s="15"/>
      <c r="L3315" s="18"/>
      <c r="M3315" s="19"/>
      <c r="N3315" s="19"/>
    </row>
    <row r="3316">
      <c r="A3316" s="14"/>
      <c r="B3316" s="15"/>
      <c r="C3316" s="15"/>
      <c r="D3316" s="15"/>
      <c r="E3316" s="15"/>
      <c r="F3316" s="15"/>
      <c r="G3316" s="15"/>
      <c r="H3316" s="15"/>
      <c r="I3316" s="15"/>
      <c r="J3316" s="15"/>
      <c r="L3316" s="18"/>
      <c r="M3316" s="19"/>
      <c r="N3316" s="19"/>
    </row>
    <row r="3317">
      <c r="A3317" s="14"/>
      <c r="B3317" s="15"/>
      <c r="C3317" s="15"/>
      <c r="D3317" s="15"/>
      <c r="E3317" s="15"/>
      <c r="F3317" s="15"/>
      <c r="G3317" s="15"/>
      <c r="H3317" s="15"/>
      <c r="I3317" s="15"/>
      <c r="J3317" s="15"/>
      <c r="L3317" s="18"/>
      <c r="M3317" s="19"/>
      <c r="N3317" s="19"/>
    </row>
    <row r="3318">
      <c r="A3318" s="14"/>
      <c r="B3318" s="15"/>
      <c r="C3318" s="15"/>
      <c r="D3318" s="15"/>
      <c r="E3318" s="15"/>
      <c r="F3318" s="15"/>
      <c r="G3318" s="15"/>
      <c r="H3318" s="15"/>
      <c r="I3318" s="15"/>
      <c r="J3318" s="15"/>
      <c r="L3318" s="18"/>
      <c r="M3318" s="19"/>
      <c r="N3318" s="19"/>
    </row>
    <row r="3319">
      <c r="A3319" s="14"/>
      <c r="B3319" s="15"/>
      <c r="C3319" s="15"/>
      <c r="D3319" s="15"/>
      <c r="E3319" s="15"/>
      <c r="F3319" s="15"/>
      <c r="G3319" s="15"/>
      <c r="H3319" s="15"/>
      <c r="I3319" s="15"/>
      <c r="J3319" s="15"/>
      <c r="L3319" s="18"/>
      <c r="M3319" s="19"/>
      <c r="N3319" s="19"/>
    </row>
    <row r="3320">
      <c r="A3320" s="14"/>
      <c r="B3320" s="15"/>
      <c r="C3320" s="15"/>
      <c r="D3320" s="15"/>
      <c r="E3320" s="15"/>
      <c r="F3320" s="15"/>
      <c r="G3320" s="15"/>
      <c r="H3320" s="15"/>
      <c r="I3320" s="15"/>
      <c r="J3320" s="15"/>
      <c r="L3320" s="18"/>
      <c r="M3320" s="19"/>
      <c r="N3320" s="19"/>
    </row>
    <row r="3321">
      <c r="A3321" s="14"/>
      <c r="B3321" s="15"/>
      <c r="C3321" s="15"/>
      <c r="D3321" s="15"/>
      <c r="E3321" s="15"/>
      <c r="F3321" s="15"/>
      <c r="G3321" s="15"/>
      <c r="H3321" s="15"/>
      <c r="I3321" s="15"/>
      <c r="J3321" s="15"/>
      <c r="L3321" s="18"/>
      <c r="M3321" s="19"/>
      <c r="N3321" s="19"/>
    </row>
    <row r="3322">
      <c r="A3322" s="14"/>
      <c r="B3322" s="15"/>
      <c r="C3322" s="15"/>
      <c r="D3322" s="15"/>
      <c r="E3322" s="15"/>
      <c r="F3322" s="15"/>
      <c r="G3322" s="15"/>
      <c r="H3322" s="15"/>
      <c r="I3322" s="15"/>
      <c r="J3322" s="15"/>
      <c r="L3322" s="18"/>
      <c r="M3322" s="19"/>
      <c r="N3322" s="19"/>
    </row>
    <row r="3323">
      <c r="A3323" s="14"/>
      <c r="B3323" s="15"/>
      <c r="C3323" s="15"/>
      <c r="D3323" s="15"/>
      <c r="E3323" s="15"/>
      <c r="F3323" s="15"/>
      <c r="G3323" s="15"/>
      <c r="H3323" s="15"/>
      <c r="I3323" s="15"/>
      <c r="J3323" s="15"/>
      <c r="L3323" s="18"/>
      <c r="M3323" s="19"/>
      <c r="N3323" s="19"/>
    </row>
    <row r="3324">
      <c r="A3324" s="14"/>
      <c r="B3324" s="15"/>
      <c r="C3324" s="15"/>
      <c r="D3324" s="15"/>
      <c r="E3324" s="15"/>
      <c r="F3324" s="15"/>
      <c r="G3324" s="15"/>
      <c r="H3324" s="15"/>
      <c r="I3324" s="15"/>
      <c r="J3324" s="15"/>
      <c r="L3324" s="18"/>
      <c r="M3324" s="19"/>
      <c r="N3324" s="19"/>
    </row>
    <row r="3325">
      <c r="A3325" s="14"/>
      <c r="B3325" s="15"/>
      <c r="C3325" s="15"/>
      <c r="D3325" s="15"/>
      <c r="E3325" s="15"/>
      <c r="F3325" s="15"/>
      <c r="G3325" s="15"/>
      <c r="H3325" s="15"/>
      <c r="I3325" s="15"/>
      <c r="J3325" s="15"/>
      <c r="L3325" s="18"/>
      <c r="M3325" s="19"/>
      <c r="N3325" s="19"/>
    </row>
    <row r="3326">
      <c r="A3326" s="14"/>
      <c r="B3326" s="15"/>
      <c r="C3326" s="15"/>
      <c r="D3326" s="15"/>
      <c r="E3326" s="15"/>
      <c r="F3326" s="15"/>
      <c r="G3326" s="15"/>
      <c r="H3326" s="15"/>
      <c r="I3326" s="15"/>
      <c r="J3326" s="15"/>
      <c r="L3326" s="18"/>
      <c r="M3326" s="19"/>
      <c r="N3326" s="19"/>
    </row>
    <row r="3327">
      <c r="A3327" s="14"/>
      <c r="B3327" s="15"/>
      <c r="C3327" s="15"/>
      <c r="D3327" s="15"/>
      <c r="E3327" s="15"/>
      <c r="F3327" s="15"/>
      <c r="G3327" s="15"/>
      <c r="H3327" s="15"/>
      <c r="I3327" s="15"/>
      <c r="J3327" s="15"/>
      <c r="L3327" s="18"/>
      <c r="M3327" s="19"/>
      <c r="N3327" s="19"/>
    </row>
    <row r="3328">
      <c r="A3328" s="14"/>
      <c r="B3328" s="15"/>
      <c r="C3328" s="15"/>
      <c r="D3328" s="15"/>
      <c r="E3328" s="15"/>
      <c r="F3328" s="15"/>
      <c r="G3328" s="15"/>
      <c r="H3328" s="15"/>
      <c r="I3328" s="15"/>
      <c r="J3328" s="15"/>
      <c r="L3328" s="18"/>
      <c r="M3328" s="19"/>
      <c r="N3328" s="19"/>
    </row>
    <row r="3329">
      <c r="A3329" s="14"/>
      <c r="B3329" s="15"/>
      <c r="C3329" s="15"/>
      <c r="D3329" s="15"/>
      <c r="E3329" s="15"/>
      <c r="F3329" s="15"/>
      <c r="G3329" s="15"/>
      <c r="H3329" s="15"/>
      <c r="I3329" s="15"/>
      <c r="J3329" s="15"/>
      <c r="L3329" s="18"/>
      <c r="M3329" s="19"/>
      <c r="N3329" s="19"/>
    </row>
    <row r="3330">
      <c r="A3330" s="14"/>
      <c r="B3330" s="15"/>
      <c r="C3330" s="15"/>
      <c r="D3330" s="15"/>
      <c r="E3330" s="15"/>
      <c r="F3330" s="15"/>
      <c r="G3330" s="15"/>
      <c r="H3330" s="15"/>
      <c r="I3330" s="15"/>
      <c r="J3330" s="15"/>
      <c r="L3330" s="18"/>
      <c r="M3330" s="19"/>
      <c r="N3330" s="19"/>
    </row>
    <row r="3331">
      <c r="A3331" s="14"/>
      <c r="B3331" s="15"/>
      <c r="C3331" s="15"/>
      <c r="D3331" s="15"/>
      <c r="E3331" s="15"/>
      <c r="F3331" s="15"/>
      <c r="G3331" s="15"/>
      <c r="H3331" s="15"/>
      <c r="I3331" s="15"/>
      <c r="J3331" s="15"/>
      <c r="L3331" s="18"/>
      <c r="M3331" s="19"/>
      <c r="N3331" s="19"/>
    </row>
    <row r="3332">
      <c r="A3332" s="14"/>
      <c r="B3332" s="15"/>
      <c r="C3332" s="15"/>
      <c r="D3332" s="15"/>
      <c r="E3332" s="15"/>
      <c r="F3332" s="15"/>
      <c r="G3332" s="15"/>
      <c r="H3332" s="15"/>
      <c r="I3332" s="15"/>
      <c r="J3332" s="15"/>
      <c r="L3332" s="18"/>
      <c r="M3332" s="19"/>
      <c r="N3332" s="19"/>
    </row>
    <row r="3333">
      <c r="A3333" s="14"/>
      <c r="B3333" s="15"/>
      <c r="C3333" s="15"/>
      <c r="D3333" s="15"/>
      <c r="E3333" s="15"/>
      <c r="F3333" s="15"/>
      <c r="G3333" s="15"/>
      <c r="H3333" s="15"/>
      <c r="I3333" s="15"/>
      <c r="J3333" s="15"/>
      <c r="L3333" s="18"/>
      <c r="M3333" s="19"/>
      <c r="N3333" s="19"/>
    </row>
    <row r="3334">
      <c r="A3334" s="14"/>
      <c r="B3334" s="15"/>
      <c r="C3334" s="15"/>
      <c r="D3334" s="15"/>
      <c r="E3334" s="15"/>
      <c r="F3334" s="15"/>
      <c r="G3334" s="15"/>
      <c r="H3334" s="15"/>
      <c r="I3334" s="15"/>
      <c r="J3334" s="15"/>
      <c r="L3334" s="18"/>
      <c r="M3334" s="19"/>
      <c r="N3334" s="19"/>
    </row>
    <row r="3335">
      <c r="A3335" s="14"/>
      <c r="B3335" s="15"/>
      <c r="C3335" s="15"/>
      <c r="D3335" s="15"/>
      <c r="E3335" s="15"/>
      <c r="F3335" s="15"/>
      <c r="G3335" s="15"/>
      <c r="H3335" s="15"/>
      <c r="I3335" s="15"/>
      <c r="J3335" s="15"/>
      <c r="L3335" s="18"/>
      <c r="M3335" s="19"/>
      <c r="N3335" s="19"/>
    </row>
    <row r="3336">
      <c r="A3336" s="14"/>
      <c r="B3336" s="15"/>
      <c r="C3336" s="15"/>
      <c r="D3336" s="15"/>
      <c r="E3336" s="15"/>
      <c r="F3336" s="15"/>
      <c r="G3336" s="15"/>
      <c r="H3336" s="15"/>
      <c r="I3336" s="15"/>
      <c r="J3336" s="15"/>
      <c r="L3336" s="18"/>
      <c r="M3336" s="19"/>
      <c r="N3336" s="19"/>
    </row>
    <row r="3337">
      <c r="A3337" s="14"/>
      <c r="B3337" s="15"/>
      <c r="C3337" s="15"/>
      <c r="D3337" s="15"/>
      <c r="E3337" s="15"/>
      <c r="F3337" s="15"/>
      <c r="G3337" s="15"/>
      <c r="H3337" s="15"/>
      <c r="I3337" s="15"/>
      <c r="J3337" s="15"/>
      <c r="L3337" s="18"/>
      <c r="M3337" s="19"/>
      <c r="N3337" s="19"/>
    </row>
    <row r="3338">
      <c r="A3338" s="14"/>
      <c r="B3338" s="15"/>
      <c r="C3338" s="15"/>
      <c r="D3338" s="15"/>
      <c r="E3338" s="15"/>
      <c r="F3338" s="15"/>
      <c r="G3338" s="15"/>
      <c r="H3338" s="15"/>
      <c r="I3338" s="15"/>
      <c r="J3338" s="15"/>
      <c r="L3338" s="18"/>
      <c r="M3338" s="19"/>
      <c r="N3338" s="19"/>
    </row>
    <row r="3339">
      <c r="A3339" s="14"/>
      <c r="B3339" s="15"/>
      <c r="C3339" s="15"/>
      <c r="D3339" s="15"/>
      <c r="E3339" s="15"/>
      <c r="F3339" s="15"/>
      <c r="G3339" s="15"/>
      <c r="H3339" s="15"/>
      <c r="I3339" s="15"/>
      <c r="J3339" s="15"/>
      <c r="L3339" s="18"/>
      <c r="M3339" s="19"/>
      <c r="N3339" s="19"/>
    </row>
    <row r="3340">
      <c r="A3340" s="14"/>
      <c r="B3340" s="15"/>
      <c r="C3340" s="15"/>
      <c r="D3340" s="15"/>
      <c r="E3340" s="15"/>
      <c r="F3340" s="15"/>
      <c r="G3340" s="15"/>
      <c r="H3340" s="15"/>
      <c r="I3340" s="15"/>
      <c r="J3340" s="15"/>
      <c r="L3340" s="18"/>
      <c r="M3340" s="19"/>
      <c r="N3340" s="19"/>
    </row>
    <row r="3341">
      <c r="A3341" s="14"/>
      <c r="B3341" s="15"/>
      <c r="C3341" s="15"/>
      <c r="D3341" s="15"/>
      <c r="E3341" s="15"/>
      <c r="F3341" s="15"/>
      <c r="G3341" s="15"/>
      <c r="H3341" s="15"/>
      <c r="I3341" s="15"/>
      <c r="J3341" s="15"/>
      <c r="L3341" s="18"/>
      <c r="M3341" s="19"/>
      <c r="N3341" s="19"/>
    </row>
    <row r="3342">
      <c r="A3342" s="14"/>
      <c r="B3342" s="15"/>
      <c r="C3342" s="15"/>
      <c r="D3342" s="15"/>
      <c r="E3342" s="15"/>
      <c r="F3342" s="15"/>
      <c r="G3342" s="15"/>
      <c r="H3342" s="15"/>
      <c r="I3342" s="15"/>
      <c r="J3342" s="15"/>
      <c r="L3342" s="18"/>
      <c r="M3342" s="19"/>
      <c r="N3342" s="19"/>
    </row>
    <row r="3343">
      <c r="A3343" s="14"/>
      <c r="B3343" s="15"/>
      <c r="C3343" s="15"/>
      <c r="D3343" s="15"/>
      <c r="E3343" s="15"/>
      <c r="F3343" s="15"/>
      <c r="G3343" s="15"/>
      <c r="H3343" s="15"/>
      <c r="I3343" s="15"/>
      <c r="J3343" s="15"/>
      <c r="L3343" s="18"/>
      <c r="M3343" s="19"/>
      <c r="N3343" s="19"/>
    </row>
    <row r="3344">
      <c r="A3344" s="14"/>
      <c r="B3344" s="15"/>
      <c r="C3344" s="15"/>
      <c r="D3344" s="15"/>
      <c r="E3344" s="15"/>
      <c r="F3344" s="15"/>
      <c r="G3344" s="15"/>
      <c r="H3344" s="15"/>
      <c r="I3344" s="15"/>
      <c r="J3344" s="15"/>
      <c r="L3344" s="18"/>
      <c r="M3344" s="19"/>
      <c r="N3344" s="19"/>
    </row>
    <row r="3345">
      <c r="A3345" s="14"/>
      <c r="B3345" s="15"/>
      <c r="C3345" s="15"/>
      <c r="D3345" s="15"/>
      <c r="E3345" s="15"/>
      <c r="F3345" s="15"/>
      <c r="G3345" s="15"/>
      <c r="H3345" s="15"/>
      <c r="I3345" s="15"/>
      <c r="J3345" s="15"/>
      <c r="L3345" s="18"/>
      <c r="M3345" s="19"/>
      <c r="N3345" s="19"/>
    </row>
    <row r="3346">
      <c r="A3346" s="14"/>
      <c r="B3346" s="15"/>
      <c r="C3346" s="15"/>
      <c r="D3346" s="15"/>
      <c r="E3346" s="15"/>
      <c r="F3346" s="15"/>
      <c r="G3346" s="15"/>
      <c r="H3346" s="15"/>
      <c r="I3346" s="15"/>
      <c r="J3346" s="15"/>
      <c r="L3346" s="18"/>
      <c r="M3346" s="19"/>
      <c r="N3346" s="19"/>
    </row>
    <row r="3347">
      <c r="A3347" s="14"/>
      <c r="B3347" s="15"/>
      <c r="C3347" s="15"/>
      <c r="D3347" s="15"/>
      <c r="E3347" s="15"/>
      <c r="F3347" s="15"/>
      <c r="G3347" s="15"/>
      <c r="H3347" s="15"/>
      <c r="I3347" s="15"/>
      <c r="J3347" s="15"/>
      <c r="L3347" s="18"/>
      <c r="M3347" s="19"/>
      <c r="N3347" s="19"/>
    </row>
    <row r="3348">
      <c r="A3348" s="14"/>
      <c r="B3348" s="15"/>
      <c r="C3348" s="15"/>
      <c r="D3348" s="15"/>
      <c r="E3348" s="15"/>
      <c r="F3348" s="15"/>
      <c r="G3348" s="15"/>
      <c r="H3348" s="15"/>
      <c r="I3348" s="15"/>
      <c r="J3348" s="15"/>
      <c r="L3348" s="18"/>
      <c r="M3348" s="19"/>
      <c r="N3348" s="19"/>
    </row>
    <row r="3349">
      <c r="A3349" s="14"/>
      <c r="B3349" s="15"/>
      <c r="C3349" s="15"/>
      <c r="D3349" s="15"/>
      <c r="E3349" s="15"/>
      <c r="F3349" s="15"/>
      <c r="G3349" s="15"/>
      <c r="H3349" s="15"/>
      <c r="I3349" s="15"/>
      <c r="J3349" s="15"/>
      <c r="L3349" s="18"/>
      <c r="M3349" s="19"/>
      <c r="N3349" s="19"/>
    </row>
    <row r="3350">
      <c r="A3350" s="14"/>
      <c r="B3350" s="15"/>
      <c r="C3350" s="15"/>
      <c r="D3350" s="15"/>
      <c r="E3350" s="15"/>
      <c r="F3350" s="15"/>
      <c r="G3350" s="15"/>
      <c r="H3350" s="15"/>
      <c r="I3350" s="15"/>
      <c r="J3350" s="15"/>
      <c r="L3350" s="18"/>
      <c r="M3350" s="19"/>
      <c r="N3350" s="19"/>
    </row>
    <row r="3351">
      <c r="A3351" s="14"/>
      <c r="B3351" s="15"/>
      <c r="C3351" s="15"/>
      <c r="D3351" s="15"/>
      <c r="E3351" s="15"/>
      <c r="F3351" s="15"/>
      <c r="G3351" s="15"/>
      <c r="H3351" s="15"/>
      <c r="I3351" s="15"/>
      <c r="J3351" s="15"/>
      <c r="L3351" s="18"/>
      <c r="M3351" s="19"/>
      <c r="N3351" s="19"/>
    </row>
    <row r="3352">
      <c r="A3352" s="14"/>
      <c r="B3352" s="15"/>
      <c r="C3352" s="15"/>
      <c r="D3352" s="15"/>
      <c r="E3352" s="15"/>
      <c r="F3352" s="15"/>
      <c r="G3352" s="15"/>
      <c r="H3352" s="15"/>
      <c r="I3352" s="15"/>
      <c r="J3352" s="15"/>
      <c r="L3352" s="18"/>
      <c r="M3352" s="19"/>
      <c r="N3352" s="19"/>
    </row>
    <row r="3353">
      <c r="A3353" s="14"/>
      <c r="B3353" s="15"/>
      <c r="C3353" s="15"/>
      <c r="D3353" s="15"/>
      <c r="E3353" s="15"/>
      <c r="F3353" s="15"/>
      <c r="G3353" s="15"/>
      <c r="H3353" s="15"/>
      <c r="I3353" s="15"/>
      <c r="J3353" s="15"/>
      <c r="L3353" s="18"/>
      <c r="M3353" s="19"/>
      <c r="N3353" s="19"/>
    </row>
    <row r="3354">
      <c r="A3354" s="14"/>
      <c r="B3354" s="15"/>
      <c r="C3354" s="15"/>
      <c r="D3354" s="15"/>
      <c r="E3354" s="15"/>
      <c r="F3354" s="15"/>
      <c r="G3354" s="15"/>
      <c r="H3354" s="15"/>
      <c r="I3354" s="15"/>
      <c r="J3354" s="15"/>
      <c r="L3354" s="18"/>
      <c r="M3354" s="19"/>
      <c r="N3354" s="19"/>
    </row>
    <row r="3355">
      <c r="A3355" s="14"/>
      <c r="B3355" s="15"/>
      <c r="C3355" s="15"/>
      <c r="D3355" s="15"/>
      <c r="E3355" s="15"/>
      <c r="F3355" s="15"/>
      <c r="G3355" s="15"/>
      <c r="H3355" s="15"/>
      <c r="I3355" s="15"/>
      <c r="J3355" s="15"/>
      <c r="L3355" s="18"/>
      <c r="M3355" s="19"/>
      <c r="N3355" s="19"/>
    </row>
    <row r="3356">
      <c r="A3356" s="14"/>
      <c r="B3356" s="15"/>
      <c r="C3356" s="15"/>
      <c r="D3356" s="15"/>
      <c r="E3356" s="15"/>
      <c r="F3356" s="15"/>
      <c r="G3356" s="15"/>
      <c r="H3356" s="15"/>
      <c r="I3356" s="15"/>
      <c r="J3356" s="15"/>
      <c r="L3356" s="18"/>
      <c r="M3356" s="19"/>
      <c r="N3356" s="19"/>
    </row>
    <row r="3357">
      <c r="A3357" s="14"/>
      <c r="B3357" s="15"/>
      <c r="C3357" s="15"/>
      <c r="D3357" s="15"/>
      <c r="E3357" s="15"/>
      <c r="F3357" s="15"/>
      <c r="G3357" s="15"/>
      <c r="H3357" s="15"/>
      <c r="I3357" s="15"/>
      <c r="J3357" s="15"/>
      <c r="L3357" s="18"/>
      <c r="M3357" s="19"/>
      <c r="N3357" s="19"/>
    </row>
    <row r="3358">
      <c r="A3358" s="14"/>
      <c r="B3358" s="15"/>
      <c r="C3358" s="15"/>
      <c r="D3358" s="15"/>
      <c r="E3358" s="15"/>
      <c r="F3358" s="15"/>
      <c r="G3358" s="15"/>
      <c r="H3358" s="15"/>
      <c r="I3358" s="15"/>
      <c r="J3358" s="15"/>
      <c r="L3358" s="18"/>
      <c r="M3358" s="19"/>
      <c r="N3358" s="19"/>
    </row>
    <row r="3359">
      <c r="A3359" s="14"/>
      <c r="B3359" s="15"/>
      <c r="C3359" s="15"/>
      <c r="D3359" s="15"/>
      <c r="E3359" s="15"/>
      <c r="F3359" s="15"/>
      <c r="G3359" s="15"/>
      <c r="H3359" s="15"/>
      <c r="I3359" s="15"/>
      <c r="J3359" s="15"/>
      <c r="L3359" s="18"/>
      <c r="M3359" s="19"/>
      <c r="N3359" s="19"/>
    </row>
    <row r="3360">
      <c r="A3360" s="14"/>
      <c r="B3360" s="15"/>
      <c r="C3360" s="15"/>
      <c r="D3360" s="15"/>
      <c r="E3360" s="15"/>
      <c r="F3360" s="15"/>
      <c r="G3360" s="15"/>
      <c r="H3360" s="15"/>
      <c r="I3360" s="15"/>
      <c r="J3360" s="15"/>
      <c r="L3360" s="18"/>
      <c r="M3360" s="19"/>
      <c r="N3360" s="19"/>
    </row>
    <row r="3361">
      <c r="A3361" s="14"/>
      <c r="B3361" s="15"/>
      <c r="C3361" s="15"/>
      <c r="D3361" s="15"/>
      <c r="E3361" s="15"/>
      <c r="F3361" s="15"/>
      <c r="G3361" s="15"/>
      <c r="H3361" s="15"/>
      <c r="I3361" s="15"/>
      <c r="J3361" s="15"/>
      <c r="L3361" s="18"/>
      <c r="M3361" s="19"/>
      <c r="N3361" s="19"/>
    </row>
    <row r="3362">
      <c r="A3362" s="14"/>
      <c r="B3362" s="15"/>
      <c r="C3362" s="15"/>
      <c r="D3362" s="15"/>
      <c r="E3362" s="15"/>
      <c r="F3362" s="15"/>
      <c r="G3362" s="15"/>
      <c r="H3362" s="15"/>
      <c r="I3362" s="15"/>
      <c r="J3362" s="15"/>
      <c r="L3362" s="18"/>
      <c r="M3362" s="19"/>
      <c r="N3362" s="19"/>
    </row>
    <row r="3363">
      <c r="A3363" s="14"/>
      <c r="B3363" s="15"/>
      <c r="C3363" s="15"/>
      <c r="D3363" s="15"/>
      <c r="E3363" s="15"/>
      <c r="F3363" s="15"/>
      <c r="G3363" s="15"/>
      <c r="H3363" s="15"/>
      <c r="I3363" s="15"/>
      <c r="J3363" s="15"/>
      <c r="L3363" s="18"/>
      <c r="M3363" s="19"/>
      <c r="N3363" s="19"/>
    </row>
    <row r="3364">
      <c r="A3364" s="14"/>
      <c r="B3364" s="15"/>
      <c r="C3364" s="15"/>
      <c r="D3364" s="15"/>
      <c r="E3364" s="15"/>
      <c r="F3364" s="15"/>
      <c r="G3364" s="15"/>
      <c r="H3364" s="15"/>
      <c r="I3364" s="15"/>
      <c r="J3364" s="15"/>
      <c r="L3364" s="18"/>
      <c r="M3364" s="19"/>
      <c r="N3364" s="19"/>
    </row>
    <row r="3365">
      <c r="A3365" s="14"/>
      <c r="B3365" s="15"/>
      <c r="C3365" s="15"/>
      <c r="D3365" s="15"/>
      <c r="E3365" s="15"/>
      <c r="F3365" s="15"/>
      <c r="G3365" s="15"/>
      <c r="H3365" s="15"/>
      <c r="I3365" s="15"/>
      <c r="J3365" s="15"/>
      <c r="L3365" s="18"/>
      <c r="M3365" s="19"/>
      <c r="N3365" s="19"/>
    </row>
    <row r="3366">
      <c r="A3366" s="14"/>
      <c r="B3366" s="15"/>
      <c r="C3366" s="15"/>
      <c r="D3366" s="15"/>
      <c r="E3366" s="15"/>
      <c r="F3366" s="15"/>
      <c r="G3366" s="15"/>
      <c r="H3366" s="15"/>
      <c r="I3366" s="15"/>
      <c r="J3366" s="15"/>
      <c r="L3366" s="18"/>
      <c r="M3366" s="19"/>
      <c r="N3366" s="19"/>
    </row>
    <row r="3367">
      <c r="A3367" s="14"/>
      <c r="B3367" s="15"/>
      <c r="C3367" s="15"/>
      <c r="D3367" s="15"/>
      <c r="E3367" s="15"/>
      <c r="F3367" s="15"/>
      <c r="G3367" s="15"/>
      <c r="H3367" s="15"/>
      <c r="I3367" s="15"/>
      <c r="J3367" s="15"/>
      <c r="L3367" s="18"/>
      <c r="M3367" s="19"/>
      <c r="N3367" s="19"/>
    </row>
    <row r="3368">
      <c r="A3368" s="14"/>
      <c r="B3368" s="15"/>
      <c r="C3368" s="15"/>
      <c r="D3368" s="15"/>
      <c r="E3368" s="15"/>
      <c r="F3368" s="15"/>
      <c r="G3368" s="15"/>
      <c r="H3368" s="15"/>
      <c r="I3368" s="15"/>
      <c r="J3368" s="15"/>
      <c r="L3368" s="18"/>
      <c r="M3368" s="19"/>
      <c r="N3368" s="19"/>
    </row>
    <row r="3369">
      <c r="A3369" s="14"/>
      <c r="B3369" s="15"/>
      <c r="C3369" s="15"/>
      <c r="D3369" s="15"/>
      <c r="E3369" s="15"/>
      <c r="F3369" s="15"/>
      <c r="G3369" s="15"/>
      <c r="H3369" s="15"/>
      <c r="I3369" s="15"/>
      <c r="J3369" s="15"/>
      <c r="L3369" s="18"/>
      <c r="M3369" s="19"/>
      <c r="N3369" s="19"/>
    </row>
    <row r="3370">
      <c r="A3370" s="14"/>
      <c r="B3370" s="15"/>
      <c r="C3370" s="15"/>
      <c r="D3370" s="15"/>
      <c r="E3370" s="15"/>
      <c r="F3370" s="15"/>
      <c r="G3370" s="15"/>
      <c r="H3370" s="15"/>
      <c r="I3370" s="15"/>
      <c r="J3370" s="15"/>
      <c r="L3370" s="18"/>
      <c r="M3370" s="19"/>
      <c r="N3370" s="19"/>
    </row>
    <row r="3371">
      <c r="A3371" s="14"/>
      <c r="B3371" s="15"/>
      <c r="C3371" s="15"/>
      <c r="D3371" s="15"/>
      <c r="E3371" s="15"/>
      <c r="F3371" s="15"/>
      <c r="G3371" s="15"/>
      <c r="H3371" s="15"/>
      <c r="I3371" s="15"/>
      <c r="J3371" s="15"/>
      <c r="L3371" s="18"/>
      <c r="M3371" s="19"/>
      <c r="N3371" s="19"/>
    </row>
    <row r="3372">
      <c r="A3372" s="14"/>
      <c r="B3372" s="15"/>
      <c r="C3372" s="15"/>
      <c r="D3372" s="15"/>
      <c r="E3372" s="15"/>
      <c r="F3372" s="15"/>
      <c r="G3372" s="15"/>
      <c r="H3372" s="15"/>
      <c r="I3372" s="15"/>
      <c r="J3372" s="15"/>
      <c r="L3372" s="18"/>
      <c r="M3372" s="19"/>
      <c r="N3372" s="19"/>
    </row>
    <row r="3373">
      <c r="A3373" s="14"/>
      <c r="B3373" s="15"/>
      <c r="C3373" s="15"/>
      <c r="D3373" s="15"/>
      <c r="E3373" s="15"/>
      <c r="F3373" s="15"/>
      <c r="G3373" s="15"/>
      <c r="H3373" s="15"/>
      <c r="I3373" s="15"/>
      <c r="J3373" s="15"/>
      <c r="L3373" s="18"/>
      <c r="M3373" s="19"/>
      <c r="N3373" s="19"/>
    </row>
    <row r="3374">
      <c r="A3374" s="14"/>
      <c r="B3374" s="15"/>
      <c r="C3374" s="15"/>
      <c r="D3374" s="15"/>
      <c r="E3374" s="15"/>
      <c r="F3374" s="15"/>
      <c r="G3374" s="15"/>
      <c r="H3374" s="15"/>
      <c r="I3374" s="15"/>
      <c r="J3374" s="15"/>
      <c r="L3374" s="18"/>
      <c r="M3374" s="19"/>
      <c r="N3374" s="19"/>
    </row>
    <row r="3375">
      <c r="A3375" s="14"/>
      <c r="B3375" s="15"/>
      <c r="C3375" s="15"/>
      <c r="D3375" s="15"/>
      <c r="E3375" s="15"/>
      <c r="F3375" s="15"/>
      <c r="G3375" s="15"/>
      <c r="H3375" s="15"/>
      <c r="I3375" s="15"/>
      <c r="J3375" s="15"/>
      <c r="L3375" s="18"/>
      <c r="M3375" s="19"/>
      <c r="N3375" s="19"/>
    </row>
    <row r="3376">
      <c r="A3376" s="14"/>
      <c r="B3376" s="15"/>
      <c r="C3376" s="15"/>
      <c r="D3376" s="15"/>
      <c r="E3376" s="15"/>
      <c r="F3376" s="15"/>
      <c r="G3376" s="15"/>
      <c r="H3376" s="15"/>
      <c r="I3376" s="15"/>
      <c r="J3376" s="15"/>
      <c r="L3376" s="18"/>
      <c r="M3376" s="19"/>
      <c r="N3376" s="19"/>
    </row>
    <row r="3377">
      <c r="A3377" s="14"/>
      <c r="B3377" s="15"/>
      <c r="C3377" s="15"/>
      <c r="D3377" s="15"/>
      <c r="E3377" s="15"/>
      <c r="F3377" s="15"/>
      <c r="G3377" s="15"/>
      <c r="H3377" s="15"/>
      <c r="I3377" s="15"/>
      <c r="J3377" s="15"/>
      <c r="L3377" s="18"/>
      <c r="M3377" s="19"/>
      <c r="N3377" s="19"/>
    </row>
    <row r="3378">
      <c r="A3378" s="14"/>
      <c r="B3378" s="15"/>
      <c r="C3378" s="15"/>
      <c r="D3378" s="15"/>
      <c r="E3378" s="15"/>
      <c r="F3378" s="15"/>
      <c r="G3378" s="15"/>
      <c r="H3378" s="15"/>
      <c r="I3378" s="15"/>
      <c r="J3378" s="15"/>
      <c r="L3378" s="18"/>
      <c r="M3378" s="19"/>
      <c r="N3378" s="19"/>
    </row>
    <row r="3379">
      <c r="A3379" s="14"/>
      <c r="B3379" s="15"/>
      <c r="C3379" s="15"/>
      <c r="D3379" s="15"/>
      <c r="E3379" s="15"/>
      <c r="F3379" s="15"/>
      <c r="G3379" s="15"/>
      <c r="H3379" s="15"/>
      <c r="I3379" s="15"/>
      <c r="J3379" s="15"/>
      <c r="L3379" s="18"/>
      <c r="M3379" s="19"/>
      <c r="N3379" s="19"/>
    </row>
    <row r="3380">
      <c r="A3380" s="14"/>
      <c r="B3380" s="15"/>
      <c r="C3380" s="15"/>
      <c r="D3380" s="15"/>
      <c r="E3380" s="15"/>
      <c r="F3380" s="15"/>
      <c r="G3380" s="15"/>
      <c r="H3380" s="15"/>
      <c r="I3380" s="15"/>
      <c r="J3380" s="15"/>
      <c r="L3380" s="18"/>
      <c r="M3380" s="19"/>
      <c r="N3380" s="19"/>
    </row>
    <row r="3381">
      <c r="A3381" s="14"/>
      <c r="B3381" s="15"/>
      <c r="C3381" s="15"/>
      <c r="D3381" s="15"/>
      <c r="E3381" s="15"/>
      <c r="F3381" s="15"/>
      <c r="G3381" s="15"/>
      <c r="H3381" s="15"/>
      <c r="I3381" s="15"/>
      <c r="J3381" s="15"/>
      <c r="L3381" s="18"/>
      <c r="M3381" s="19"/>
      <c r="N3381" s="19"/>
    </row>
    <row r="3382">
      <c r="A3382" s="14"/>
      <c r="B3382" s="15"/>
      <c r="C3382" s="15"/>
      <c r="D3382" s="15"/>
      <c r="E3382" s="15"/>
      <c r="F3382" s="15"/>
      <c r="G3382" s="15"/>
      <c r="H3382" s="15"/>
      <c r="I3382" s="15"/>
      <c r="J3382" s="15"/>
      <c r="L3382" s="18"/>
      <c r="M3382" s="19"/>
      <c r="N3382" s="19"/>
    </row>
    <row r="3383">
      <c r="A3383" s="14"/>
      <c r="B3383" s="15"/>
      <c r="C3383" s="15"/>
      <c r="D3383" s="15"/>
      <c r="E3383" s="15"/>
      <c r="F3383" s="15"/>
      <c r="G3383" s="15"/>
      <c r="H3383" s="15"/>
      <c r="I3383" s="15"/>
      <c r="J3383" s="15"/>
      <c r="L3383" s="18"/>
      <c r="M3383" s="19"/>
      <c r="N3383" s="19"/>
    </row>
    <row r="3384">
      <c r="A3384" s="14"/>
      <c r="B3384" s="15"/>
      <c r="C3384" s="15"/>
      <c r="D3384" s="15"/>
      <c r="E3384" s="15"/>
      <c r="F3384" s="15"/>
      <c r="G3384" s="15"/>
      <c r="H3384" s="15"/>
      <c r="I3384" s="15"/>
      <c r="J3384" s="15"/>
      <c r="L3384" s="18"/>
      <c r="M3384" s="19"/>
      <c r="N3384" s="19"/>
    </row>
    <row r="3385">
      <c r="A3385" s="14"/>
      <c r="B3385" s="15"/>
      <c r="C3385" s="15"/>
      <c r="D3385" s="15"/>
      <c r="E3385" s="15"/>
      <c r="F3385" s="15"/>
      <c r="G3385" s="15"/>
      <c r="H3385" s="15"/>
      <c r="I3385" s="15"/>
      <c r="J3385" s="15"/>
      <c r="L3385" s="18"/>
      <c r="M3385" s="19"/>
      <c r="N3385" s="19"/>
    </row>
    <row r="3386">
      <c r="A3386" s="14"/>
      <c r="B3386" s="15"/>
      <c r="C3386" s="15"/>
      <c r="D3386" s="15"/>
      <c r="E3386" s="15"/>
      <c r="F3386" s="15"/>
      <c r="G3386" s="15"/>
      <c r="H3386" s="15"/>
      <c r="I3386" s="15"/>
      <c r="J3386" s="15"/>
      <c r="L3386" s="18"/>
      <c r="M3386" s="19"/>
      <c r="N3386" s="19"/>
    </row>
    <row r="3387">
      <c r="A3387" s="14"/>
      <c r="B3387" s="15"/>
      <c r="C3387" s="15"/>
      <c r="D3387" s="15"/>
      <c r="E3387" s="15"/>
      <c r="F3387" s="15"/>
      <c r="G3387" s="15"/>
      <c r="H3387" s="15"/>
      <c r="I3387" s="15"/>
      <c r="J3387" s="15"/>
      <c r="L3387" s="18"/>
      <c r="M3387" s="19"/>
      <c r="N3387" s="19"/>
    </row>
    <row r="3388">
      <c r="A3388" s="14"/>
      <c r="B3388" s="15"/>
      <c r="C3388" s="15"/>
      <c r="D3388" s="15"/>
      <c r="E3388" s="15"/>
      <c r="F3388" s="15"/>
      <c r="G3388" s="15"/>
      <c r="H3388" s="15"/>
      <c r="I3388" s="15"/>
      <c r="J3388" s="15"/>
      <c r="L3388" s="18"/>
      <c r="M3388" s="19"/>
      <c r="N3388" s="19"/>
    </row>
    <row r="3389">
      <c r="A3389" s="14"/>
      <c r="B3389" s="15"/>
      <c r="C3389" s="15"/>
      <c r="D3389" s="15"/>
      <c r="E3389" s="15"/>
      <c r="F3389" s="15"/>
      <c r="G3389" s="15"/>
      <c r="H3389" s="15"/>
      <c r="I3389" s="15"/>
      <c r="J3389" s="15"/>
      <c r="L3389" s="18"/>
      <c r="M3389" s="19"/>
      <c r="N3389" s="19"/>
    </row>
    <row r="3390">
      <c r="A3390" s="14"/>
      <c r="B3390" s="15"/>
      <c r="C3390" s="15"/>
      <c r="D3390" s="15"/>
      <c r="E3390" s="15"/>
      <c r="F3390" s="15"/>
      <c r="G3390" s="15"/>
      <c r="H3390" s="15"/>
      <c r="I3390" s="15"/>
      <c r="J3390" s="15"/>
      <c r="L3390" s="18"/>
      <c r="M3390" s="19"/>
      <c r="N3390" s="19"/>
    </row>
    <row r="3391">
      <c r="A3391" s="14"/>
      <c r="B3391" s="15"/>
      <c r="C3391" s="15"/>
      <c r="D3391" s="15"/>
      <c r="E3391" s="15"/>
      <c r="F3391" s="15"/>
      <c r="G3391" s="15"/>
      <c r="H3391" s="15"/>
      <c r="I3391" s="15"/>
      <c r="J3391" s="15"/>
      <c r="L3391" s="18"/>
      <c r="M3391" s="19"/>
      <c r="N3391" s="19"/>
    </row>
    <row r="3392">
      <c r="A3392" s="14"/>
      <c r="B3392" s="15"/>
      <c r="C3392" s="15"/>
      <c r="D3392" s="15"/>
      <c r="E3392" s="15"/>
      <c r="F3392" s="15"/>
      <c r="G3392" s="15"/>
      <c r="H3392" s="15"/>
      <c r="I3392" s="15"/>
      <c r="J3392" s="15"/>
      <c r="L3392" s="18"/>
      <c r="M3392" s="19"/>
      <c r="N3392" s="19"/>
    </row>
    <row r="3393">
      <c r="A3393" s="14"/>
      <c r="B3393" s="15"/>
      <c r="C3393" s="15"/>
      <c r="D3393" s="15"/>
      <c r="E3393" s="15"/>
      <c r="F3393" s="15"/>
      <c r="G3393" s="15"/>
      <c r="H3393" s="15"/>
      <c r="I3393" s="15"/>
      <c r="J3393" s="15"/>
      <c r="L3393" s="18"/>
      <c r="M3393" s="19"/>
      <c r="N3393" s="19"/>
    </row>
    <row r="3394">
      <c r="A3394" s="14"/>
      <c r="B3394" s="15"/>
      <c r="C3394" s="15"/>
      <c r="D3394" s="15"/>
      <c r="E3394" s="15"/>
      <c r="F3394" s="15"/>
      <c r="G3394" s="15"/>
      <c r="H3394" s="15"/>
      <c r="I3394" s="15"/>
      <c r="J3394" s="15"/>
      <c r="L3394" s="18"/>
      <c r="M3394" s="19"/>
      <c r="N3394" s="19"/>
    </row>
    <row r="3395">
      <c r="A3395" s="14"/>
      <c r="B3395" s="15"/>
      <c r="C3395" s="15"/>
      <c r="D3395" s="15"/>
      <c r="E3395" s="15"/>
      <c r="F3395" s="15"/>
      <c r="G3395" s="15"/>
      <c r="H3395" s="15"/>
      <c r="I3395" s="15"/>
      <c r="J3395" s="15"/>
      <c r="L3395" s="18"/>
      <c r="M3395" s="19"/>
      <c r="N3395" s="19"/>
    </row>
    <row r="3396">
      <c r="A3396" s="14"/>
      <c r="B3396" s="15"/>
      <c r="C3396" s="15"/>
      <c r="D3396" s="15"/>
      <c r="E3396" s="15"/>
      <c r="F3396" s="15"/>
      <c r="G3396" s="15"/>
      <c r="H3396" s="15"/>
      <c r="I3396" s="15"/>
      <c r="J3396" s="15"/>
      <c r="L3396" s="18"/>
      <c r="M3396" s="19"/>
      <c r="N3396" s="19"/>
    </row>
    <row r="3397">
      <c r="A3397" s="14"/>
      <c r="B3397" s="15"/>
      <c r="C3397" s="15"/>
      <c r="D3397" s="15"/>
      <c r="E3397" s="15"/>
      <c r="F3397" s="15"/>
      <c r="G3397" s="15"/>
      <c r="H3397" s="15"/>
      <c r="I3397" s="15"/>
      <c r="J3397" s="15"/>
      <c r="L3397" s="18"/>
      <c r="M3397" s="19"/>
      <c r="N3397" s="19"/>
    </row>
    <row r="3398">
      <c r="A3398" s="14"/>
      <c r="B3398" s="15"/>
      <c r="C3398" s="15"/>
      <c r="D3398" s="15"/>
      <c r="E3398" s="15"/>
      <c r="F3398" s="15"/>
      <c r="G3398" s="15"/>
      <c r="H3398" s="15"/>
      <c r="I3398" s="15"/>
      <c r="J3398" s="15"/>
      <c r="L3398" s="18"/>
      <c r="M3398" s="19"/>
      <c r="N3398" s="19"/>
    </row>
    <row r="3399">
      <c r="A3399" s="14"/>
      <c r="B3399" s="15"/>
      <c r="C3399" s="15"/>
      <c r="D3399" s="15"/>
      <c r="E3399" s="15"/>
      <c r="F3399" s="15"/>
      <c r="G3399" s="15"/>
      <c r="H3399" s="15"/>
      <c r="I3399" s="15"/>
      <c r="J3399" s="15"/>
      <c r="L3399" s="18"/>
      <c r="M3399" s="19"/>
      <c r="N3399" s="19"/>
    </row>
    <row r="3400">
      <c r="A3400" s="14"/>
      <c r="B3400" s="15"/>
      <c r="C3400" s="15"/>
      <c r="D3400" s="15"/>
      <c r="E3400" s="15"/>
      <c r="F3400" s="15"/>
      <c r="G3400" s="15"/>
      <c r="H3400" s="15"/>
      <c r="I3400" s="15"/>
      <c r="J3400" s="15"/>
      <c r="L3400" s="18"/>
      <c r="M3400" s="19"/>
      <c r="N3400" s="19"/>
    </row>
    <row r="3401">
      <c r="A3401" s="14"/>
      <c r="B3401" s="15"/>
      <c r="C3401" s="15"/>
      <c r="D3401" s="15"/>
      <c r="E3401" s="15"/>
      <c r="F3401" s="15"/>
      <c r="G3401" s="15"/>
      <c r="H3401" s="15"/>
      <c r="I3401" s="15"/>
      <c r="J3401" s="15"/>
      <c r="L3401" s="18"/>
      <c r="M3401" s="19"/>
      <c r="N3401" s="19"/>
    </row>
    <row r="3402">
      <c r="A3402" s="14"/>
      <c r="B3402" s="15"/>
      <c r="C3402" s="15"/>
      <c r="D3402" s="15"/>
      <c r="E3402" s="15"/>
      <c r="F3402" s="15"/>
      <c r="G3402" s="15"/>
      <c r="H3402" s="15"/>
      <c r="I3402" s="15"/>
      <c r="J3402" s="15"/>
      <c r="L3402" s="18"/>
      <c r="M3402" s="19"/>
      <c r="N3402" s="19"/>
    </row>
    <row r="3403">
      <c r="A3403" s="14"/>
      <c r="B3403" s="15"/>
      <c r="C3403" s="15"/>
      <c r="D3403" s="15"/>
      <c r="E3403" s="15"/>
      <c r="F3403" s="15"/>
      <c r="G3403" s="15"/>
      <c r="H3403" s="15"/>
      <c r="I3403" s="15"/>
      <c r="J3403" s="15"/>
      <c r="L3403" s="18"/>
      <c r="M3403" s="19"/>
      <c r="N3403" s="19"/>
    </row>
    <row r="3404">
      <c r="A3404" s="14"/>
      <c r="B3404" s="15"/>
      <c r="C3404" s="15"/>
      <c r="D3404" s="15"/>
      <c r="E3404" s="15"/>
      <c r="F3404" s="15"/>
      <c r="G3404" s="15"/>
      <c r="H3404" s="15"/>
      <c r="I3404" s="15"/>
      <c r="J3404" s="15"/>
      <c r="L3404" s="18"/>
      <c r="M3404" s="19"/>
      <c r="N3404" s="19"/>
    </row>
    <row r="3405">
      <c r="A3405" s="14"/>
      <c r="B3405" s="15"/>
      <c r="C3405" s="15"/>
      <c r="D3405" s="15"/>
      <c r="E3405" s="15"/>
      <c r="F3405" s="15"/>
      <c r="G3405" s="15"/>
      <c r="H3405" s="15"/>
      <c r="I3405" s="15"/>
      <c r="J3405" s="15"/>
      <c r="L3405" s="18"/>
      <c r="M3405" s="19"/>
      <c r="N3405" s="19"/>
    </row>
    <row r="3406">
      <c r="A3406" s="14"/>
      <c r="B3406" s="15"/>
      <c r="C3406" s="15"/>
      <c r="D3406" s="15"/>
      <c r="E3406" s="15"/>
      <c r="F3406" s="15"/>
      <c r="G3406" s="15"/>
      <c r="H3406" s="15"/>
      <c r="I3406" s="15"/>
      <c r="J3406" s="15"/>
      <c r="L3406" s="18"/>
      <c r="M3406" s="19"/>
      <c r="N3406" s="19"/>
    </row>
    <row r="3407">
      <c r="A3407" s="14"/>
      <c r="B3407" s="15"/>
      <c r="C3407" s="15"/>
      <c r="D3407" s="15"/>
      <c r="E3407" s="15"/>
      <c r="F3407" s="15"/>
      <c r="G3407" s="15"/>
      <c r="H3407" s="15"/>
      <c r="I3407" s="15"/>
      <c r="J3407" s="15"/>
      <c r="L3407" s="18"/>
      <c r="M3407" s="19"/>
      <c r="N3407" s="19"/>
    </row>
    <row r="3408">
      <c r="A3408" s="14"/>
      <c r="B3408" s="15"/>
      <c r="C3408" s="15"/>
      <c r="D3408" s="15"/>
      <c r="E3408" s="15"/>
      <c r="F3408" s="15"/>
      <c r="G3408" s="15"/>
      <c r="H3408" s="15"/>
      <c r="I3408" s="15"/>
      <c r="J3408" s="15"/>
      <c r="L3408" s="18"/>
      <c r="M3408" s="19"/>
      <c r="N3408" s="19"/>
    </row>
    <row r="3409">
      <c r="A3409" s="14"/>
      <c r="B3409" s="15"/>
      <c r="C3409" s="15"/>
      <c r="D3409" s="15"/>
      <c r="E3409" s="15"/>
      <c r="F3409" s="15"/>
      <c r="G3409" s="15"/>
      <c r="H3409" s="15"/>
      <c r="I3409" s="15"/>
      <c r="J3409" s="15"/>
      <c r="L3409" s="18"/>
      <c r="M3409" s="19"/>
      <c r="N3409" s="19"/>
    </row>
    <row r="3410">
      <c r="A3410" s="14"/>
      <c r="B3410" s="15"/>
      <c r="C3410" s="15"/>
      <c r="D3410" s="15"/>
      <c r="E3410" s="15"/>
      <c r="F3410" s="15"/>
      <c r="G3410" s="15"/>
      <c r="H3410" s="15"/>
      <c r="I3410" s="15"/>
      <c r="J3410" s="15"/>
      <c r="L3410" s="18"/>
      <c r="M3410" s="19"/>
      <c r="N3410" s="19"/>
    </row>
    <row r="3411">
      <c r="A3411" s="14"/>
      <c r="B3411" s="15"/>
      <c r="C3411" s="15"/>
      <c r="D3411" s="15"/>
      <c r="E3411" s="15"/>
      <c r="F3411" s="15"/>
      <c r="G3411" s="15"/>
      <c r="H3411" s="15"/>
      <c r="I3411" s="15"/>
      <c r="J3411" s="15"/>
      <c r="L3411" s="18"/>
      <c r="M3411" s="19"/>
      <c r="N3411" s="19"/>
    </row>
    <row r="3412">
      <c r="A3412" s="14"/>
      <c r="B3412" s="15"/>
      <c r="C3412" s="15"/>
      <c r="D3412" s="15"/>
      <c r="E3412" s="15"/>
      <c r="F3412" s="15"/>
      <c r="G3412" s="15"/>
      <c r="H3412" s="15"/>
      <c r="I3412" s="15"/>
      <c r="J3412" s="15"/>
      <c r="L3412" s="18"/>
      <c r="M3412" s="19"/>
      <c r="N3412" s="19"/>
    </row>
    <row r="3413">
      <c r="A3413" s="14"/>
      <c r="B3413" s="15"/>
      <c r="C3413" s="15"/>
      <c r="D3413" s="15"/>
      <c r="E3413" s="15"/>
      <c r="F3413" s="15"/>
      <c r="G3413" s="15"/>
      <c r="H3413" s="15"/>
      <c r="I3413" s="15"/>
      <c r="J3413" s="15"/>
      <c r="L3413" s="18"/>
      <c r="M3413" s="19"/>
      <c r="N3413" s="19"/>
    </row>
    <row r="3414">
      <c r="A3414" s="14"/>
      <c r="B3414" s="15"/>
      <c r="C3414" s="15"/>
      <c r="D3414" s="15"/>
      <c r="E3414" s="15"/>
      <c r="F3414" s="15"/>
      <c r="G3414" s="15"/>
      <c r="H3414" s="15"/>
      <c r="I3414" s="15"/>
      <c r="J3414" s="15"/>
      <c r="L3414" s="18"/>
      <c r="M3414" s="19"/>
      <c r="N3414" s="19"/>
    </row>
    <row r="3415">
      <c r="A3415" s="14"/>
      <c r="B3415" s="15"/>
      <c r="C3415" s="15"/>
      <c r="D3415" s="15"/>
      <c r="E3415" s="15"/>
      <c r="F3415" s="15"/>
      <c r="G3415" s="15"/>
      <c r="H3415" s="15"/>
      <c r="I3415" s="15"/>
      <c r="J3415" s="15"/>
      <c r="L3415" s="18"/>
      <c r="M3415" s="19"/>
      <c r="N3415" s="19"/>
    </row>
    <row r="3416">
      <c r="A3416" s="14"/>
      <c r="B3416" s="15"/>
      <c r="C3416" s="15"/>
      <c r="D3416" s="15"/>
      <c r="E3416" s="15"/>
      <c r="F3416" s="15"/>
      <c r="G3416" s="15"/>
      <c r="H3416" s="15"/>
      <c r="I3416" s="15"/>
      <c r="J3416" s="15"/>
      <c r="L3416" s="18"/>
      <c r="M3416" s="19"/>
      <c r="N3416" s="19"/>
    </row>
    <row r="3417">
      <c r="A3417" s="14"/>
      <c r="B3417" s="15"/>
      <c r="C3417" s="15"/>
      <c r="D3417" s="15"/>
      <c r="E3417" s="15"/>
      <c r="F3417" s="15"/>
      <c r="G3417" s="15"/>
      <c r="H3417" s="15"/>
      <c r="I3417" s="15"/>
      <c r="J3417" s="15"/>
      <c r="L3417" s="18"/>
      <c r="M3417" s="19"/>
      <c r="N3417" s="19"/>
    </row>
    <row r="3418">
      <c r="A3418" s="14"/>
      <c r="B3418" s="15"/>
      <c r="C3418" s="15"/>
      <c r="D3418" s="15"/>
      <c r="E3418" s="15"/>
      <c r="F3418" s="15"/>
      <c r="G3418" s="15"/>
      <c r="H3418" s="15"/>
      <c r="I3418" s="15"/>
      <c r="J3418" s="15"/>
      <c r="L3418" s="18"/>
      <c r="M3418" s="19"/>
      <c r="N3418" s="19"/>
    </row>
    <row r="3419">
      <c r="A3419" s="14"/>
      <c r="B3419" s="15"/>
      <c r="C3419" s="15"/>
      <c r="D3419" s="15"/>
      <c r="E3419" s="15"/>
      <c r="F3419" s="15"/>
      <c r="G3419" s="15"/>
      <c r="H3419" s="15"/>
      <c r="I3419" s="15"/>
      <c r="J3419" s="15"/>
      <c r="L3419" s="18"/>
      <c r="M3419" s="19"/>
      <c r="N3419" s="19"/>
    </row>
    <row r="3420">
      <c r="A3420" s="14"/>
      <c r="B3420" s="15"/>
      <c r="C3420" s="15"/>
      <c r="D3420" s="15"/>
      <c r="E3420" s="15"/>
      <c r="F3420" s="15"/>
      <c r="G3420" s="15"/>
      <c r="H3420" s="15"/>
      <c r="I3420" s="15"/>
      <c r="J3420" s="15"/>
      <c r="L3420" s="18"/>
      <c r="M3420" s="19"/>
      <c r="N3420" s="19"/>
    </row>
    <row r="3421">
      <c r="A3421" s="14"/>
      <c r="B3421" s="15"/>
      <c r="C3421" s="15"/>
      <c r="D3421" s="15"/>
      <c r="E3421" s="15"/>
      <c r="F3421" s="15"/>
      <c r="G3421" s="15"/>
      <c r="H3421" s="15"/>
      <c r="I3421" s="15"/>
      <c r="J3421" s="15"/>
      <c r="L3421" s="18"/>
      <c r="M3421" s="19"/>
      <c r="N3421" s="19"/>
    </row>
    <row r="3422">
      <c r="A3422" s="14"/>
      <c r="B3422" s="15"/>
      <c r="C3422" s="15"/>
      <c r="D3422" s="15"/>
      <c r="E3422" s="15"/>
      <c r="F3422" s="15"/>
      <c r="G3422" s="15"/>
      <c r="H3422" s="15"/>
      <c r="I3422" s="15"/>
      <c r="J3422" s="15"/>
      <c r="L3422" s="18"/>
      <c r="M3422" s="19"/>
      <c r="N3422" s="19"/>
    </row>
    <row r="3423">
      <c r="A3423" s="14"/>
      <c r="B3423" s="15"/>
      <c r="C3423" s="15"/>
      <c r="D3423" s="15"/>
      <c r="E3423" s="15"/>
      <c r="F3423" s="15"/>
      <c r="G3423" s="15"/>
      <c r="H3423" s="15"/>
      <c r="I3423" s="15"/>
      <c r="J3423" s="15"/>
      <c r="L3423" s="18"/>
      <c r="M3423" s="19"/>
      <c r="N3423" s="19"/>
    </row>
    <row r="3424">
      <c r="A3424" s="14"/>
      <c r="B3424" s="15"/>
      <c r="C3424" s="15"/>
      <c r="D3424" s="15"/>
      <c r="E3424" s="15"/>
      <c r="F3424" s="15"/>
      <c r="G3424" s="15"/>
      <c r="H3424" s="15"/>
      <c r="I3424" s="15"/>
      <c r="J3424" s="15"/>
      <c r="L3424" s="18"/>
      <c r="M3424" s="19"/>
      <c r="N3424" s="19"/>
    </row>
    <row r="3425">
      <c r="A3425" s="14"/>
      <c r="B3425" s="15"/>
      <c r="C3425" s="15"/>
      <c r="D3425" s="15"/>
      <c r="E3425" s="15"/>
      <c r="F3425" s="15"/>
      <c r="G3425" s="15"/>
      <c r="H3425" s="15"/>
      <c r="I3425" s="15"/>
      <c r="J3425" s="15"/>
      <c r="L3425" s="18"/>
      <c r="M3425" s="19"/>
      <c r="N3425" s="19"/>
    </row>
    <row r="3426">
      <c r="A3426" s="14"/>
      <c r="B3426" s="15"/>
      <c r="C3426" s="15"/>
      <c r="D3426" s="15"/>
      <c r="E3426" s="15"/>
      <c r="F3426" s="15"/>
      <c r="G3426" s="15"/>
      <c r="H3426" s="15"/>
      <c r="I3426" s="15"/>
      <c r="J3426" s="15"/>
      <c r="L3426" s="18"/>
      <c r="M3426" s="19"/>
      <c r="N3426" s="19"/>
    </row>
    <row r="3427">
      <c r="A3427" s="14"/>
      <c r="B3427" s="15"/>
      <c r="C3427" s="15"/>
      <c r="D3427" s="15"/>
      <c r="E3427" s="15"/>
      <c r="F3427" s="15"/>
      <c r="G3427" s="15"/>
      <c r="H3427" s="15"/>
      <c r="I3427" s="15"/>
      <c r="J3427" s="15"/>
      <c r="L3427" s="18"/>
      <c r="M3427" s="19"/>
      <c r="N3427" s="19"/>
    </row>
    <row r="3428">
      <c r="A3428" s="14"/>
      <c r="B3428" s="15"/>
      <c r="C3428" s="15"/>
      <c r="D3428" s="15"/>
      <c r="E3428" s="15"/>
      <c r="F3428" s="15"/>
      <c r="G3428" s="15"/>
      <c r="H3428" s="15"/>
      <c r="I3428" s="15"/>
      <c r="J3428" s="15"/>
      <c r="L3428" s="18"/>
      <c r="M3428" s="19"/>
      <c r="N3428" s="19"/>
    </row>
    <row r="3429">
      <c r="A3429" s="14"/>
      <c r="B3429" s="15"/>
      <c r="C3429" s="15"/>
      <c r="D3429" s="15"/>
      <c r="E3429" s="15"/>
      <c r="F3429" s="15"/>
      <c r="G3429" s="15"/>
      <c r="H3429" s="15"/>
      <c r="I3429" s="15"/>
      <c r="J3429" s="15"/>
      <c r="L3429" s="18"/>
      <c r="M3429" s="19"/>
      <c r="N3429" s="19"/>
    </row>
    <row r="3430">
      <c r="A3430" s="14"/>
      <c r="B3430" s="15"/>
      <c r="C3430" s="15"/>
      <c r="D3430" s="15"/>
      <c r="E3430" s="15"/>
      <c r="F3430" s="15"/>
      <c r="G3430" s="15"/>
      <c r="H3430" s="15"/>
      <c r="I3430" s="15"/>
      <c r="J3430" s="15"/>
      <c r="L3430" s="18"/>
      <c r="M3430" s="19"/>
      <c r="N3430" s="19"/>
    </row>
    <row r="3431">
      <c r="A3431" s="14"/>
      <c r="B3431" s="15"/>
      <c r="C3431" s="15"/>
      <c r="D3431" s="15"/>
      <c r="E3431" s="15"/>
      <c r="F3431" s="15"/>
      <c r="G3431" s="15"/>
      <c r="H3431" s="15"/>
      <c r="I3431" s="15"/>
      <c r="J3431" s="15"/>
      <c r="L3431" s="18"/>
      <c r="M3431" s="19"/>
      <c r="N3431" s="19"/>
    </row>
    <row r="3432">
      <c r="A3432" s="14"/>
      <c r="B3432" s="15"/>
      <c r="C3432" s="15"/>
      <c r="D3432" s="15"/>
      <c r="E3432" s="15"/>
      <c r="F3432" s="15"/>
      <c r="G3432" s="15"/>
      <c r="H3432" s="15"/>
      <c r="I3432" s="15"/>
      <c r="J3432" s="15"/>
      <c r="L3432" s="18"/>
      <c r="M3432" s="19"/>
      <c r="N3432" s="19"/>
    </row>
    <row r="3433">
      <c r="A3433" s="14"/>
      <c r="B3433" s="15"/>
      <c r="C3433" s="15"/>
      <c r="D3433" s="15"/>
      <c r="E3433" s="15"/>
      <c r="F3433" s="15"/>
      <c r="G3433" s="15"/>
      <c r="H3433" s="15"/>
      <c r="I3433" s="15"/>
      <c r="J3433" s="15"/>
      <c r="L3433" s="18"/>
      <c r="M3433" s="19"/>
      <c r="N3433" s="19"/>
    </row>
    <row r="3434">
      <c r="A3434" s="14"/>
      <c r="B3434" s="15"/>
      <c r="C3434" s="15"/>
      <c r="D3434" s="15"/>
      <c r="E3434" s="15"/>
      <c r="F3434" s="15"/>
      <c r="G3434" s="15"/>
      <c r="H3434" s="15"/>
      <c r="I3434" s="15"/>
      <c r="J3434" s="15"/>
      <c r="L3434" s="18"/>
      <c r="M3434" s="19"/>
      <c r="N3434" s="19"/>
    </row>
    <row r="3435">
      <c r="A3435" s="14"/>
      <c r="B3435" s="15"/>
      <c r="C3435" s="15"/>
      <c r="D3435" s="15"/>
      <c r="E3435" s="15"/>
      <c r="F3435" s="15"/>
      <c r="G3435" s="15"/>
      <c r="H3435" s="15"/>
      <c r="I3435" s="15"/>
      <c r="J3435" s="15"/>
      <c r="L3435" s="18"/>
      <c r="M3435" s="19"/>
      <c r="N3435" s="19"/>
    </row>
    <row r="3436">
      <c r="A3436" s="14"/>
      <c r="B3436" s="15"/>
      <c r="C3436" s="15"/>
      <c r="D3436" s="15"/>
      <c r="E3436" s="15"/>
      <c r="F3436" s="15"/>
      <c r="G3436" s="15"/>
      <c r="H3436" s="15"/>
      <c r="I3436" s="15"/>
      <c r="J3436" s="15"/>
      <c r="L3436" s="18"/>
      <c r="M3436" s="19"/>
      <c r="N3436" s="19"/>
    </row>
    <row r="3437">
      <c r="A3437" s="14"/>
      <c r="B3437" s="15"/>
      <c r="C3437" s="15"/>
      <c r="D3437" s="15"/>
      <c r="E3437" s="15"/>
      <c r="F3437" s="15"/>
      <c r="G3437" s="15"/>
      <c r="H3437" s="15"/>
      <c r="I3437" s="15"/>
      <c r="J3437" s="15"/>
      <c r="L3437" s="18"/>
      <c r="M3437" s="19"/>
      <c r="N3437" s="19"/>
    </row>
    <row r="3438">
      <c r="A3438" s="14"/>
      <c r="B3438" s="15"/>
      <c r="C3438" s="15"/>
      <c r="D3438" s="15"/>
      <c r="E3438" s="15"/>
      <c r="F3438" s="15"/>
      <c r="G3438" s="15"/>
      <c r="H3438" s="15"/>
      <c r="I3438" s="15"/>
      <c r="J3438" s="15"/>
      <c r="L3438" s="18"/>
      <c r="M3438" s="19"/>
      <c r="N3438" s="19"/>
    </row>
    <row r="3439">
      <c r="A3439" s="14"/>
      <c r="B3439" s="15"/>
      <c r="C3439" s="15"/>
      <c r="D3439" s="15"/>
      <c r="E3439" s="15"/>
      <c r="F3439" s="15"/>
      <c r="G3439" s="15"/>
      <c r="H3439" s="15"/>
      <c r="I3439" s="15"/>
      <c r="J3439" s="15"/>
      <c r="L3439" s="18"/>
      <c r="M3439" s="19"/>
      <c r="N3439" s="19"/>
    </row>
    <row r="3440">
      <c r="A3440" s="14"/>
      <c r="B3440" s="15"/>
      <c r="C3440" s="15"/>
      <c r="D3440" s="15"/>
      <c r="E3440" s="15"/>
      <c r="F3440" s="15"/>
      <c r="G3440" s="15"/>
      <c r="H3440" s="15"/>
      <c r="I3440" s="15"/>
      <c r="J3440" s="15"/>
      <c r="L3440" s="18"/>
      <c r="M3440" s="19"/>
      <c r="N3440" s="19"/>
    </row>
    <row r="3441">
      <c r="A3441" s="14"/>
      <c r="B3441" s="15"/>
      <c r="C3441" s="15"/>
      <c r="D3441" s="15"/>
      <c r="E3441" s="15"/>
      <c r="F3441" s="15"/>
      <c r="G3441" s="15"/>
      <c r="H3441" s="15"/>
      <c r="I3441" s="15"/>
      <c r="J3441" s="15"/>
      <c r="L3441" s="18"/>
      <c r="M3441" s="19"/>
      <c r="N3441" s="19"/>
    </row>
    <row r="3442">
      <c r="A3442" s="14"/>
      <c r="B3442" s="15"/>
      <c r="C3442" s="15"/>
      <c r="D3442" s="15"/>
      <c r="E3442" s="15"/>
      <c r="F3442" s="15"/>
      <c r="G3442" s="15"/>
      <c r="H3442" s="15"/>
      <c r="I3442" s="15"/>
      <c r="J3442" s="15"/>
      <c r="L3442" s="18"/>
      <c r="M3442" s="19"/>
      <c r="N3442" s="19"/>
    </row>
    <row r="3443">
      <c r="A3443" s="14"/>
      <c r="B3443" s="15"/>
      <c r="C3443" s="15"/>
      <c r="D3443" s="15"/>
      <c r="E3443" s="15"/>
      <c r="F3443" s="15"/>
      <c r="G3443" s="15"/>
      <c r="H3443" s="15"/>
      <c r="I3443" s="15"/>
      <c r="J3443" s="15"/>
      <c r="L3443" s="18"/>
      <c r="M3443" s="19"/>
      <c r="N3443" s="19"/>
    </row>
    <row r="3444">
      <c r="A3444" s="14"/>
      <c r="B3444" s="15"/>
      <c r="C3444" s="15"/>
      <c r="D3444" s="15"/>
      <c r="E3444" s="15"/>
      <c r="F3444" s="15"/>
      <c r="G3444" s="15"/>
      <c r="H3444" s="15"/>
      <c r="I3444" s="15"/>
      <c r="J3444" s="15"/>
      <c r="L3444" s="18"/>
      <c r="M3444" s="19"/>
      <c r="N3444" s="19"/>
    </row>
    <row r="3445">
      <c r="A3445" s="14"/>
      <c r="B3445" s="15"/>
      <c r="C3445" s="15"/>
      <c r="D3445" s="15"/>
      <c r="E3445" s="15"/>
      <c r="F3445" s="15"/>
      <c r="G3445" s="15"/>
      <c r="H3445" s="15"/>
      <c r="I3445" s="15"/>
      <c r="J3445" s="15"/>
      <c r="L3445" s="18"/>
      <c r="M3445" s="19"/>
      <c r="N3445" s="19"/>
    </row>
    <row r="3446">
      <c r="A3446" s="14"/>
      <c r="B3446" s="15"/>
      <c r="C3446" s="15"/>
      <c r="D3446" s="15"/>
      <c r="E3446" s="15"/>
      <c r="F3446" s="15"/>
      <c r="G3446" s="15"/>
      <c r="H3446" s="15"/>
      <c r="I3446" s="15"/>
      <c r="J3446" s="15"/>
      <c r="L3446" s="18"/>
      <c r="M3446" s="19"/>
      <c r="N3446" s="19"/>
    </row>
    <row r="3447">
      <c r="A3447" s="14"/>
      <c r="B3447" s="15"/>
      <c r="C3447" s="15"/>
      <c r="D3447" s="15"/>
      <c r="E3447" s="15"/>
      <c r="F3447" s="15"/>
      <c r="G3447" s="15"/>
      <c r="H3447" s="15"/>
      <c r="I3447" s="15"/>
      <c r="J3447" s="15"/>
      <c r="L3447" s="18"/>
      <c r="M3447" s="19"/>
      <c r="N3447" s="19"/>
    </row>
    <row r="3448">
      <c r="A3448" s="14"/>
      <c r="B3448" s="15"/>
      <c r="C3448" s="15"/>
      <c r="D3448" s="15"/>
      <c r="E3448" s="15"/>
      <c r="F3448" s="15"/>
      <c r="G3448" s="15"/>
      <c r="H3448" s="15"/>
      <c r="I3448" s="15"/>
      <c r="J3448" s="15"/>
      <c r="L3448" s="18"/>
      <c r="M3448" s="19"/>
      <c r="N3448" s="19"/>
    </row>
    <row r="3449">
      <c r="A3449" s="14"/>
      <c r="B3449" s="15"/>
      <c r="C3449" s="15"/>
      <c r="D3449" s="15"/>
      <c r="E3449" s="15"/>
      <c r="F3449" s="15"/>
      <c r="G3449" s="15"/>
      <c r="H3449" s="15"/>
      <c r="I3449" s="15"/>
      <c r="J3449" s="15"/>
      <c r="L3449" s="18"/>
      <c r="M3449" s="19"/>
      <c r="N3449" s="19"/>
    </row>
    <row r="3450">
      <c r="A3450" s="14"/>
      <c r="B3450" s="15"/>
      <c r="C3450" s="15"/>
      <c r="D3450" s="15"/>
      <c r="E3450" s="15"/>
      <c r="F3450" s="15"/>
      <c r="G3450" s="15"/>
      <c r="H3450" s="15"/>
      <c r="I3450" s="15"/>
      <c r="J3450" s="15"/>
      <c r="L3450" s="18"/>
      <c r="M3450" s="19"/>
      <c r="N3450" s="19"/>
    </row>
    <row r="3451">
      <c r="A3451" s="14"/>
      <c r="B3451" s="15"/>
      <c r="C3451" s="15"/>
      <c r="D3451" s="15"/>
      <c r="E3451" s="15"/>
      <c r="F3451" s="15"/>
      <c r="G3451" s="15"/>
      <c r="H3451" s="15"/>
      <c r="I3451" s="15"/>
      <c r="J3451" s="15"/>
      <c r="L3451" s="18"/>
      <c r="M3451" s="19"/>
      <c r="N3451" s="19"/>
    </row>
    <row r="3452">
      <c r="A3452" s="14"/>
      <c r="B3452" s="15"/>
      <c r="C3452" s="15"/>
      <c r="D3452" s="15"/>
      <c r="E3452" s="15"/>
      <c r="F3452" s="15"/>
      <c r="G3452" s="15"/>
      <c r="H3452" s="15"/>
      <c r="I3452" s="15"/>
      <c r="J3452" s="15"/>
      <c r="L3452" s="18"/>
      <c r="M3452" s="19"/>
      <c r="N3452" s="19"/>
    </row>
    <row r="3453">
      <c r="A3453" s="14"/>
      <c r="B3453" s="15"/>
      <c r="C3453" s="15"/>
      <c r="D3453" s="15"/>
      <c r="E3453" s="15"/>
      <c r="F3453" s="15"/>
      <c r="G3453" s="15"/>
      <c r="H3453" s="15"/>
      <c r="I3453" s="15"/>
      <c r="J3453" s="15"/>
      <c r="L3453" s="18"/>
      <c r="M3453" s="19"/>
      <c r="N3453" s="19"/>
    </row>
    <row r="3454">
      <c r="A3454" s="14"/>
      <c r="B3454" s="15"/>
      <c r="C3454" s="15"/>
      <c r="D3454" s="15"/>
      <c r="E3454" s="15"/>
      <c r="F3454" s="15"/>
      <c r="G3454" s="15"/>
      <c r="H3454" s="15"/>
      <c r="I3454" s="15"/>
      <c r="J3454" s="15"/>
      <c r="L3454" s="18"/>
      <c r="M3454" s="19"/>
      <c r="N3454" s="19"/>
    </row>
    <row r="3455">
      <c r="A3455" s="14"/>
      <c r="B3455" s="15"/>
      <c r="C3455" s="15"/>
      <c r="D3455" s="15"/>
      <c r="E3455" s="15"/>
      <c r="F3455" s="15"/>
      <c r="G3455" s="15"/>
      <c r="H3455" s="15"/>
      <c r="I3455" s="15"/>
      <c r="J3455" s="15"/>
      <c r="L3455" s="18"/>
      <c r="M3455" s="19"/>
      <c r="N3455" s="19"/>
    </row>
    <row r="3456">
      <c r="A3456" s="14"/>
      <c r="B3456" s="15"/>
      <c r="C3456" s="15"/>
      <c r="D3456" s="15"/>
      <c r="E3456" s="15"/>
      <c r="F3456" s="15"/>
      <c r="G3456" s="15"/>
      <c r="H3456" s="15"/>
      <c r="I3456" s="15"/>
      <c r="J3456" s="15"/>
      <c r="L3456" s="18"/>
      <c r="M3456" s="19"/>
      <c r="N3456" s="19"/>
    </row>
    <row r="3457">
      <c r="A3457" s="14"/>
      <c r="B3457" s="15"/>
      <c r="C3457" s="15"/>
      <c r="D3457" s="15"/>
      <c r="E3457" s="15"/>
      <c r="F3457" s="15"/>
      <c r="G3457" s="15"/>
      <c r="H3457" s="15"/>
      <c r="I3457" s="15"/>
      <c r="J3457" s="15"/>
      <c r="L3457" s="18"/>
      <c r="M3457" s="19"/>
      <c r="N3457" s="19"/>
    </row>
    <row r="3458">
      <c r="A3458" s="14"/>
      <c r="B3458" s="15"/>
      <c r="C3458" s="15"/>
      <c r="D3458" s="15"/>
      <c r="E3458" s="15"/>
      <c r="F3458" s="15"/>
      <c r="G3458" s="15"/>
      <c r="H3458" s="15"/>
      <c r="I3458" s="15"/>
      <c r="J3458" s="15"/>
      <c r="L3458" s="18"/>
      <c r="M3458" s="19"/>
      <c r="N3458" s="19"/>
    </row>
    <row r="3459">
      <c r="A3459" s="14"/>
      <c r="B3459" s="15"/>
      <c r="C3459" s="15"/>
      <c r="D3459" s="15"/>
      <c r="E3459" s="15"/>
      <c r="F3459" s="15"/>
      <c r="G3459" s="15"/>
      <c r="H3459" s="15"/>
      <c r="I3459" s="15"/>
      <c r="J3459" s="15"/>
      <c r="L3459" s="18"/>
      <c r="M3459" s="19"/>
      <c r="N3459" s="19"/>
    </row>
    <row r="3460">
      <c r="A3460" s="14"/>
      <c r="B3460" s="15"/>
      <c r="C3460" s="15"/>
      <c r="D3460" s="15"/>
      <c r="E3460" s="15"/>
      <c r="F3460" s="15"/>
      <c r="G3460" s="15"/>
      <c r="H3460" s="15"/>
      <c r="I3460" s="15"/>
      <c r="J3460" s="15"/>
      <c r="L3460" s="18"/>
      <c r="M3460" s="19"/>
      <c r="N3460" s="19"/>
    </row>
    <row r="3461">
      <c r="A3461" s="14"/>
      <c r="B3461" s="15"/>
      <c r="C3461" s="15"/>
      <c r="D3461" s="15"/>
      <c r="E3461" s="15"/>
      <c r="F3461" s="15"/>
      <c r="G3461" s="15"/>
      <c r="H3461" s="15"/>
      <c r="I3461" s="15"/>
      <c r="J3461" s="15"/>
      <c r="L3461" s="18"/>
      <c r="M3461" s="19"/>
      <c r="N3461" s="19"/>
    </row>
    <row r="3462">
      <c r="A3462" s="14"/>
      <c r="B3462" s="15"/>
      <c r="C3462" s="15"/>
      <c r="D3462" s="15"/>
      <c r="E3462" s="15"/>
      <c r="F3462" s="15"/>
      <c r="G3462" s="15"/>
      <c r="H3462" s="15"/>
      <c r="I3462" s="15"/>
      <c r="J3462" s="15"/>
      <c r="L3462" s="18"/>
      <c r="M3462" s="19"/>
      <c r="N3462" s="19"/>
    </row>
    <row r="3463">
      <c r="A3463" s="14"/>
      <c r="B3463" s="15"/>
      <c r="C3463" s="15"/>
      <c r="D3463" s="15"/>
      <c r="E3463" s="15"/>
      <c r="F3463" s="15"/>
      <c r="G3463" s="15"/>
      <c r="H3463" s="15"/>
      <c r="I3463" s="15"/>
      <c r="J3463" s="15"/>
      <c r="L3463" s="18"/>
      <c r="M3463" s="19"/>
      <c r="N3463" s="19"/>
    </row>
    <row r="3464">
      <c r="A3464" s="14"/>
      <c r="B3464" s="15"/>
      <c r="C3464" s="15"/>
      <c r="D3464" s="15"/>
      <c r="E3464" s="15"/>
      <c r="F3464" s="15"/>
      <c r="G3464" s="15"/>
      <c r="H3464" s="15"/>
      <c r="I3464" s="15"/>
      <c r="J3464" s="15"/>
      <c r="L3464" s="18"/>
      <c r="M3464" s="19"/>
      <c r="N3464" s="19"/>
    </row>
    <row r="3465">
      <c r="A3465" s="14"/>
      <c r="B3465" s="15"/>
      <c r="C3465" s="15"/>
      <c r="D3465" s="15"/>
      <c r="E3465" s="15"/>
      <c r="F3465" s="15"/>
      <c r="G3465" s="15"/>
      <c r="H3465" s="15"/>
      <c r="I3465" s="15"/>
      <c r="J3465" s="15"/>
      <c r="L3465" s="18"/>
      <c r="M3465" s="19"/>
      <c r="N3465" s="19"/>
    </row>
    <row r="3466">
      <c r="A3466" s="14"/>
      <c r="B3466" s="15"/>
      <c r="C3466" s="15"/>
      <c r="D3466" s="15"/>
      <c r="E3466" s="15"/>
      <c r="F3466" s="15"/>
      <c r="G3466" s="15"/>
      <c r="H3466" s="15"/>
      <c r="I3466" s="15"/>
      <c r="J3466" s="15"/>
      <c r="L3466" s="18"/>
      <c r="M3466" s="19"/>
      <c r="N3466" s="19"/>
    </row>
    <row r="3467">
      <c r="A3467" s="14"/>
      <c r="B3467" s="15"/>
      <c r="C3467" s="15"/>
      <c r="D3467" s="15"/>
      <c r="E3467" s="15"/>
      <c r="F3467" s="15"/>
      <c r="G3467" s="15"/>
      <c r="H3467" s="15"/>
      <c r="I3467" s="15"/>
      <c r="J3467" s="15"/>
      <c r="L3467" s="18"/>
      <c r="M3467" s="19"/>
      <c r="N3467" s="19"/>
    </row>
    <row r="3468">
      <c r="A3468" s="14"/>
      <c r="B3468" s="15"/>
      <c r="C3468" s="15"/>
      <c r="D3468" s="15"/>
      <c r="E3468" s="15"/>
      <c r="F3468" s="15"/>
      <c r="G3468" s="15"/>
      <c r="H3468" s="15"/>
      <c r="I3468" s="15"/>
      <c r="J3468" s="15"/>
      <c r="L3468" s="18"/>
      <c r="M3468" s="19"/>
      <c r="N3468" s="19"/>
    </row>
    <row r="3469">
      <c r="A3469" s="14"/>
      <c r="B3469" s="15"/>
      <c r="C3469" s="15"/>
      <c r="D3469" s="15"/>
      <c r="E3469" s="15"/>
      <c r="F3469" s="15"/>
      <c r="G3469" s="15"/>
      <c r="H3469" s="15"/>
      <c r="I3469" s="15"/>
      <c r="J3469" s="15"/>
      <c r="L3469" s="18"/>
      <c r="M3469" s="19"/>
      <c r="N3469" s="19"/>
    </row>
    <row r="3470">
      <c r="A3470" s="14"/>
      <c r="B3470" s="15"/>
      <c r="C3470" s="15"/>
      <c r="D3470" s="15"/>
      <c r="E3470" s="15"/>
      <c r="F3470" s="15"/>
      <c r="G3470" s="15"/>
      <c r="H3470" s="15"/>
      <c r="I3470" s="15"/>
      <c r="J3470" s="15"/>
      <c r="L3470" s="18"/>
      <c r="M3470" s="19"/>
      <c r="N3470" s="19"/>
    </row>
    <row r="3471">
      <c r="A3471" s="14"/>
      <c r="B3471" s="15"/>
      <c r="C3471" s="15"/>
      <c r="D3471" s="15"/>
      <c r="E3471" s="15"/>
      <c r="F3471" s="15"/>
      <c r="G3471" s="15"/>
      <c r="H3471" s="15"/>
      <c r="I3471" s="15"/>
      <c r="J3471" s="15"/>
      <c r="L3471" s="18"/>
      <c r="M3471" s="19"/>
      <c r="N3471" s="19"/>
    </row>
    <row r="3472">
      <c r="A3472" s="14"/>
      <c r="B3472" s="15"/>
      <c r="C3472" s="15"/>
      <c r="D3472" s="15"/>
      <c r="E3472" s="15"/>
      <c r="F3472" s="15"/>
      <c r="G3472" s="15"/>
      <c r="H3472" s="15"/>
      <c r="I3472" s="15"/>
      <c r="J3472" s="15"/>
      <c r="L3472" s="18"/>
      <c r="M3472" s="19"/>
      <c r="N3472" s="19"/>
    </row>
    <row r="3473">
      <c r="A3473" s="14"/>
      <c r="B3473" s="15"/>
      <c r="C3473" s="15"/>
      <c r="D3473" s="15"/>
      <c r="E3473" s="15"/>
      <c r="F3473" s="15"/>
      <c r="G3473" s="15"/>
      <c r="H3473" s="15"/>
      <c r="I3473" s="15"/>
      <c r="J3473" s="15"/>
      <c r="L3473" s="18"/>
      <c r="M3473" s="19"/>
      <c r="N3473" s="19"/>
    </row>
    <row r="3474">
      <c r="A3474" s="14"/>
      <c r="B3474" s="15"/>
      <c r="C3474" s="15"/>
      <c r="D3474" s="15"/>
      <c r="E3474" s="15"/>
      <c r="F3474" s="15"/>
      <c r="G3474" s="15"/>
      <c r="H3474" s="15"/>
      <c r="I3474" s="15"/>
      <c r="J3474" s="15"/>
      <c r="L3474" s="18"/>
      <c r="M3474" s="19"/>
      <c r="N3474" s="19"/>
    </row>
    <row r="3475">
      <c r="A3475" s="14"/>
      <c r="B3475" s="15"/>
      <c r="C3475" s="15"/>
      <c r="D3475" s="15"/>
      <c r="E3475" s="15"/>
      <c r="F3475" s="15"/>
      <c r="G3475" s="15"/>
      <c r="H3475" s="15"/>
      <c r="I3475" s="15"/>
      <c r="J3475" s="15"/>
      <c r="L3475" s="18"/>
      <c r="M3475" s="19"/>
      <c r="N3475" s="19"/>
    </row>
    <row r="3476">
      <c r="A3476" s="14"/>
      <c r="B3476" s="15"/>
      <c r="C3476" s="15"/>
      <c r="D3476" s="15"/>
      <c r="E3476" s="15"/>
      <c r="F3476" s="15"/>
      <c r="G3476" s="15"/>
      <c r="H3476" s="15"/>
      <c r="I3476" s="15"/>
      <c r="J3476" s="15"/>
      <c r="L3476" s="18"/>
      <c r="M3476" s="19"/>
      <c r="N3476" s="19"/>
    </row>
    <row r="3477">
      <c r="A3477" s="14"/>
      <c r="B3477" s="15"/>
      <c r="C3477" s="15"/>
      <c r="D3477" s="15"/>
      <c r="E3477" s="15"/>
      <c r="F3477" s="15"/>
      <c r="G3477" s="15"/>
      <c r="H3477" s="15"/>
      <c r="I3477" s="15"/>
      <c r="J3477" s="15"/>
      <c r="L3477" s="18"/>
      <c r="M3477" s="19"/>
      <c r="N3477" s="19"/>
    </row>
    <row r="3478">
      <c r="A3478" s="14"/>
      <c r="B3478" s="15"/>
      <c r="C3478" s="15"/>
      <c r="D3478" s="15"/>
      <c r="E3478" s="15"/>
      <c r="F3478" s="15"/>
      <c r="G3478" s="15"/>
      <c r="H3478" s="15"/>
      <c r="I3478" s="15"/>
      <c r="J3478" s="15"/>
      <c r="L3478" s="18"/>
      <c r="M3478" s="19"/>
      <c r="N3478" s="19"/>
    </row>
    <row r="3479">
      <c r="A3479" s="14"/>
      <c r="B3479" s="15"/>
      <c r="C3479" s="15"/>
      <c r="D3479" s="15"/>
      <c r="E3479" s="15"/>
      <c r="F3479" s="15"/>
      <c r="G3479" s="15"/>
      <c r="H3479" s="15"/>
      <c r="I3479" s="15"/>
      <c r="J3479" s="15"/>
      <c r="L3479" s="18"/>
      <c r="M3479" s="19"/>
      <c r="N3479" s="19"/>
    </row>
    <row r="3480">
      <c r="A3480" s="14"/>
      <c r="B3480" s="15"/>
      <c r="C3480" s="15"/>
      <c r="D3480" s="15"/>
      <c r="E3480" s="15"/>
      <c r="F3480" s="15"/>
      <c r="G3480" s="15"/>
      <c r="H3480" s="15"/>
      <c r="I3480" s="15"/>
      <c r="J3480" s="15"/>
      <c r="L3480" s="18"/>
      <c r="M3480" s="19"/>
      <c r="N3480" s="19"/>
    </row>
    <row r="3481">
      <c r="A3481" s="14"/>
      <c r="B3481" s="15"/>
      <c r="C3481" s="15"/>
      <c r="D3481" s="15"/>
      <c r="E3481" s="15"/>
      <c r="F3481" s="15"/>
      <c r="G3481" s="15"/>
      <c r="H3481" s="15"/>
      <c r="I3481" s="15"/>
      <c r="J3481" s="15"/>
      <c r="L3481" s="18"/>
      <c r="M3481" s="19"/>
      <c r="N3481" s="19"/>
    </row>
    <row r="3482">
      <c r="A3482" s="14"/>
      <c r="B3482" s="15"/>
      <c r="C3482" s="15"/>
      <c r="D3482" s="15"/>
      <c r="E3482" s="15"/>
      <c r="F3482" s="15"/>
      <c r="G3482" s="15"/>
      <c r="H3482" s="15"/>
      <c r="I3482" s="15"/>
      <c r="J3482" s="15"/>
      <c r="L3482" s="18"/>
      <c r="M3482" s="19"/>
      <c r="N3482" s="19"/>
    </row>
    <row r="3483">
      <c r="A3483" s="14"/>
      <c r="B3483" s="15"/>
      <c r="C3483" s="15"/>
      <c r="D3483" s="15"/>
      <c r="E3483" s="15"/>
      <c r="F3483" s="15"/>
      <c r="G3483" s="15"/>
      <c r="H3483" s="15"/>
      <c r="I3483" s="15"/>
      <c r="J3483" s="15"/>
      <c r="L3483" s="18"/>
      <c r="M3483" s="19"/>
      <c r="N3483" s="19"/>
    </row>
    <row r="3484">
      <c r="A3484" s="14"/>
      <c r="B3484" s="15"/>
      <c r="C3484" s="15"/>
      <c r="D3484" s="15"/>
      <c r="E3484" s="15"/>
      <c r="F3484" s="15"/>
      <c r="G3484" s="15"/>
      <c r="H3484" s="15"/>
      <c r="I3484" s="15"/>
      <c r="J3484" s="15"/>
      <c r="L3484" s="18"/>
      <c r="M3484" s="19"/>
      <c r="N3484" s="19"/>
    </row>
    <row r="3485">
      <c r="A3485" s="14"/>
      <c r="B3485" s="15"/>
      <c r="C3485" s="15"/>
      <c r="D3485" s="15"/>
      <c r="E3485" s="15"/>
      <c r="F3485" s="15"/>
      <c r="G3485" s="15"/>
      <c r="H3485" s="15"/>
      <c r="I3485" s="15"/>
      <c r="J3485" s="15"/>
      <c r="L3485" s="18"/>
      <c r="M3485" s="19"/>
      <c r="N3485" s="19"/>
    </row>
    <row r="3486">
      <c r="A3486" s="14"/>
      <c r="B3486" s="15"/>
      <c r="C3486" s="15"/>
      <c r="D3486" s="15"/>
      <c r="E3486" s="15"/>
      <c r="F3486" s="15"/>
      <c r="G3486" s="15"/>
      <c r="H3486" s="15"/>
      <c r="I3486" s="15"/>
      <c r="J3486" s="15"/>
      <c r="L3486" s="18"/>
      <c r="M3486" s="19"/>
      <c r="N3486" s="19"/>
    </row>
    <row r="3487">
      <c r="A3487" s="14"/>
      <c r="B3487" s="15"/>
      <c r="C3487" s="15"/>
      <c r="D3487" s="15"/>
      <c r="E3487" s="15"/>
      <c r="F3487" s="15"/>
      <c r="G3487" s="15"/>
      <c r="H3487" s="15"/>
      <c r="I3487" s="15"/>
      <c r="J3487" s="15"/>
      <c r="L3487" s="18"/>
      <c r="M3487" s="19"/>
      <c r="N3487" s="19"/>
    </row>
    <row r="3488">
      <c r="A3488" s="14"/>
      <c r="B3488" s="15"/>
      <c r="C3488" s="15"/>
      <c r="D3488" s="15"/>
      <c r="E3488" s="15"/>
      <c r="F3488" s="15"/>
      <c r="G3488" s="15"/>
      <c r="H3488" s="15"/>
      <c r="I3488" s="15"/>
      <c r="J3488" s="15"/>
      <c r="L3488" s="18"/>
      <c r="M3488" s="19"/>
      <c r="N3488" s="19"/>
    </row>
    <row r="3489">
      <c r="A3489" s="14"/>
      <c r="B3489" s="15"/>
      <c r="C3489" s="15"/>
      <c r="D3489" s="15"/>
      <c r="E3489" s="15"/>
      <c r="F3489" s="15"/>
      <c r="G3489" s="15"/>
      <c r="H3489" s="15"/>
      <c r="I3489" s="15"/>
      <c r="J3489" s="15"/>
      <c r="L3489" s="18"/>
      <c r="M3489" s="19"/>
      <c r="N3489" s="19"/>
    </row>
    <row r="3490">
      <c r="A3490" s="14"/>
      <c r="B3490" s="15"/>
      <c r="C3490" s="15"/>
      <c r="D3490" s="15"/>
      <c r="E3490" s="15"/>
      <c r="F3490" s="15"/>
      <c r="G3490" s="15"/>
      <c r="H3490" s="15"/>
      <c r="I3490" s="15"/>
      <c r="J3490" s="15"/>
      <c r="L3490" s="18"/>
      <c r="M3490" s="19"/>
      <c r="N3490" s="19"/>
    </row>
    <row r="3491">
      <c r="A3491" s="14"/>
      <c r="B3491" s="15"/>
      <c r="C3491" s="15"/>
      <c r="D3491" s="15"/>
      <c r="E3491" s="15"/>
      <c r="F3491" s="15"/>
      <c r="G3491" s="15"/>
      <c r="H3491" s="15"/>
      <c r="I3491" s="15"/>
      <c r="J3491" s="15"/>
      <c r="L3491" s="18"/>
      <c r="M3491" s="19"/>
      <c r="N3491" s="19"/>
    </row>
    <row r="3492">
      <c r="A3492" s="14"/>
      <c r="B3492" s="15"/>
      <c r="C3492" s="15"/>
      <c r="D3492" s="15"/>
      <c r="E3492" s="15"/>
      <c r="F3492" s="15"/>
      <c r="G3492" s="15"/>
      <c r="H3492" s="15"/>
      <c r="I3492" s="15"/>
      <c r="J3492" s="15"/>
      <c r="L3492" s="18"/>
      <c r="M3492" s="19"/>
      <c r="N3492" s="19"/>
    </row>
    <row r="3493">
      <c r="A3493" s="14"/>
      <c r="B3493" s="15"/>
      <c r="C3493" s="15"/>
      <c r="D3493" s="15"/>
      <c r="E3493" s="15"/>
      <c r="F3493" s="15"/>
      <c r="G3493" s="15"/>
      <c r="H3493" s="15"/>
      <c r="I3493" s="15"/>
      <c r="J3493" s="15"/>
      <c r="L3493" s="18"/>
      <c r="M3493" s="19"/>
      <c r="N3493" s="19"/>
    </row>
    <row r="3494">
      <c r="A3494" s="14"/>
      <c r="B3494" s="15"/>
      <c r="C3494" s="15"/>
      <c r="D3494" s="15"/>
      <c r="E3494" s="15"/>
      <c r="F3494" s="15"/>
      <c r="G3494" s="15"/>
      <c r="H3494" s="15"/>
      <c r="I3494" s="15"/>
      <c r="J3494" s="15"/>
      <c r="L3494" s="18"/>
      <c r="M3494" s="19"/>
      <c r="N3494" s="19"/>
    </row>
    <row r="3495">
      <c r="A3495" s="14"/>
      <c r="B3495" s="15"/>
      <c r="C3495" s="15"/>
      <c r="D3495" s="15"/>
      <c r="E3495" s="15"/>
      <c r="F3495" s="15"/>
      <c r="G3495" s="15"/>
      <c r="H3495" s="15"/>
      <c r="I3495" s="15"/>
      <c r="J3495" s="15"/>
      <c r="L3495" s="18"/>
      <c r="M3495" s="19"/>
      <c r="N3495" s="19"/>
    </row>
    <row r="3496">
      <c r="A3496" s="14"/>
      <c r="B3496" s="15"/>
      <c r="C3496" s="15"/>
      <c r="D3496" s="15"/>
      <c r="E3496" s="15"/>
      <c r="F3496" s="15"/>
      <c r="G3496" s="15"/>
      <c r="H3496" s="15"/>
      <c r="I3496" s="15"/>
      <c r="J3496" s="15"/>
      <c r="L3496" s="18"/>
      <c r="M3496" s="19"/>
      <c r="N3496" s="19"/>
    </row>
    <row r="3497">
      <c r="A3497" s="14"/>
      <c r="B3497" s="15"/>
      <c r="C3497" s="15"/>
      <c r="D3497" s="15"/>
      <c r="E3497" s="15"/>
      <c r="F3497" s="15"/>
      <c r="G3497" s="15"/>
      <c r="H3497" s="15"/>
      <c r="I3497" s="15"/>
      <c r="J3497" s="15"/>
      <c r="L3497" s="18"/>
      <c r="M3497" s="19"/>
      <c r="N3497" s="19"/>
    </row>
    <row r="3498">
      <c r="A3498" s="14"/>
      <c r="B3498" s="15"/>
      <c r="C3498" s="15"/>
      <c r="D3498" s="15"/>
      <c r="E3498" s="15"/>
      <c r="F3498" s="15"/>
      <c r="G3498" s="15"/>
      <c r="H3498" s="15"/>
      <c r="I3498" s="15"/>
      <c r="J3498" s="15"/>
      <c r="L3498" s="18"/>
      <c r="M3498" s="19"/>
      <c r="N3498" s="19"/>
    </row>
  </sheetData>
  <mergeCells count="1">
    <mergeCell ref="A1:GX4"/>
  </mergeCells>
  <drawing r:id="rId1"/>
</worksheet>
</file>