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2NwoKglIq+53iUQnKmUQIy5MMfm22ZASKTpMuzGwI7w="/>
    </ext>
  </extLst>
</workbook>
</file>

<file path=xl/sharedStrings.xml><?xml version="1.0" encoding="utf-8"?>
<sst xmlns="http://schemas.openxmlformats.org/spreadsheetml/2006/main" count="3107" uniqueCount="1073">
  <si>
    <t>Company:</t>
  </si>
  <si>
    <t>Distribution Gate LLC</t>
  </si>
  <si>
    <t>Address:</t>
  </si>
  <si>
    <t>Texas , USA</t>
  </si>
  <si>
    <t>Country:</t>
  </si>
  <si>
    <t>USA</t>
  </si>
  <si>
    <t>Phone number:</t>
  </si>
  <si>
    <t>+1 (862) 329-2113</t>
  </si>
  <si>
    <t>Email:</t>
  </si>
  <si>
    <r>
      <rPr>
        <rFont val="Calibri, sans-serif"/>
        <color rgb="FF1155CC"/>
        <sz val="12.0"/>
        <u/>
      </rPr>
      <t>info@distributiongate.com</t>
    </r>
  </si>
  <si>
    <t>Conditions:</t>
  </si>
  <si>
    <t>Lead time: 6-8 weeks.Orders are placed 1/month.</t>
  </si>
  <si>
    <r>
      <rPr>
        <rFont val="Calibri"/>
        <b/>
        <color theme="1"/>
        <sz val="11.0"/>
      </rPr>
      <t>Incoterm</t>
    </r>
    <r>
      <rPr>
        <rFont val="Calibri"/>
        <b val="0"/>
        <color theme="1"/>
        <sz val="11.0"/>
      </rPr>
      <t>: EXW Spain</t>
    </r>
  </si>
  <si>
    <r>
      <rPr>
        <rFont val="Calibri"/>
        <b/>
        <color theme="1"/>
        <sz val="11.0"/>
      </rPr>
      <t>POSSIBLE QTY:</t>
    </r>
    <r>
      <rPr>
        <rFont val="Calibri"/>
        <b val="0"/>
        <color rgb="FF000000"/>
        <sz val="11.0"/>
      </rPr>
      <t xml:space="preserve"> </t>
    </r>
    <r>
      <rPr>
        <rFont val="Calibri"/>
        <b/>
        <color rgb="FF000000"/>
        <sz val="11.0"/>
      </rPr>
      <t>Orders accepted only in original box qty</t>
    </r>
  </si>
  <si>
    <t>Maximum Order Quantity: up to 200 pcs/SKU</t>
  </si>
  <si>
    <t xml:space="preserve">All products are EU clean and fresh. </t>
  </si>
  <si>
    <t>SKU</t>
  </si>
  <si>
    <t>Barcode</t>
  </si>
  <si>
    <t xml:space="preserve">  Item Name</t>
  </si>
  <si>
    <t>Size</t>
  </si>
  <si>
    <t>MSRP</t>
  </si>
  <si>
    <t>Salon Price</t>
  </si>
  <si>
    <t>MSRP Discount</t>
  </si>
  <si>
    <t>Wholesale Price</t>
  </si>
  <si>
    <t>Units</t>
  </si>
  <si>
    <t>Unit Quantity</t>
  </si>
  <si>
    <t>Order</t>
  </si>
  <si>
    <t>per case</t>
  </si>
  <si>
    <t>Value</t>
  </si>
  <si>
    <t>Foaming Kiwi Cleanser</t>
  </si>
  <si>
    <t xml:space="preserve">5fl oz / 150ml </t>
  </si>
  <si>
    <t>N/A</t>
  </si>
  <si>
    <t>Kiwi Cleanser</t>
  </si>
  <si>
    <t xml:space="preserve">8fl oz / 240ml </t>
  </si>
  <si>
    <t>Foaming Vitamin C Cleanser</t>
  </si>
  <si>
    <t>Vitamin C Cleanser</t>
  </si>
  <si>
    <t>Revitalizing Cleanser</t>
  </si>
  <si>
    <t>Dual Action Cleanser with Scrub</t>
  </si>
  <si>
    <t>Instant Eye Makeup Remover</t>
  </si>
  <si>
    <t>2Phase Makeup Remover</t>
  </si>
  <si>
    <t>8fl oz / 240ml</t>
  </si>
  <si>
    <t>After Makeup Cleansing Balm</t>
  </si>
  <si>
    <t>1.7fl oz / 50ml</t>
  </si>
  <si>
    <t>Microglow Cleanser</t>
  </si>
  <si>
    <t>Essential Toner</t>
  </si>
  <si>
    <t>Revitalizing Toner</t>
  </si>
  <si>
    <t>Beautifying Eye Lotion</t>
  </si>
  <si>
    <t>Perfecting Elixir</t>
  </si>
  <si>
    <t>3.4fl oz / 100ml</t>
  </si>
  <si>
    <t>Fruit Acid Lotion</t>
  </si>
  <si>
    <t xml:space="preserve">1.2fl oz / 36ml </t>
  </si>
  <si>
    <t>Soft Pearl Peel</t>
  </si>
  <si>
    <t xml:space="preserve">2fl oz / 60ml </t>
  </si>
  <si>
    <t>Brightening Mask</t>
  </si>
  <si>
    <t>Radiance Face &amp; Body Scrub</t>
  </si>
  <si>
    <t xml:space="preserve">Moisture Repair Mask 
</t>
  </si>
  <si>
    <t>Vitamin A &amp; C Peel Off Mask</t>
  </si>
  <si>
    <t xml:space="preserve">1.7fl oz / 50ml </t>
  </si>
  <si>
    <t>Revitalizing Clay Mask</t>
  </si>
  <si>
    <t>Volcanic Clarifying Mask</t>
  </si>
  <si>
    <t>Blemish Treatment Cream</t>
  </si>
  <si>
    <t>Blemish Treatment Mask</t>
  </si>
  <si>
    <t>Eye Firming Gel</t>
  </si>
  <si>
    <t>Biotech Eye &amp; Lip Cream</t>
  </si>
  <si>
    <t>Vitamin C Cream</t>
  </si>
  <si>
    <t>Advanced Vitamin C Cream</t>
  </si>
  <si>
    <t>Biotech Cream</t>
  </si>
  <si>
    <t>Firming Day Cream</t>
  </si>
  <si>
    <t>Firming Night Cream</t>
  </si>
  <si>
    <t xml:space="preserve">Q10 Cream </t>
  </si>
  <si>
    <t>Retinol Cream</t>
  </si>
  <si>
    <t>Oil Free Moisturizer</t>
  </si>
  <si>
    <t>OFRA Peptide Activator</t>
  </si>
  <si>
    <t>1.2fl oz / 36ml</t>
  </si>
  <si>
    <t>OFRA Peptide Moisturizer</t>
  </si>
  <si>
    <t>OFRA Peptide Silk-C Serum</t>
  </si>
  <si>
    <t>OFRA Peptide Cleanser</t>
  </si>
  <si>
    <t>3.3fl oz / 100ml</t>
  </si>
  <si>
    <t>OFRA Peptide Hydrating Mask</t>
  </si>
  <si>
    <t>2oz / 60ml</t>
  </si>
  <si>
    <t>OFRA Peptide Brightening Mask</t>
  </si>
  <si>
    <t>Renewal Treatment Oil</t>
  </si>
  <si>
    <t>1oz / 30ml</t>
  </si>
  <si>
    <t>Super C Ester Serum</t>
  </si>
  <si>
    <t>Face Lifting Flash Primer</t>
  </si>
  <si>
    <t>B5 Moisturizing Serum</t>
  </si>
  <si>
    <t>Biotech Face Gel</t>
  </si>
  <si>
    <t>Collagen Serum</t>
  </si>
  <si>
    <t>Vitamin C Serum 25%</t>
  </si>
  <si>
    <t>Vitamin A&amp;C Serum</t>
  </si>
  <si>
    <t>Skin Care Kit - Dry</t>
  </si>
  <si>
    <t>7ml - 30ml</t>
  </si>
  <si>
    <t>Skin Care Kit - Normal</t>
  </si>
  <si>
    <t>Skin Care Kit - Oily</t>
  </si>
  <si>
    <t>Problem Skin Solution Trio</t>
  </si>
  <si>
    <t/>
  </si>
  <si>
    <t>Combination Skin Solution Trio</t>
  </si>
  <si>
    <t>Normal Skin Solution Trio</t>
  </si>
  <si>
    <t>Dry Skin Solution Trio</t>
  </si>
  <si>
    <t>Eye Care Solution Trio</t>
  </si>
  <si>
    <t>Foaming Hand Soap</t>
  </si>
  <si>
    <t>150ml</t>
  </si>
  <si>
    <t>Foot Relief Cream</t>
  </si>
  <si>
    <t>6oz / 180g</t>
  </si>
  <si>
    <t>Pomegranate Sugar Body Scrub</t>
  </si>
  <si>
    <t>Hand Cream</t>
  </si>
  <si>
    <t>Hydra-Nourishing Body Lotion</t>
  </si>
  <si>
    <t>6oz fl / 180ml</t>
  </si>
  <si>
    <t>Icy Herbal with Arnica</t>
  </si>
  <si>
    <t>Ingrown Hair Serum</t>
  </si>
  <si>
    <t>Coffee Body Scrub</t>
  </si>
  <si>
    <t>Mineral Mud Mask</t>
  </si>
  <si>
    <t>Lavender Massage Oil</t>
  </si>
  <si>
    <t>Royalty Vitamin C Mositurizer</t>
  </si>
  <si>
    <t>50ml</t>
  </si>
  <si>
    <t>Tea and Biscuits C - Scrub</t>
  </si>
  <si>
    <t>West End Micellar Water</t>
  </si>
  <si>
    <t>8oz</t>
  </si>
  <si>
    <t>The Full English</t>
  </si>
  <si>
    <t>5ml</t>
  </si>
  <si>
    <t>Moisture Repair Mask</t>
  </si>
  <si>
    <t>Concentrated Restorative Treatment</t>
  </si>
  <si>
    <t>Q10 Cream</t>
  </si>
  <si>
    <t>Vitamin C Bronzer - Golden Bronze</t>
  </si>
  <si>
    <t>Vitamin C Bronzer - Light Copper Bronze</t>
  </si>
  <si>
    <t>Vitamin A &amp; C Serum</t>
  </si>
  <si>
    <t xml:space="preserve">16fl oz / 480ml  </t>
  </si>
  <si>
    <t>Dual Action Cleanser Scrub</t>
  </si>
  <si>
    <t xml:space="preserve">2fl oz / 54ml  </t>
  </si>
  <si>
    <t>6fl oz / 180ml</t>
  </si>
  <si>
    <t xml:space="preserve">6fl oz / 180ml         </t>
  </si>
  <si>
    <t xml:space="preserve">6fl oz / 180ml       </t>
  </si>
  <si>
    <t xml:space="preserve">Enzymatic Pumpkin Peel </t>
  </si>
  <si>
    <t>Biotech Gel</t>
  </si>
  <si>
    <t xml:space="preserve">Glorious Massage Cream </t>
  </si>
  <si>
    <t>B-5 Moisturizing Serum</t>
  </si>
  <si>
    <t>Revitalizing Clay Mask Combination to oily skin</t>
  </si>
  <si>
    <t>Body Crème</t>
  </si>
  <si>
    <t>New Life Marine Treatment Mask for normal to oily skin. (10 treatments).</t>
  </si>
  <si>
    <t xml:space="preserve">Powder: 300g                    Liquid:  2 x Revitlaizing Toner 16 oz bottles          </t>
  </si>
  <si>
    <t xml:space="preserve">New Life Marine Treatment Mask for dry and sensitive skin.  (10 treatments). </t>
  </si>
  <si>
    <t xml:space="preserve">Powder: 300g                    Liquid:  2 x Essential Toner 16 oz bottles          </t>
  </si>
  <si>
    <t>Fruit Acid Peel (25 Treatments)</t>
  </si>
  <si>
    <t xml:space="preserve">Fruit Acid Lotion </t>
  </si>
  <si>
    <t>Paramedical Skin Care Kit</t>
  </si>
  <si>
    <t xml:space="preserve">  30ml - 240ml</t>
  </si>
  <si>
    <t>Professional Skin Care Kit-Combo. Skin</t>
  </si>
  <si>
    <t>180ml - 240ml</t>
  </si>
  <si>
    <t>Professional Skin Care Kit-Dry Skin</t>
  </si>
  <si>
    <t>Ultimate Peeling Kit</t>
  </si>
  <si>
    <t>16fl oz / 480ml</t>
  </si>
  <si>
    <t>Sculpt It Anti-Cellulite Gel</t>
  </si>
  <si>
    <t>OFRA Professional Makeup Palette - Blush</t>
  </si>
  <si>
    <t>300g</t>
  </si>
  <si>
    <t xml:space="preserve">OFRA Professional Makeup Palette - Boho </t>
  </si>
  <si>
    <t>OFRA Professional Makeup Palette - Bright Addiction</t>
  </si>
  <si>
    <t>290g</t>
  </si>
  <si>
    <t>OFRA Professional Makeup Palette - Contouring/Highlighting Cream Foundations</t>
  </si>
  <si>
    <t>306g</t>
  </si>
  <si>
    <t>OFRA Professional Makeup Palette - Eyeshadow</t>
  </si>
  <si>
    <t>301g</t>
  </si>
  <si>
    <t>OFRA Professional Makeup Palette - Foundation</t>
  </si>
  <si>
    <t>OFRA Professional Makeup Palette -Glow into Winter Palette</t>
  </si>
  <si>
    <t>OFRA Professional Makeup Palette - Liplock</t>
  </si>
  <si>
    <t>285g</t>
  </si>
  <si>
    <t>OFRA Professional Makeup Palette - Lipstick</t>
  </si>
  <si>
    <t>OFRA Professional Makeup Palette - Mixed</t>
  </si>
  <si>
    <t>310g</t>
  </si>
  <si>
    <t>OFRA Professional Makeup Palette - Must Have Mattes</t>
  </si>
  <si>
    <t>OFRA Professional Makeup Palette - On the Glow</t>
  </si>
  <si>
    <t>OFRA Professional Makeup Palette - On the Glow Vol. II</t>
  </si>
  <si>
    <t>OFRA Professional Makeup Palette - Sassy</t>
  </si>
  <si>
    <t>OFRA Professional Makeup Palette - Soul Palette</t>
  </si>
  <si>
    <t>OFRA Professional Makeup Palette - Summer Edit</t>
  </si>
  <si>
    <t>OFRA Professional Makeup Palette - Urban Wanderer</t>
  </si>
  <si>
    <t>Glitch 2000 Palette</t>
  </si>
  <si>
    <t>Infinite Palette / Francesca Tolot</t>
  </si>
  <si>
    <t>Lotus Eyeshadow Palette</t>
  </si>
  <si>
    <t>OFRA Glow Up Palette</t>
  </si>
  <si>
    <t>Mini Mix Palette - Bienvenidos A Miami</t>
  </si>
  <si>
    <t xml:space="preserve">Mini Mix Palette - Blushful </t>
  </si>
  <si>
    <t>Mini Mix Palette - Charm Your Cheeks</t>
  </si>
  <si>
    <t>Mini Mix Palette - Head in the Clouds</t>
  </si>
  <si>
    <t>Mini Mix Palette - Good to Go</t>
  </si>
  <si>
    <t>Mini Mix Palette - Life's a Draft / Samantha March</t>
  </si>
  <si>
    <t>Mini Mix Palette - New Solstice</t>
  </si>
  <si>
    <t>Mini Mix Palette - Unconditional / Hot Mess Momma</t>
  </si>
  <si>
    <t xml:space="preserve">OFRA Pop-Up Palette (Empty)  </t>
  </si>
  <si>
    <t>7.75"x5.5"x0.5"</t>
  </si>
  <si>
    <t>iPalette Mini - Empty</t>
  </si>
  <si>
    <t>66g</t>
  </si>
  <si>
    <t>iPalette - Empty</t>
  </si>
  <si>
    <t>220g</t>
  </si>
  <si>
    <t>Midi Palette - Cotton Candy Skies</t>
  </si>
  <si>
    <t>3 x 3g</t>
  </si>
  <si>
    <t>Midi Palette - Face It (Light)</t>
  </si>
  <si>
    <t>Midi Palette - Face It (Medium)</t>
  </si>
  <si>
    <t>Midi Palette - Face It (Deep)</t>
  </si>
  <si>
    <t>Midi Palette - Feelin' Myself Highlighter Palette</t>
  </si>
  <si>
    <t>Midi Palette - Miller Squad / Madison Miller</t>
  </si>
  <si>
    <t>Midi Palette - Sitting Pretty</t>
  </si>
  <si>
    <t>Midi Palette - Sunset Dreams</t>
  </si>
  <si>
    <t>Midi Palette - Sweet Electric</t>
  </si>
  <si>
    <t>Midi Palette - Toasted Cashmere</t>
  </si>
  <si>
    <t>Face It Vacay Glow PR Set</t>
  </si>
  <si>
    <t>Signature Palette - #OFRAglow</t>
  </si>
  <si>
    <t>5 x 1.5g</t>
  </si>
  <si>
    <t>Signature Palette - Autumn</t>
  </si>
  <si>
    <t>Signature Palette - Beachside</t>
  </si>
  <si>
    <t>Signature Palette - Blush</t>
  </si>
  <si>
    <t>Signature Palette - Contour Eyes</t>
  </si>
  <si>
    <t>Signature Palette - Contouring/Highlighting Cream Foundation</t>
  </si>
  <si>
    <t>Signature Palette - Empowered</t>
  </si>
  <si>
    <t>Signature Palette - Exquisite Eyes</t>
  </si>
  <si>
    <t>Signature Palette - Eyebrow Quintet</t>
  </si>
  <si>
    <t>Signature Palette - Falling in Love / Allie Dawson</t>
  </si>
  <si>
    <t>Signature Palette - Galaxy</t>
  </si>
  <si>
    <t>Signature Palette - Getaway</t>
  </si>
  <si>
    <t>Signature Palette - Irresistible Smokey Eyes</t>
  </si>
  <si>
    <t>Signature Palette - Let Your Heart Guide You</t>
  </si>
  <si>
    <t>Signature Palette - Lipstick (variety)</t>
  </si>
  <si>
    <t>Signature Palette - Lipstick (nudes)</t>
  </si>
  <si>
    <t>Signature Palette - Luxe</t>
  </si>
  <si>
    <t>Signature Palette - Radiant Eyes</t>
  </si>
  <si>
    <t>Signature Palette - Self Love</t>
  </si>
  <si>
    <t>Signature Palette - Smokey Eyes</t>
  </si>
  <si>
    <t>Signature Palette - Sweet and Sassy (OFRA x Hotmess Momma)</t>
  </si>
  <si>
    <t>Signature Palette - Sweet Dreams</t>
  </si>
  <si>
    <t xml:space="preserve">Signature Palette - Symphony </t>
  </si>
  <si>
    <t>Signature Palette - W&amp;D Foundation</t>
  </si>
  <si>
    <t>Corrector Pot - Amber     (over foundation)</t>
  </si>
  <si>
    <t>4g</t>
  </si>
  <si>
    <t>Corrector Pot - Beige Medium     (over foundation)</t>
  </si>
  <si>
    <t>Corrector Pot - Lilac        (under foundation)</t>
  </si>
  <si>
    <t>Corrector Pot - Lite          (over foundation)</t>
  </si>
  <si>
    <t>Corrector Pot - Mint         (under foundation)</t>
  </si>
  <si>
    <t>Corrector Pot - White      (under foundation)</t>
  </si>
  <si>
    <t>Corrector Pot - Yellow     (under foundation)</t>
  </si>
  <si>
    <t>Corrector Tri-Pot - Yellow/Lilac/Mint     (under foundation)</t>
  </si>
  <si>
    <t>Corrector Tri-Pot - Yellow/Lite/Mint    (under foundation)</t>
  </si>
  <si>
    <t>Corrector Tri-Pot - Lite/BeigeMedium/Mint  (under foundation)</t>
  </si>
  <si>
    <t>Corrector Tri-Pot - Lite/Beige Medium/Amber (over foundation)</t>
  </si>
  <si>
    <t>Corrector Tri-Pot - Deep          (over foundation)</t>
  </si>
  <si>
    <t>Corrector Tri-Pot - Ebony        (over foundation)</t>
  </si>
  <si>
    <t xml:space="preserve">Single Concealer Wand - Amber            (over foundation)    </t>
  </si>
  <si>
    <t>8g</t>
  </si>
  <si>
    <t xml:space="preserve">Single Concealer Wand - Beige (over foundation)     </t>
  </si>
  <si>
    <t xml:space="preserve">Magic Roulette Concealer (6 Colors)   (under foundation)   </t>
  </si>
  <si>
    <t>7g</t>
  </si>
  <si>
    <t>Deep Corrector Wheel (6 tones)        (over foundation)</t>
  </si>
  <si>
    <t>Derma Tones Wheel (6 tones)            (over foundation)</t>
  </si>
  <si>
    <t>Skin Sculpting Wand - Dawn</t>
  </si>
  <si>
    <t>6g</t>
  </si>
  <si>
    <t>Skin Sculpting Wand - Sunrise</t>
  </si>
  <si>
    <t>Skin Sculpting Wand - Sunset</t>
  </si>
  <si>
    <t>Skin Sculpting Wand - Dusk</t>
  </si>
  <si>
    <t>Perfect Cover Concealer - Deep Cocoa</t>
  </si>
  <si>
    <t>Perfect Cover Concealer - Deep Espresso</t>
  </si>
  <si>
    <t>Perfect Cover Concealer - Fair Ivory</t>
  </si>
  <si>
    <t>Perfect Cover Concealer - Fair Porcelain</t>
  </si>
  <si>
    <t>Perfect Cover Concealer - Honey</t>
  </si>
  <si>
    <t>Perfect Cover Concealer - Light Nude</t>
  </si>
  <si>
    <t>Perfect Cover Concealer - Light Sand</t>
  </si>
  <si>
    <t>Perfect Cover Concealer - Light Warm Beige</t>
  </si>
  <si>
    <t>Perfect Cover Concealer - Medium Golden</t>
  </si>
  <si>
    <t>Perfect Cover Concealer - Medium Honey</t>
  </si>
  <si>
    <t>Perfect Cover Concealer - Natural</t>
  </si>
  <si>
    <t>Perfect Cover Concealer - Tan Almond</t>
  </si>
  <si>
    <t>Perfect Cover Concealer - Tan Chestnut</t>
  </si>
  <si>
    <t>Perfect Cover Concealer - Tan Walnut</t>
  </si>
  <si>
    <t>Absolute Cover Foundation #0</t>
  </si>
  <si>
    <t>1 oz / 30ml</t>
  </si>
  <si>
    <t>Absolute Cover Foundation #0.1</t>
  </si>
  <si>
    <t>Absolute Cover Foundation #0.15</t>
  </si>
  <si>
    <t>Absolute Cover Foundation #0.2</t>
  </si>
  <si>
    <t>Absolute Cover Foundation #0.25</t>
  </si>
  <si>
    <t>Absolute Cover Foundation #0.5</t>
  </si>
  <si>
    <t>Absolute Cover Foundation #1</t>
  </si>
  <si>
    <t>Absolute Cover Foundation #2</t>
  </si>
  <si>
    <t>Absolute Cover Foundation #2.25</t>
  </si>
  <si>
    <t>Absolute Cover Foundation #3</t>
  </si>
  <si>
    <t>Absolute Cover Foundation #4</t>
  </si>
  <si>
    <t>Absolute Cover Foundation #4.25</t>
  </si>
  <si>
    <t>Absolute Cover Foundation #4.5</t>
  </si>
  <si>
    <t>Absolute Cover Foundation #4.75</t>
  </si>
  <si>
    <t>Absolute Cover Foundation #5</t>
  </si>
  <si>
    <t>Absolute Cover Foundation #6</t>
  </si>
  <si>
    <t>Absolute Cover Foundation #7</t>
  </si>
  <si>
    <t>Absolute Cover Foundation #7.15</t>
  </si>
  <si>
    <t>Absolute Cover Foundation #7.20</t>
  </si>
  <si>
    <t>Absolute Cover Foundation #7.25</t>
  </si>
  <si>
    <t>Absolute Cover Foundation #7.5</t>
  </si>
  <si>
    <t>Absolute Cover Foundation #7.75</t>
  </si>
  <si>
    <t>Absolute Cover Foundation #8</t>
  </si>
  <si>
    <t>Absolute Cover Foundation #8.25</t>
  </si>
  <si>
    <t>Absolute Cover Foundation #8.5</t>
  </si>
  <si>
    <t>Absolute Cover Foundation #9</t>
  </si>
  <si>
    <t>Absolute Cover Foundation #9.5</t>
  </si>
  <si>
    <t>Absolute Cover Foundation #10</t>
  </si>
  <si>
    <t>Absolute Cover Foundation #11</t>
  </si>
  <si>
    <t>Absolute Cover Foundation #12</t>
  </si>
  <si>
    <t>Absolute Cover Face Primer</t>
  </si>
  <si>
    <t>Cool as a Cucumber Primer</t>
  </si>
  <si>
    <t>Eye Gel Primer</t>
  </si>
  <si>
    <t>3.5ml/0.11 fl oz</t>
  </si>
  <si>
    <t>Primer - Glow &amp; Grip / OFRA x Jessica Dadlani</t>
  </si>
  <si>
    <t>Northern Lights Primer</t>
  </si>
  <si>
    <t>Rays of Light Primer</t>
  </si>
  <si>
    <t>Rodeo Drive Primer</t>
  </si>
  <si>
    <t>Silicone Primer Gel</t>
  </si>
  <si>
    <t>Makeup Fixer</t>
  </si>
  <si>
    <t xml:space="preserve">8oz / 240ml </t>
  </si>
  <si>
    <t>Mattifying Makeup Fixer</t>
  </si>
  <si>
    <t>Rose Makeup Fixer</t>
  </si>
  <si>
    <t>Mini Makeup Fixer</t>
  </si>
  <si>
    <t>2oz / 54ml</t>
  </si>
  <si>
    <t>Mini Mattifying Makeup Fixer</t>
  </si>
  <si>
    <t>Mini Rodeo Drive Makeup Fixer</t>
  </si>
  <si>
    <t>Mini Rose Makeup Fixer</t>
  </si>
  <si>
    <t>Mini Makeup Fixer - Tropical Breeze</t>
  </si>
  <si>
    <t>All Set Mini Makeup Fixer Trio</t>
  </si>
  <si>
    <t>2oz x 3</t>
  </si>
  <si>
    <t>Translucent Powder - Light</t>
  </si>
  <si>
    <t>Translucent Powder - Medium</t>
  </si>
  <si>
    <t>Translucent Powder - Dark</t>
  </si>
  <si>
    <t>Oil Control Loose Powder</t>
  </si>
  <si>
    <t>Brightening Powder - Banana</t>
  </si>
  <si>
    <t>Brightening Powder - Apricot</t>
  </si>
  <si>
    <t>Brightening Powder - Strawberry</t>
  </si>
  <si>
    <t>Finishing Powder - Lavender Daze / OFRA x Jessica Dadlani</t>
  </si>
  <si>
    <t>Pure Glow Finishing Powders - Light</t>
  </si>
  <si>
    <t>Pure Glow Finishing Powders - Medium</t>
  </si>
  <si>
    <t>Pure Glow Finishing Powders - Deep</t>
  </si>
  <si>
    <t>Highlighter - All of the Lights</t>
  </si>
  <si>
    <t>Highlighter - Bali</t>
  </si>
  <si>
    <t xml:space="preserve">Highlighter - Beverly Hills </t>
  </si>
  <si>
    <t>Highlighter - Beach / La Dura</t>
  </si>
  <si>
    <t xml:space="preserve">Highlighter - Beam the Haters </t>
  </si>
  <si>
    <t>Highlighter - Blissful</t>
  </si>
  <si>
    <t>Highlighter - Brentwood</t>
  </si>
  <si>
    <t>Highlighter - Brentwood *Anniversary packaging*</t>
  </si>
  <si>
    <t>Highlighter - Cloud 9</t>
  </si>
  <si>
    <t>Highlighter - Covent Garden / Talia Mar</t>
  </si>
  <si>
    <t>Highlighter - Dream Chaser / Samantha March</t>
  </si>
  <si>
    <t xml:space="preserve">Highlighter - Everglow </t>
  </si>
  <si>
    <t>Highlighter - Flash / Smitha Deepak</t>
  </si>
  <si>
    <t>Highlighter - Gingerbread</t>
  </si>
  <si>
    <t xml:space="preserve">Highlighter - Glazed Donut </t>
  </si>
  <si>
    <t xml:space="preserve">Highlighter - Glow Goals </t>
  </si>
  <si>
    <t>Highlighter - Gum Drop</t>
  </si>
  <si>
    <t>Highlighter - Inner Glow</t>
  </si>
  <si>
    <t>Highlighter - Lotus Blossom</t>
  </si>
  <si>
    <t>Highlighter - Milk and Cookies</t>
  </si>
  <si>
    <t>Highlighter - Moondance / Madison Miller</t>
  </si>
  <si>
    <t>Highlighter - Out of This World</t>
  </si>
  <si>
    <t>Highlighter - Peppermint</t>
  </si>
  <si>
    <t>Highlighter - Pillow Talk</t>
  </si>
  <si>
    <t>Highlighter - Pink Bliss</t>
  </si>
  <si>
    <t>Highlighter - Pumpkin Pie</t>
  </si>
  <si>
    <t xml:space="preserve">Highlighter - Rodeo Drive </t>
  </si>
  <si>
    <t>Highlighter - Rodeo Drive *Anniversary packaging*</t>
  </si>
  <si>
    <t>Highlighter - Sea Shimmer / Madison Miller</t>
  </si>
  <si>
    <t>Highlighter - Soho / Talia Mar</t>
  </si>
  <si>
    <t>Highlighter - Space Baby</t>
  </si>
  <si>
    <t>Highlighter - Star Island</t>
  </si>
  <si>
    <t>Highlighter - Start Inspired / Samantha March</t>
  </si>
  <si>
    <t>Highlighter - Sugar Cookie</t>
  </si>
  <si>
    <t>Highlighter - The Hills</t>
  </si>
  <si>
    <t>Highlighter - The Hills *Anniversary packaging*</t>
  </si>
  <si>
    <t>Highlighter - X's &amp; Glow's</t>
  </si>
  <si>
    <t>Shimmer Loose Powder - Bronze</t>
  </si>
  <si>
    <t>Shimmer Loose Powder - Pink Sand</t>
  </si>
  <si>
    <t>Shimmer Loose Powder - Pink Sapphire</t>
  </si>
  <si>
    <t>Cheekbone Enhancer - Cheeky</t>
  </si>
  <si>
    <t>Highlighter Mini - Bali (36mm)</t>
  </si>
  <si>
    <t>3g</t>
  </si>
  <si>
    <t>Highlighter Mini - Blissful (36mm)</t>
  </si>
  <si>
    <t>Highlighter Mini - Cloud 9 (36mm)</t>
  </si>
  <si>
    <t>Highlighter Mini - Glazed Donut (36mm)</t>
  </si>
  <si>
    <t>Highlighter Mini - Peppermint (36mm)</t>
  </si>
  <si>
    <t>Highlighter Mini - Pillow Talk (36mm)</t>
  </si>
  <si>
    <t>Highlighter Mini - Rodeo Drive (36mm)</t>
  </si>
  <si>
    <t>Highlighter Mini - Seoul (36mm)</t>
  </si>
  <si>
    <t>Highlighter Mini - Star Island (36mm)</t>
  </si>
  <si>
    <t>Highlighter Mini - Sugar Cookie (36mm)</t>
  </si>
  <si>
    <t xml:space="preserve">Glazed Donut Ornament </t>
  </si>
  <si>
    <t>Pillow Talk Ornament</t>
  </si>
  <si>
    <t>Rodeo Drive Ornament</t>
  </si>
  <si>
    <t>Bronzer - Americano Bronzer</t>
  </si>
  <si>
    <t>Bronzer - Versatile Matte Bronzer</t>
  </si>
  <si>
    <t>Bronzer - South Beach</t>
  </si>
  <si>
    <t>Bronzer Duo - River / Samantha March</t>
  </si>
  <si>
    <t>Hot Cocoa Duo (split pan Rodeo Drive/Bronzer)</t>
  </si>
  <si>
    <t>Blush Stripes - Illuminating</t>
  </si>
  <si>
    <t>3D Pyramid - Egyptian Clay Bronzer</t>
  </si>
  <si>
    <t>Blush/ Bronzer - Format (Baked/59mm)</t>
  </si>
  <si>
    <t>Trio - California Dream Triangle</t>
  </si>
  <si>
    <t>Blushzer - Crew</t>
  </si>
  <si>
    <t>Blushzer - Squad</t>
  </si>
  <si>
    <t>Blushzer - Unit</t>
  </si>
  <si>
    <t>Sparklights Topper - Chill</t>
  </si>
  <si>
    <t>Sparklights Topper - Glisten</t>
  </si>
  <si>
    <t>Sparklights Topper - Iced</t>
  </si>
  <si>
    <t>Sparklights Topper - Iconic</t>
  </si>
  <si>
    <t>Tinsel Town Trio Set</t>
  </si>
  <si>
    <t>3x3g</t>
  </si>
  <si>
    <t>Liquid Highlighter - Cupid</t>
  </si>
  <si>
    <t>Liquid Highlighter - Holiday</t>
  </si>
  <si>
    <t>Liquid Highlighter - Monroe</t>
  </si>
  <si>
    <t>Liquid Highlighter - Presley</t>
  </si>
  <si>
    <t>Liquid Highlighter - Sun / La Dura</t>
  </si>
  <si>
    <t>8mL 0.27oz</t>
  </si>
  <si>
    <t>Liquid Highlighter - Venus</t>
  </si>
  <si>
    <t xml:space="preserve">Starlit Collection </t>
  </si>
  <si>
    <t>3 x 1oz</t>
  </si>
  <si>
    <t>Duo Bundle - Crew &amp; Authentic</t>
  </si>
  <si>
    <t>Duo Bundle - Unit &amp; Loyal</t>
  </si>
  <si>
    <t>All Eyes on Me Set / Smitha Deepak</t>
  </si>
  <si>
    <t>Be the Light Set / Cooking Con Omi</t>
  </si>
  <si>
    <t>Falling in Love Set / Allie Dawson</t>
  </si>
  <si>
    <t>Fresh Start Mini Set</t>
  </si>
  <si>
    <t>Glow Though It Mini Set</t>
  </si>
  <si>
    <t>Love Me More Soft Glam Set</t>
  </si>
  <si>
    <t>Luxe Holiday Set</t>
  </si>
  <si>
    <t>OFRA x Jessica Dadlani Collection</t>
  </si>
  <si>
    <t>The Sweet and Sassy Set / Hotmess Momma Vol. II</t>
  </si>
  <si>
    <t>Think Pink Set</t>
  </si>
  <si>
    <t>Winter Wonderglam Holiday Set</t>
  </si>
  <si>
    <t>Symphony Holiday Set</t>
  </si>
  <si>
    <t>Dew the Dew Body Highlighter - Rose Quartz</t>
  </si>
  <si>
    <t>3oz / 90ml</t>
  </si>
  <si>
    <t>Dew the Dew Body Highlighter - Moonstone</t>
  </si>
  <si>
    <t>Dew the Dew Body Highlighter - Topaz</t>
  </si>
  <si>
    <t>Liquid Foundation w/Spatula - Amber</t>
  </si>
  <si>
    <t>Liquid Foundation w/Spatula - Autumn</t>
  </si>
  <si>
    <t xml:space="preserve">Liquid Foundation w/Spatula - Bare  </t>
  </si>
  <si>
    <t>Liquid Foundation w/Spatula - Cocoa</t>
  </si>
  <si>
    <t>Liquid Foundation w/Spatula - Cream Beige</t>
  </si>
  <si>
    <t>Liquid Foundation w/Spatula - Deep</t>
  </si>
  <si>
    <t>Liquid Foundation w/Spatula - Lite Beige</t>
  </si>
  <si>
    <t>Liquid Foundation w/Spatula - Mahogany</t>
  </si>
  <si>
    <t>Liquid Foundation w/Spatula - Naked</t>
  </si>
  <si>
    <t xml:space="preserve">Liquid Foundation w/Spatula - Nude  </t>
  </si>
  <si>
    <t>Liquid Foundation w/Spatula - Toffee</t>
  </si>
  <si>
    <t>Liquid Foundation w/Spatula - White Porcelain</t>
  </si>
  <si>
    <t>Derma Mineral Powder Foundation - Amber Sand</t>
  </si>
  <si>
    <t>Derma Mineral Powder Foundation - Brown Sugar</t>
  </si>
  <si>
    <t>Derma Mineral Powder Foundation - Cocoa</t>
  </si>
  <si>
    <t>Derma Mineral Powder Foundation - Desert Sand</t>
  </si>
  <si>
    <t>Derma Mineral Powder Foundation - Mica Oil Control</t>
  </si>
  <si>
    <t>Derma Mineral Powder Foundation - Orange Tan</t>
  </si>
  <si>
    <t>Derma Mineral Powder Foundation - Sand</t>
  </si>
  <si>
    <t>Derma Mineral Powder Foundation - Sandy Beach</t>
  </si>
  <si>
    <t>Derma Mineral Powder Foundation - Sun Glow</t>
  </si>
  <si>
    <t>Derma Mineral Powder Foundation - Sun Tan</t>
  </si>
  <si>
    <t>Derma Mineral Powder Foundation - Terracotta</t>
  </si>
  <si>
    <t>Wet &amp; Dry Foundation #26</t>
  </si>
  <si>
    <t>Wet &amp; Dry Foundation #28</t>
  </si>
  <si>
    <t>Wet &amp; Dry Foundation #30</t>
  </si>
  <si>
    <t>Wet &amp; Dry Foundation #37</t>
  </si>
  <si>
    <t>Wet &amp; Dry Foundation #39</t>
  </si>
  <si>
    <t>Wet &amp; Dry Foundation #40</t>
  </si>
  <si>
    <t>Wet &amp; Dry Foundation #41</t>
  </si>
  <si>
    <t>Wet &amp; Dry Foundation #42</t>
  </si>
  <si>
    <t>Wet &amp; Dry Foundation #44</t>
  </si>
  <si>
    <t>Wet &amp; Dry Trio Foundation</t>
  </si>
  <si>
    <t>OFRA Drying Lotion - Almond</t>
  </si>
  <si>
    <t>OFRA Drying Lotion - Deep</t>
  </si>
  <si>
    <t>OFRA Drying Lotion - Nude</t>
  </si>
  <si>
    <t>OFRA Drying Lotion - Original</t>
  </si>
  <si>
    <t xml:space="preserve">Oil Control Pressed Powder </t>
  </si>
  <si>
    <t>Pressed Banana Powder</t>
  </si>
  <si>
    <t>HD Volumizing Mascara - Black</t>
  </si>
  <si>
    <t>HD Volumizing Mascara - Brown</t>
  </si>
  <si>
    <t>HD Volumizing Mascara - Navy</t>
  </si>
  <si>
    <t>HD Waterproof Mascara - Black</t>
  </si>
  <si>
    <t>Battie Lashes</t>
  </si>
  <si>
    <t>3 x 7g</t>
  </si>
  <si>
    <t>Fixline Eyeliner Gel - Black</t>
  </si>
  <si>
    <t>Fixline Eyeliner Gel - Brown</t>
  </si>
  <si>
    <t>Fixline Eyeliner Gel - Killer Queen</t>
  </si>
  <si>
    <t>Fixline Eyeliner Gel - Navy</t>
  </si>
  <si>
    <t>Fixline Eyeliner Gel - Nude</t>
  </si>
  <si>
    <t xml:space="preserve">Fixline Eyeliner Gel - Purple </t>
  </si>
  <si>
    <t>Fixline Eyeliner Gel - White Rabbit</t>
  </si>
  <si>
    <t>Fixline Eyeliner Gel - Yellow Submarine</t>
  </si>
  <si>
    <t>Eyebrow Gel - Auburn</t>
  </si>
  <si>
    <t>Eyebrow Gel - Charcoal</t>
  </si>
  <si>
    <t>Eyebrow Gel - Dark Blonde</t>
  </si>
  <si>
    <t>Eyebrow Gel - Dark Brown</t>
  </si>
  <si>
    <t>Eyebrow Gel - Golden Blonde</t>
  </si>
  <si>
    <t>Eyebrow Gel - Khaki</t>
  </si>
  <si>
    <t>Eyebrow Gel - Light Blonde</t>
  </si>
  <si>
    <t>Eyebrow Gel - Light Brown</t>
  </si>
  <si>
    <t>Don't Play Brow Gel Set</t>
  </si>
  <si>
    <t>Fix-It</t>
  </si>
  <si>
    <t>8ml</t>
  </si>
  <si>
    <t>Verified - Black</t>
  </si>
  <si>
    <t>1g / .04oz</t>
  </si>
  <si>
    <t xml:space="preserve">Eyeliner - Black </t>
  </si>
  <si>
    <t>1.2g / .04oz</t>
  </si>
  <si>
    <t xml:space="preserve">Eyeliner - Brown </t>
  </si>
  <si>
    <t>Eyeliner - Coffee Bean</t>
  </si>
  <si>
    <t>Eyeliner - Ever Green</t>
  </si>
  <si>
    <t xml:space="preserve">Eyeliner - Grapeful </t>
  </si>
  <si>
    <t>Eyeliner - Green Go</t>
  </si>
  <si>
    <t>Eyeliner - Lagoon</t>
  </si>
  <si>
    <t>Eyeliner - Light Beige</t>
  </si>
  <si>
    <t>Eyeliner - Medical White</t>
  </si>
  <si>
    <t xml:space="preserve">Eyeliner - Navy </t>
  </si>
  <si>
    <t>Eyeliner - Sapphire</t>
  </si>
  <si>
    <t>Eyeliner - Slate</t>
  </si>
  <si>
    <t>Eyeliner - Turquoise</t>
  </si>
  <si>
    <t>Eyeliner - Universal Eyebrow</t>
  </si>
  <si>
    <t>Lipstick - Amethyst</t>
  </si>
  <si>
    <t>4.5g / 0.16oz</t>
  </si>
  <si>
    <t>Lipstick - Berry Sexy</t>
  </si>
  <si>
    <t>Lipstick - Caramel</t>
  </si>
  <si>
    <t>Lipstick - Chic</t>
  </si>
  <si>
    <t>Lipstick - Crazy Pink</t>
  </si>
  <si>
    <t>Lipstick - Frosted Pink</t>
  </si>
  <si>
    <t>Lipstick - Island</t>
  </si>
  <si>
    <t>Lipstick - Fuchsia</t>
  </si>
  <si>
    <t>Lipstick - Karina</t>
  </si>
  <si>
    <t>Lipstick - Lime Green</t>
  </si>
  <si>
    <t>Lipstick - Midnight Blue</t>
  </si>
  <si>
    <t>Lipstick - Peach Glow</t>
  </si>
  <si>
    <t>Lipstick Mimosa</t>
  </si>
  <si>
    <t>Lipstick - Pink Lady</t>
  </si>
  <si>
    <t>Lipstick - Pink Shimmer</t>
  </si>
  <si>
    <t>Lipstick - Plum</t>
  </si>
  <si>
    <t>Lipstick - Purple Haze</t>
  </si>
  <si>
    <t>Lipstick - Red Hot</t>
  </si>
  <si>
    <t>Lipstick - Red My Lips</t>
  </si>
  <si>
    <t>Lipstick - Royal Orchid</t>
  </si>
  <si>
    <t>Lipstick - Spicy</t>
  </si>
  <si>
    <t>Lipstick - Tropicana</t>
  </si>
  <si>
    <t>Lipstick - # 01 Riviera</t>
  </si>
  <si>
    <t>Lipstick - # 07 Petal</t>
  </si>
  <si>
    <t>Lipstick - # 08 Beached</t>
  </si>
  <si>
    <t>Lipstick - # 09 Snug</t>
  </si>
  <si>
    <t>Lipstick - # 12 Karma</t>
  </si>
  <si>
    <t>Lipstick - # 13 Expresso</t>
  </si>
  <si>
    <t>Lipstick - # 14 Coral Me</t>
  </si>
  <si>
    <t>Lipstick - # 15 Cinnamon</t>
  </si>
  <si>
    <t>Lipstick - # 18 Mallorca</t>
  </si>
  <si>
    <t>Lipstick - # 19 Red Delicious</t>
  </si>
  <si>
    <t>Lipstick - # 20 Nude-ish</t>
  </si>
  <si>
    <t>Lipstick - #101 Sonoma</t>
  </si>
  <si>
    <t>Lipstick - #102 Champagne Ice</t>
  </si>
  <si>
    <t>Lipstick - #103 Tango</t>
  </si>
  <si>
    <t>Lipstick - #105 Autumn</t>
  </si>
  <si>
    <t>Lipstick - #106 Ruby</t>
  </si>
  <si>
    <t>Lipstick - #107 Juicy</t>
  </si>
  <si>
    <t>Lipstick - #108 Lucky</t>
  </si>
  <si>
    <t>Lipstick - #109 Toffee</t>
  </si>
  <si>
    <t>Lipstick - #110 Wildberry</t>
  </si>
  <si>
    <t>Lipstick - #200 Collins Ave</t>
  </si>
  <si>
    <t>Lipstick - #201 Say</t>
  </si>
  <si>
    <t>Lipstick - #202 Park Ave</t>
  </si>
  <si>
    <t>Lipstick - #203 Vette</t>
  </si>
  <si>
    <t>Lipstick - #204 Paradise</t>
  </si>
  <si>
    <t>Lipstick - #205 Partay</t>
  </si>
  <si>
    <t>Lipstick - #206 Haze</t>
  </si>
  <si>
    <t>Lipstick - #207 Shhh</t>
  </si>
  <si>
    <t>Long Lasting Liquid Lipstick - Americano</t>
  </si>
  <si>
    <t>Long Lasting Liquid Lipstick - Amsterdam</t>
  </si>
  <si>
    <t>Long Lasting Liquid Lipstick - Angeles</t>
  </si>
  <si>
    <t>Long Lasting Liquid Lipstick - Arctic / GlamWithSuzan</t>
  </si>
  <si>
    <t>Long Lasting Liquid Lipstick - Aries / MannyMua</t>
  </si>
  <si>
    <t>Long Lasting Liquid Lipsticks - Aspen</t>
  </si>
  <si>
    <t>Long Lasting Liquid Lipstick - Atlantic City</t>
  </si>
  <si>
    <t>Long Lasting Liquid Lipstick - Atlantis</t>
  </si>
  <si>
    <t>Long Lasting Liquid Lipstick - Aventua</t>
  </si>
  <si>
    <t>Long Lasting Liquid Lipstick - Bal Harbour</t>
  </si>
  <si>
    <t>Long Lasting Liquid Lipstick - Baroque / Francesca Tolot</t>
  </si>
  <si>
    <t>Long Lasting Liquid Lipstick - Bel Air</t>
  </si>
  <si>
    <t>Long Lasting Liquid Lipstick - Bestie / Smitha Deepak</t>
  </si>
  <si>
    <t>Long Lasting Liquid Lipstick - Brickell</t>
  </si>
  <si>
    <t>Long Lasting Liquid Lipstick - Bronx</t>
  </si>
  <si>
    <t>Long Lasting Liquid Lipstick - Brooklyn</t>
  </si>
  <si>
    <t>Long Lasting Liquid Lipstick - Calle Ocho</t>
  </si>
  <si>
    <t>Long Lasting Liquid Lipstick - Cancún</t>
  </si>
  <si>
    <t>Long Lasting Liquid Lipstick - Canyon</t>
  </si>
  <si>
    <t>Long Lasting Liquid Lipstick - Cape Town</t>
  </si>
  <si>
    <t>Long Lasting Liquid Lipstick - Charmed / MannyMua</t>
  </si>
  <si>
    <t>Long Lasting Liquid Lipstick - Cocos Island</t>
  </si>
  <si>
    <t>Long Lasting Liquid Lipstick - Cooking Con Omi</t>
  </si>
  <si>
    <t xml:space="preserve">Long Lasting Liquid Lipstick - Coven </t>
  </si>
  <si>
    <t>Long Lasting Liquid Lipstick - Daytona Beach</t>
  </si>
  <si>
    <t>Long Lasting Liquid Lipstick - Dubai</t>
  </si>
  <si>
    <t>Long Lasting Liquid Lipstick - Dutchess</t>
  </si>
  <si>
    <t>Long Lasting Liquid Lipstick - DWNTWN MIA</t>
  </si>
  <si>
    <t>Long Lasting Liquid Lipstick - Emerald City</t>
  </si>
  <si>
    <t>Long Lasting Liquid Lipstick - Fantasia</t>
  </si>
  <si>
    <t>Long Lasting Liquid Lipstick - Gemini</t>
  </si>
  <si>
    <t>Long Lasting Liquid Lipstick - Green Screen</t>
  </si>
  <si>
    <t>Long Lasting Liquid Lipstick - Harlem</t>
  </si>
  <si>
    <t>Long Lasting Liquid Lipstick - Havana Nights/KathleenLights</t>
  </si>
  <si>
    <t>Long Lasting Liquid Lipstick - Henna / Waheeda Khan</t>
  </si>
  <si>
    <t>Long Lasting Liquid Lipstick - Hollywood</t>
  </si>
  <si>
    <t>Long Lasting Liquid Lipstick - Honolulu</t>
  </si>
  <si>
    <t>Long Lasting Liquid Lipstick - Hotmess Momma</t>
  </si>
  <si>
    <t>Long Lasting Liquid Lipstick - Hypno / MannyMua</t>
  </si>
  <si>
    <t>Long Lasting Liquid Lipstick - Kaya / Allie Dawson</t>
  </si>
  <si>
    <t>Long Lasting Liquid Lipstick - Kelly / Safai Kelly</t>
  </si>
  <si>
    <t>Long Lasting Liquid Lipstick - Laguna Beach</t>
  </si>
  <si>
    <t>Long Lasting Liquid Lipstick - Las Olas</t>
  </si>
  <si>
    <t>Long Lasting Liquid Lipstick - Las Vegas</t>
  </si>
  <si>
    <t>Long Lasting Liquid Lipstick - Liora / Liora Yags</t>
  </si>
  <si>
    <t>Long Lasting Liquid Lipstick - LOML</t>
  </si>
  <si>
    <t>Long Lasting Liquid Lipstick - Malibu</t>
  </si>
  <si>
    <t>Long Lasting Liquid Lipstick - Manhattan</t>
  </si>
  <si>
    <t>Long Lasting Liquid Lipstick - Manila</t>
  </si>
  <si>
    <t>Long Lasting Liquid Lipstick - Miami Fever / KathleenLights</t>
  </si>
  <si>
    <t>Long Lasting Liquid Lipstick - Milan</t>
  </si>
  <si>
    <t>Long Lasting Liquid Lipstick - Mina</t>
  </si>
  <si>
    <t>Long Lasting Liquid Lipstick - Mocha</t>
  </si>
  <si>
    <t>Long Lasting Liquid Lipstick - Monaco</t>
  </si>
  <si>
    <t>Long Lasting Liquid Lipstick - Naked / La Dura</t>
  </si>
  <si>
    <t>Long Lasting Liquid Lipstick - New Orleans</t>
  </si>
  <si>
    <t>Long Lasting Liquid Lipstick - Nude Potion</t>
  </si>
  <si>
    <t>Long Lasting Liquid Lipstick - Oh My Ry Ry / Madison Miller</t>
  </si>
  <si>
    <t>Long Lasting Liquid Lipsticks - Palo Alto</t>
  </si>
  <si>
    <t>Long Lasting Liquid Lipstick - Panama</t>
  </si>
  <si>
    <t>Long Lasting Liquid Lipstick - Pasadena</t>
  </si>
  <si>
    <t>Long Lasting Liquid Lipstick - Plumas</t>
  </si>
  <si>
    <t>Long Lasting Liquid Lipsticks - Portland</t>
  </si>
  <si>
    <t>Long Lasting Liquid Lipsticks - PSL</t>
  </si>
  <si>
    <t>Long Lasting Liquid Lipstick - Queens</t>
  </si>
  <si>
    <t>Long Lasting Liquid Lipstick - Rio</t>
  </si>
  <si>
    <t>Long Lasting Liquid Lipstick - Rome</t>
  </si>
  <si>
    <t>Long Lasting Liquid Lipstick - Ruby / Francesca Tolot</t>
  </si>
  <si>
    <t>Long Lasting Liquid Lipstick - Sanibel</t>
  </si>
  <si>
    <t>Long Lasting Liquid Lipstick - Santa Ana</t>
  </si>
  <si>
    <t>Long Lasting Liquid Lipstick - Santa Monica</t>
  </si>
  <si>
    <t>Long Lasting Liquid Lipstick - Santorini</t>
  </si>
  <si>
    <t>Long Lasting Liquid Lipstick - Sao Paulo</t>
  </si>
  <si>
    <t>Long Lasting Liquid Lipsticks - Sedona</t>
  </si>
  <si>
    <t>Long Lasting Liquid Lipsticks - SoBe</t>
  </si>
  <si>
    <t>Long Lasting Liquid Lipstick - Solano</t>
  </si>
  <si>
    <t>Long Lasting Liquid Lipstick - Spell</t>
  </si>
  <si>
    <t>Long Lasting Liquid Lipstick - St Tropez</t>
  </si>
  <si>
    <t>Long Lasting Liquid Lipstick - Stand Out / Smitha Deepak</t>
  </si>
  <si>
    <t>Long Lasting Liquid Lipstick - Staten Island</t>
  </si>
  <si>
    <t>Long Lasting Liquid Lipstick - Story / Samantha March</t>
  </si>
  <si>
    <t>Long Lasting Liquid Lipstick - Sunset Beach</t>
  </si>
  <si>
    <t>Long Lasting Liquid Lipstick - Surfers Paradise</t>
  </si>
  <si>
    <t>Long Lasting Liquid Lipstick - The Grove</t>
  </si>
  <si>
    <t>Long Lasting Liquid Lipstick - Tuscany</t>
  </si>
  <si>
    <t>Long Lasting Liquid Lipstick - Ultimate Red</t>
  </si>
  <si>
    <t>Long Lasting Liquid Lipstick - Unzipped</t>
  </si>
  <si>
    <t>Long Lasting Liquid Lipstick - Venice</t>
  </si>
  <si>
    <t>Long Lasting Liquid Lipstick - Vermillion / Francesca Tolot</t>
  </si>
  <si>
    <t>Long Lasting Liquid Lipstick - Verona</t>
  </si>
  <si>
    <t>Long Lasting Liquid Lipstick - Versailles</t>
  </si>
  <si>
    <t>Long Lasting Liquid Lipstick - Wynwood</t>
  </si>
  <si>
    <t>Mini Long Lasting Liquid Lipsticks - Americano</t>
  </si>
  <si>
    <t>1g</t>
  </si>
  <si>
    <t>Mini Long Lasting Liquid Lipsticks - Bal Harbour</t>
  </si>
  <si>
    <t>Mini Long Lasting Liquid Lipsticks - Bel Air</t>
  </si>
  <si>
    <t>Mini Long Lasting Liquid Lipsticks - Brickell</t>
  </si>
  <si>
    <t>Mini Long Lasting Liquid Lipsticks - Charmed</t>
  </si>
  <si>
    <t>Mini Long Lasting Liquid Lipsticks - Milan</t>
  </si>
  <si>
    <t>Mini Long Lasting Liquid Lipsticks - Mina</t>
  </si>
  <si>
    <t>Mini Long Lasting Liquid Lipsticks - Mocha</t>
  </si>
  <si>
    <t>Mini Long Lasting Liquid Lipsticks - Monaco</t>
  </si>
  <si>
    <t>Mini Long Lasting Liquid Lipsticks - Sanibel</t>
  </si>
  <si>
    <t>Mini Long Lasting Liquid Lipsticks - Treasure</t>
  </si>
  <si>
    <t>Mini Long Lasting Liquid Lipsticks - Tuscany</t>
  </si>
  <si>
    <t>Mini Long Lasting Liquid Lipsticks - Unzipped</t>
  </si>
  <si>
    <t>Everyday Nudes Mini Lip Set - (Sanibel,Verona,Bel Air,Unzipped)</t>
  </si>
  <si>
    <t>4 x 1g</t>
  </si>
  <si>
    <t>Everyday Nudes Lip Set Volume II (Sao Paulo, Manila, Bal Harbour, Canyon)</t>
  </si>
  <si>
    <t>Mini Lip Set - Gone MIA</t>
  </si>
  <si>
    <t>The Nudes Lip Set - Bel Air, Dubai, Manila</t>
  </si>
  <si>
    <t>8g each</t>
  </si>
  <si>
    <t>Espresso Lip Set - Amsterdam, Milan, Mocha</t>
  </si>
  <si>
    <t>MANNYXOFRA Lip Set - Aries, Charmed, &amp; Hypno</t>
  </si>
  <si>
    <t>Miami Nights Lip Set - Wynwood, The Grove, DWNTWN MIA</t>
  </si>
  <si>
    <t>Miami Spice Lip Set - Aventura, Sobe, Calle Ocho</t>
  </si>
  <si>
    <t>Lip Set - Coven, Nude Potion, Spell</t>
  </si>
  <si>
    <t>Me, Myself, &amp; I Lip Set - Mina, Santa Ana, Unzipped</t>
  </si>
  <si>
    <t>Infinite Lip Set - Baroque,Ruby,Vermillion (Francesca Tolot)</t>
  </si>
  <si>
    <t>Flex With It Mini Set</t>
  </si>
  <si>
    <t>Gloss Trio - #SamSquad</t>
  </si>
  <si>
    <t>Lip Duo - Inseparable (Hotmess Momma &amp; Butterfly Kisses)</t>
  </si>
  <si>
    <t>Lip Duo - By Samantha March (Millie &amp; Story)</t>
  </si>
  <si>
    <t>OFRA x Safai Kelly Lip Duo</t>
  </si>
  <si>
    <t>Lip Duo - OFRA x La Dura (Naked &amp; Glam)</t>
  </si>
  <si>
    <t>Pink Pout Lip Set</t>
  </si>
  <si>
    <t>Lip Duo - This is Life / Liora Yags</t>
  </si>
  <si>
    <t>Lipliner - Babydoll</t>
  </si>
  <si>
    <t>Lipliner - Cherish</t>
  </si>
  <si>
    <t xml:space="preserve">Lipliner - Chestnut </t>
  </si>
  <si>
    <t>Lipliner - Copper</t>
  </si>
  <si>
    <t>Lipliner - Delicious Red</t>
  </si>
  <si>
    <t>Lipliner - Glacier Pink</t>
  </si>
  <si>
    <t>Lipliner - Mauve</t>
  </si>
  <si>
    <t>Lipliner - Maya</t>
  </si>
  <si>
    <t>Lipliner - Nude</t>
  </si>
  <si>
    <t>Lipliner - Orchid</t>
  </si>
  <si>
    <t>Lipliner - Pink</t>
  </si>
  <si>
    <t>Lipliner - Plum</t>
  </si>
  <si>
    <t>Lipliner - Silk</t>
  </si>
  <si>
    <t>Lipliner - So Sweet</t>
  </si>
  <si>
    <t>Lipliner - Spicy</t>
  </si>
  <si>
    <t xml:space="preserve">Lipliner - Wine  </t>
  </si>
  <si>
    <t>Flexi Slick - 143</t>
  </si>
  <si>
    <t>Flexi Slick - Buzz</t>
  </si>
  <si>
    <t>Flexi Slick - Dash</t>
  </si>
  <si>
    <t>Flexi Slick - Faux</t>
  </si>
  <si>
    <t>Flexi Slick - Fuzzy</t>
  </si>
  <si>
    <t>Flexi Slick - Shaken</t>
  </si>
  <si>
    <t>Flexi Slick - Slip</t>
  </si>
  <si>
    <t>Flexi Slick - Slush</t>
  </si>
  <si>
    <t>Flexi Slick - Stretch</t>
  </si>
  <si>
    <t>Flexi Slick - Swizzle</t>
  </si>
  <si>
    <t>Flexi Slick - Synthetic</t>
  </si>
  <si>
    <t>Flexi Slick - Top Shelf</t>
  </si>
  <si>
    <t>Flexi Slick - Urge</t>
  </si>
  <si>
    <t>Flexi Slick - Velour</t>
  </si>
  <si>
    <t>Lip Lush - Juicy</t>
  </si>
  <si>
    <t>3.5ml</t>
  </si>
  <si>
    <t>Lip Lush - Plump</t>
  </si>
  <si>
    <t>Lip Lush - Thicc</t>
  </si>
  <si>
    <t>Lip Lush Trio</t>
  </si>
  <si>
    <t>3.5ml x 3</t>
  </si>
  <si>
    <t>Lip Gloss - Apricot Dream</t>
  </si>
  <si>
    <t>Lip Gloss - Babydoll</t>
  </si>
  <si>
    <t>Lip Gloss - Bali</t>
  </si>
  <si>
    <t>Lip Gloss - Bare</t>
  </si>
  <si>
    <t>Lip Gloss - Blissful</t>
  </si>
  <si>
    <t>Lip Gloss - Bordeaux</t>
  </si>
  <si>
    <t>Lip Gloss - brb</t>
  </si>
  <si>
    <t>Lip Gloss - Butterfly Kisses / Hot Mess Momma</t>
  </si>
  <si>
    <t>Lip Gloss - Cherry Mocha</t>
  </si>
  <si>
    <t>Lip Gloss - Chill Pink</t>
  </si>
  <si>
    <t>Lip Gloss - Connie</t>
  </si>
  <si>
    <t>Lip Gloss - Copper</t>
  </si>
  <si>
    <t>Lip Gloss - Glam / La Dura</t>
  </si>
  <si>
    <t>Lip Gloss - Glamour Pink</t>
  </si>
  <si>
    <t>Lip Gloss - Glossip</t>
  </si>
  <si>
    <t xml:space="preserve">Lip Gloss - Golden Rose  </t>
  </si>
  <si>
    <t>Lip Gloss - Honeybuns</t>
  </si>
  <si>
    <t>Lip Gloss - Koa / Allie Dawson</t>
  </si>
  <si>
    <t>Lip Gloss - Love</t>
  </si>
  <si>
    <t>Lip Gloss - Millie / Samantha March</t>
  </si>
  <si>
    <t xml:space="preserve">Lip Gloss - Mocha </t>
  </si>
  <si>
    <t>Lip Gloss - Myth</t>
  </si>
  <si>
    <t>Lip Gloss - Natural</t>
  </si>
  <si>
    <t>Lip Gloss - Orchid</t>
  </si>
  <si>
    <t>Lip Gloss - Peony / Samantha March</t>
  </si>
  <si>
    <t>Lip Gloss - Pink Panther</t>
  </si>
  <si>
    <t>Lip Gloss - Queen / Samantha March</t>
  </si>
  <si>
    <t xml:space="preserve">Lip Gloss - Rodeo Drive </t>
  </si>
  <si>
    <t>Lip Gloss - Scorpio / Liora Yags</t>
  </si>
  <si>
    <t>Lip Gloss - Smiley for Ryleigh / Madison Miller</t>
  </si>
  <si>
    <t>Lip Gloss - Spicy</t>
  </si>
  <si>
    <t>Lip Gloss - Sugarcup / Madison Miller</t>
  </si>
  <si>
    <t>Lip Gloss - Sunshine</t>
  </si>
  <si>
    <t>Lip Gloss - Supernova</t>
  </si>
  <si>
    <t>Lip Gloss - Truffle</t>
  </si>
  <si>
    <t>Lip Gloss - Vino / Safai Kelly</t>
  </si>
  <si>
    <t>Luminous  Lips (Clear )</t>
  </si>
  <si>
    <t xml:space="preserve">Rainbow Lips - Pink Lady </t>
  </si>
  <si>
    <t>Rainbow Lips - Ritz Gloss</t>
  </si>
  <si>
    <t>Rainbow Lips - Tropicana</t>
  </si>
  <si>
    <t>Lip Exfoliator</t>
  </si>
  <si>
    <t>Lipstick Vitamin E</t>
  </si>
  <si>
    <t>Lip Gloss Stick</t>
  </si>
  <si>
    <t>Moisturizing Lipstick - Rose</t>
  </si>
  <si>
    <t>Eyeshadow - Abu Dhabi</t>
  </si>
  <si>
    <t>Eyeshadow - Bark</t>
  </si>
  <si>
    <t>Eyeshadow - Black</t>
  </si>
  <si>
    <t>Eyeshadow - Bliss</t>
  </si>
  <si>
    <t>Eyeshadow - Blue Jeans</t>
  </si>
  <si>
    <t>Eyeshadow - Bohemian</t>
  </si>
  <si>
    <t xml:space="preserve">Eyeshadow - Buttercup </t>
  </si>
  <si>
    <t>Eyeshadow - Cabernet</t>
  </si>
  <si>
    <t>Eyeshadow - Champagne</t>
  </si>
  <si>
    <t>Eyeshadow - Country Road</t>
  </si>
  <si>
    <t>Eyeshadow - Destiny</t>
  </si>
  <si>
    <t>Eyeshadow - Divine</t>
  </si>
  <si>
    <t>Eyeshadow - Envious</t>
  </si>
  <si>
    <t>Eyeshadow - Essential</t>
  </si>
  <si>
    <t>Eyeshadow - Exquisite</t>
  </si>
  <si>
    <t>Eyeshadow - Foil</t>
  </si>
  <si>
    <t>Eyeshadow - French Mocha</t>
  </si>
  <si>
    <t xml:space="preserve">Eyeshadow - Glamour </t>
  </si>
  <si>
    <t xml:space="preserve">Eyeshadow - Glorious </t>
  </si>
  <si>
    <t>Eyeshadow - Godiva</t>
  </si>
  <si>
    <t>Eyeshadow - Gold</t>
  </si>
  <si>
    <t>Eyeshadow - Gold Flake</t>
  </si>
  <si>
    <t>Eyeshadow - Gold Rush</t>
  </si>
  <si>
    <t>Eyeshadow - Iron</t>
  </si>
  <si>
    <t>Eyeshadow - Kahlua</t>
  </si>
  <si>
    <t>Eyeshadow - Khaki</t>
  </si>
  <si>
    <t>Eyeshadow - Kitty</t>
  </si>
  <si>
    <t>Eyeshadow - Latte</t>
  </si>
  <si>
    <t>Eyeshadow - Lilac</t>
  </si>
  <si>
    <t>Eyeshadow - Millennium Bark</t>
  </si>
  <si>
    <t>Eyeshadow - Millennium Gold</t>
  </si>
  <si>
    <t xml:space="preserve">Eyeshadow - Millennium Green </t>
  </si>
  <si>
    <t xml:space="preserve">Eyeshadow - Millennium Pink </t>
  </si>
  <si>
    <t>Eyeshadow - Millennium White</t>
  </si>
  <si>
    <t>Eyeshadow - Mystic Blue</t>
  </si>
  <si>
    <t xml:space="preserve">Eyeshadow - Navy </t>
  </si>
  <si>
    <t xml:space="preserve">Eyeshadow - Olive </t>
  </si>
  <si>
    <t>Eyeshadow - Pink Petal</t>
  </si>
  <si>
    <t>Eyeshadow - Plastic</t>
  </si>
  <si>
    <t xml:space="preserve">Eyeshadow - Plum </t>
  </si>
  <si>
    <t xml:space="preserve">Eyeshadow - Purple Haze </t>
  </si>
  <si>
    <t>Eyeshadow - Royal</t>
  </si>
  <si>
    <t>Eyeshadow - Sky Blue</t>
  </si>
  <si>
    <t>Eyeshadow - Slate</t>
  </si>
  <si>
    <t>Eyeshadow - Smoke</t>
  </si>
  <si>
    <t>Eyeshadow - Sublime</t>
  </si>
  <si>
    <t>Eyeshadow - Syrup</t>
  </si>
  <si>
    <t>Eyeshadow - Truffle</t>
  </si>
  <si>
    <t>Eyeshadow - Turquoise</t>
  </si>
  <si>
    <t>Eyeshadow - Vanilla</t>
  </si>
  <si>
    <t>Eyeshadow - Victory</t>
  </si>
  <si>
    <t>Eyeshadow - Yellow Submarine</t>
  </si>
  <si>
    <t>Bright Addiction Eyeshadow - Bright Blue</t>
  </si>
  <si>
    <t>Bright Addiction Eyeshadow - Bright Green</t>
  </si>
  <si>
    <t>Bright Addiction Eyeshadow - Bright Yellow</t>
  </si>
  <si>
    <t>Bright Addiction Eyeshadow - Brown</t>
  </si>
  <si>
    <t>Bright Addiction Eyeshadow - Deep Blue</t>
  </si>
  <si>
    <t>Bright Addiction Eyeshadow - Deep Purple</t>
  </si>
  <si>
    <t>Bright Addiction Eyeshadow - Fire Orange</t>
  </si>
  <si>
    <t>Bright Addiction Eyeshadow - Lime Green</t>
  </si>
  <si>
    <t>Bright Addiction Eyeshadow - Melon</t>
  </si>
  <si>
    <t>Bright Addiction Eyeshadow - Ocean Blue</t>
  </si>
  <si>
    <t>Bright Addiction Eyeshadow - Triple Black</t>
  </si>
  <si>
    <t>Eyeshadow Loose - Blue Jeans</t>
  </si>
  <si>
    <t>Eyeshadow Loose - Champagne</t>
  </si>
  <si>
    <t>Eyeshadow Loose - Emerald Green</t>
  </si>
  <si>
    <t>Eyeshadow Loose - Green Apple</t>
  </si>
  <si>
    <t>Eyeshadow Loose - Khaki</t>
  </si>
  <si>
    <t>Eyeshadow Loose - Lemon Gold</t>
  </si>
  <si>
    <t>Eyeshadow Loose - L'Orange</t>
  </si>
  <si>
    <t xml:space="preserve">Eyeshadow Loose - Millennium Gold </t>
  </si>
  <si>
    <t>Eyeshadow Loose - Plum</t>
  </si>
  <si>
    <t>Eyeshadow Loose - Shiny Pink</t>
  </si>
  <si>
    <t>Eyeshadow Loose - Slate</t>
  </si>
  <si>
    <t>Eyeshadow Loose - Turquoise</t>
  </si>
  <si>
    <t xml:space="preserve">Eyeshadow Loose - Vanilla </t>
  </si>
  <si>
    <t>Eyeshadow Loose - White</t>
  </si>
  <si>
    <t>Bo$$y Eyes - CFO</t>
  </si>
  <si>
    <t>3.5mL</t>
  </si>
  <si>
    <t>Bo$$y Eyes - Do Not Disturb</t>
  </si>
  <si>
    <t xml:space="preserve">Bo$$y Eyes - Five Star </t>
  </si>
  <si>
    <t>Bo$$y Eyes - Fortune</t>
  </si>
  <si>
    <t>Bo$$y Eyes - New Money</t>
  </si>
  <si>
    <t>Bo$$y Eyes - Penthouse</t>
  </si>
  <si>
    <t>Bo$$y Eyes - Rozay</t>
  </si>
  <si>
    <t>Cheek &amp; Lip Cream - All Yours</t>
  </si>
  <si>
    <t>Cheek &amp; Lip Cream - Devoted</t>
  </si>
  <si>
    <t>Cheek &amp; Lip Cream - Dreamy</t>
  </si>
  <si>
    <t>Cheek &amp; Lip Cream - Heart Eyes</t>
  </si>
  <si>
    <t>Cheek &amp; Lip Cream - Sundown</t>
  </si>
  <si>
    <t>Made with Love Cheek &amp; Lip Cream Set</t>
  </si>
  <si>
    <t>3x4g</t>
  </si>
  <si>
    <t>Blush - Apricot</t>
  </si>
  <si>
    <t>Blush - B-29 Coral Crush</t>
  </si>
  <si>
    <t>Blush - Candy Apple</t>
  </si>
  <si>
    <t>Blush - Chameleon</t>
  </si>
  <si>
    <t>Blush - Charm</t>
  </si>
  <si>
    <t>Blush - Crazy Pink</t>
  </si>
  <si>
    <t>Blush - Format</t>
  </si>
  <si>
    <t>Blush - Peach</t>
  </si>
  <si>
    <t>Blush - Pink Lady</t>
  </si>
  <si>
    <t>Blush - Pink Satin</t>
  </si>
  <si>
    <t>Blush - Raisin</t>
  </si>
  <si>
    <t>Blush - Rendezvous</t>
  </si>
  <si>
    <t>Blush - Rose</t>
  </si>
  <si>
    <t>Blush - Winter Rose Glow</t>
  </si>
  <si>
    <t>XL Blush - Bellini</t>
  </si>
  <si>
    <t>XL Blush - Cosmo</t>
  </si>
  <si>
    <t>XL Blush - Mai Tai</t>
  </si>
  <si>
    <t>XL Blush - Ollie Need is Love / Madison Miller</t>
  </si>
  <si>
    <t>XL Blush - Punch</t>
  </si>
  <si>
    <t>XL Blush - Peachy Paradise</t>
  </si>
  <si>
    <t>XL Blush - Sweet Stuff / Madison Miller</t>
  </si>
  <si>
    <t>Blush &amp; Highlighter Duo - Snuggle Up</t>
  </si>
  <si>
    <t>Blush Duo - Chick Lit / Samantha March</t>
  </si>
  <si>
    <t>Liquid Blush - Authentic</t>
  </si>
  <si>
    <t>Liquid Blush - Loyal</t>
  </si>
  <si>
    <t>By Samantha March Collection</t>
  </si>
  <si>
    <t>Iconic Collection - Brentwood</t>
  </si>
  <si>
    <t>Iconic Collection - Rodeo Drive</t>
  </si>
  <si>
    <t>Iconic Collection - The Hills</t>
  </si>
  <si>
    <t>Godet - Eyeshadow (Not available in Bright Addiction)</t>
  </si>
  <si>
    <t>1.5g</t>
  </si>
  <si>
    <t>Godet - Eyeshadow</t>
  </si>
  <si>
    <t>Godet - Blush</t>
  </si>
  <si>
    <t>Godet - W&amp;D Foundation</t>
  </si>
  <si>
    <t>Godet - Blissful (mini)</t>
  </si>
  <si>
    <t>Godet - Pillow Talk (mini)</t>
  </si>
  <si>
    <t>Godet - Rodeo Drive (mini)</t>
  </si>
  <si>
    <t>Godet Blush Stripes - Illuminating</t>
  </si>
  <si>
    <t>Godet - Americano Bronzer</t>
  </si>
  <si>
    <t>Godet - Versatile Matte Bronzer</t>
  </si>
  <si>
    <t>Godet - Bali</t>
  </si>
  <si>
    <t>Godet - Beam the Haters</t>
  </si>
  <si>
    <t>Godet - Beverly Hills</t>
  </si>
  <si>
    <t>Godet - Blissful</t>
  </si>
  <si>
    <t>Godet - Everglow</t>
  </si>
  <si>
    <t>Godet - Glazed Donut</t>
  </si>
  <si>
    <t>Godet - Glow Goals</t>
  </si>
  <si>
    <t>Godet - Pillow Talk</t>
  </si>
  <si>
    <t>Godet - Rodeo Drive</t>
  </si>
  <si>
    <t>Godet - California Dream Triangle</t>
  </si>
  <si>
    <t>Godet - 3D Egyptian Clay Bronzer</t>
  </si>
  <si>
    <t>Cosmetologist's Portfolio - Small (Light/Medium)</t>
  </si>
  <si>
    <t>rebranded</t>
  </si>
  <si>
    <t>Cosmetologist's Portfolio - Small (/Medium/Deep)</t>
  </si>
  <si>
    <t>Cosmetologist's Portfolio - Large (Light/Medium)</t>
  </si>
  <si>
    <t>Cosmetologist's Portfolio - Large (Medium/Deep)</t>
  </si>
  <si>
    <t>Universal Portfolio - Small</t>
  </si>
  <si>
    <t>Universal Portfolio - Large</t>
  </si>
  <si>
    <t>OFRA Professional Toolbox Makeup Case</t>
  </si>
  <si>
    <t>OFRA Professional Slim Case</t>
  </si>
  <si>
    <t>OFRA Exclusive Clear Case</t>
  </si>
  <si>
    <t>Supreme Complete Beauty Kit</t>
  </si>
  <si>
    <t>Elite Canvas Beauty Kit</t>
  </si>
  <si>
    <t>Essential Pro Kit</t>
  </si>
  <si>
    <t xml:space="preserve">The Ultimate Folding Makeup Studio (6 lights)
</t>
  </si>
  <si>
    <t>Lip Gloss Display Full - 16 shades x 4 of each incl. testers</t>
  </si>
  <si>
    <t>Long Lasting Liquid Lipstick Display Full - 16 shades x 4 of each incl. testers</t>
  </si>
  <si>
    <t>Absolute Cover Foundation Display - (10 testers/40 retail     (4 of each shade)</t>
  </si>
  <si>
    <t>(white display)</t>
  </si>
  <si>
    <t>Highlighters/Bronzers Display                                            (5 testers+15 retail, 3 of each shade)</t>
  </si>
  <si>
    <t>OFRA Essential Starter Display 
(5 testers of highlighter +20 retail, 4 of each shade /
4 testers of Long Lasting Liquid Lipsticks +16 retail, 4 of each shade)</t>
  </si>
  <si>
    <t>Signature Palette Display - (4 samples + 20 retail)</t>
  </si>
  <si>
    <t>Skincare &amp; Makeup Counter Top Display</t>
  </si>
  <si>
    <t>Liquid Lipstick &amp; Highlighter Counter Top Display</t>
  </si>
  <si>
    <t>Liquid Lipstick Counter Top Display</t>
  </si>
  <si>
    <t>Skincare Counter Top Display</t>
  </si>
  <si>
    <t>Highlighter Counter Top Display</t>
  </si>
  <si>
    <t>Lipstick Module</t>
  </si>
  <si>
    <t>Long Lasting Liquid Lipstick Module</t>
  </si>
  <si>
    <t>4g Compact Module</t>
  </si>
  <si>
    <t>Mascara &amp; Eyeliner Module</t>
  </si>
  <si>
    <t>Highlighter Module</t>
  </si>
  <si>
    <t>Loose Powder Module</t>
  </si>
  <si>
    <t>Fixline Eyeliner &amp; Eyebrow Gel Module</t>
  </si>
  <si>
    <t>Absolute Cover Foundation Module</t>
  </si>
  <si>
    <t>Liquid Foundation Module</t>
  </si>
  <si>
    <t>Wet &amp; Dry Foundation Module</t>
  </si>
  <si>
    <t>Prime &amp; Set Module</t>
  </si>
  <si>
    <t>Serum Module</t>
  </si>
  <si>
    <t>Mask/Moisturizer/Peel/Treatment Module</t>
  </si>
  <si>
    <t>Cleanser/Toner Module</t>
  </si>
  <si>
    <t xml:space="preserve">RCK Bdy Glow - Light/Universal
</t>
  </si>
  <si>
    <t>RCK Body Glow - Medium/Sunkissed</t>
  </si>
  <si>
    <t>RCK Body Glow - Tan/Bronzed</t>
  </si>
  <si>
    <t>RCK Display Light/Universal (6 RCK Light + 1 Light tester)</t>
  </si>
  <si>
    <t>RCK Display Medium/Sunkissed (6 RCK Medium + 1 Med. tester)</t>
  </si>
  <si>
    <t>Rck Display Tan/Bronzed (6 RCK Tan + 1 Tan tester)</t>
  </si>
  <si>
    <t>RCK Empty Display</t>
  </si>
  <si>
    <t>OFRA Certificate</t>
  </si>
  <si>
    <t>Pencil Sharpener</t>
  </si>
  <si>
    <t>Disposable Makeup Sponges 6 pcs</t>
  </si>
  <si>
    <t>Disposable Brush &amp; Applicators Pack (6 mascara &amp; 6 eyeshadow)</t>
  </si>
  <si>
    <t xml:space="preserve">2oz Brush Cleaner </t>
  </si>
  <si>
    <t>16oz fl (480ml) Brush Cleaner</t>
  </si>
  <si>
    <t>Cleanse it Off Wipes</t>
  </si>
  <si>
    <t>15 count</t>
  </si>
  <si>
    <t>Retail Consumer Bag - White</t>
  </si>
  <si>
    <t>Retail Consumer Bag - Black</t>
  </si>
  <si>
    <t>OFRA Pro Mixing Palette</t>
  </si>
  <si>
    <t>32g</t>
  </si>
  <si>
    <t xml:space="preserve">OFRA Pro Mixing Spatula </t>
  </si>
  <si>
    <t>21g</t>
  </si>
  <si>
    <t xml:space="preserve">OFRA Pro Mixing Palette &amp; Spatula </t>
  </si>
  <si>
    <t>53g</t>
  </si>
  <si>
    <t>OFRA Perfecting Puff</t>
  </si>
  <si>
    <t>15g</t>
  </si>
  <si>
    <t>Brush Belt</t>
  </si>
  <si>
    <t>237g</t>
  </si>
  <si>
    <t>Perfecting Beauty Bag - Green</t>
  </si>
  <si>
    <t>Perfecting Beauty Bag - Pink</t>
  </si>
  <si>
    <t>Perfecting Beauty Bag - Purple</t>
  </si>
  <si>
    <t>Iconic Bag</t>
  </si>
  <si>
    <t>OFRA Beauty Compact Mirror</t>
  </si>
  <si>
    <t xml:space="preserve">OFRA Cloth Face Mask </t>
  </si>
  <si>
    <t>Adult</t>
  </si>
  <si>
    <t>OFRA Cloth Face Mask</t>
  </si>
  <si>
    <t>Child</t>
  </si>
  <si>
    <t>OFRA Cloth Face Mask (Illustration print)</t>
  </si>
  <si>
    <t>OFRA Headband w/buttons</t>
  </si>
  <si>
    <t>OFRA Headband w/buttons (Illustration print)</t>
  </si>
  <si>
    <t>OFRA Hair Scrunchie</t>
  </si>
  <si>
    <t>5 Piece Brush Set (Lip, Blush, Angle, Shadow, Brow)</t>
  </si>
  <si>
    <t>7 Piece Brush Set (blue handles)</t>
  </si>
  <si>
    <t>9 Piece Brush Set (green handles)</t>
  </si>
  <si>
    <t>11 Piece Brush Set</t>
  </si>
  <si>
    <t>15 Piece Brush Set (green handles)</t>
  </si>
  <si>
    <t>17 Piece Brush Set (green handles)</t>
  </si>
  <si>
    <t>Brush #1 - Eye Liner</t>
  </si>
  <si>
    <t>Brush #2 - Nose Highlight &amp; Dusting</t>
  </si>
  <si>
    <t>Brush #3 - Eyeshadow</t>
  </si>
  <si>
    <t>Brush #4 - Hard Angle for Creases or Lines</t>
  </si>
  <si>
    <t>Brush #5 - Foundation Sponge</t>
  </si>
  <si>
    <t>Brush #6 - Large Powder</t>
  </si>
  <si>
    <t>Brush #7 - Highlighting</t>
  </si>
  <si>
    <t>Brush #8 - Powder</t>
  </si>
  <si>
    <t>Brush #9 - Two Tone All Purpose Powder</t>
  </si>
  <si>
    <t>Brush #10 - Lip Brush</t>
  </si>
  <si>
    <t>Brush #11 - For Concealer or Eyeshadow</t>
  </si>
  <si>
    <t>Brush #16 - Angle Brush for Shadows</t>
  </si>
  <si>
    <t>Brush #18 - Double Ended Brush</t>
  </si>
  <si>
    <t>Brush #20 - Wide Shadow Brush</t>
  </si>
  <si>
    <t>Brush #21 - Blending Brush</t>
  </si>
  <si>
    <t>Brush #22 - Blush Brush</t>
  </si>
  <si>
    <t>Brush #25 - Blending Brush</t>
  </si>
  <si>
    <t>Brush #27 - Angle Brush</t>
  </si>
  <si>
    <t>Brush #31 - Blending Eye Corners &amp; Middle of Eyelids</t>
  </si>
  <si>
    <t>Brush #8880 - Eyeliner</t>
  </si>
  <si>
    <t>Brush #8881 - Tip &amp; Blend</t>
  </si>
  <si>
    <t>Brush #8882 - Pencil</t>
  </si>
  <si>
    <t>Brush #8883 - Angled Eye</t>
  </si>
  <si>
    <t>Brush #8884 - Crease</t>
  </si>
  <si>
    <t>Brush #8885 - Eyeshadow</t>
  </si>
  <si>
    <t>Brush #8886 - S&amp;F Foundation</t>
  </si>
  <si>
    <t>Brush #8887 - Foundation Flat</t>
  </si>
  <si>
    <t>Brush #8888 - Blush</t>
  </si>
  <si>
    <t>Brush #8889 - Powder</t>
  </si>
  <si>
    <t>4pc Peptide Complex Series Sachets</t>
  </si>
  <si>
    <t>5ml RCK - Light</t>
  </si>
  <si>
    <t>5ml RCK - Medium</t>
  </si>
  <si>
    <t>5ml RCK - Tan</t>
  </si>
  <si>
    <t>Absolute Cover Foundation - #0.25</t>
  </si>
  <si>
    <t>Absolute Cover Foundation - #0.5</t>
  </si>
  <si>
    <t>Absolute Cover Foundation - #1</t>
  </si>
  <si>
    <t>Absolute Cover Foundation - #2</t>
  </si>
  <si>
    <t>Absolute Cover Foundation - #3</t>
  </si>
  <si>
    <t>Absolute Cover Foundation - #4</t>
  </si>
  <si>
    <t>Absolute Cover Foundation - #5</t>
  </si>
  <si>
    <t>Absolute Cover Foundation - #6</t>
  </si>
  <si>
    <t>Absolute Cover Foundation - #7</t>
  </si>
  <si>
    <t>Absolute Cover Foundation - #8</t>
  </si>
  <si>
    <t>Absolute Cover Foundation - #9</t>
  </si>
  <si>
    <t>Absolute Cover Foundation - #10</t>
  </si>
  <si>
    <t>Liquid Foundation - Amber</t>
  </si>
  <si>
    <t>Liquid Foundation - Autumn</t>
  </si>
  <si>
    <t>Liquid Foundation - Bare</t>
  </si>
  <si>
    <t>Liquid Foundation - Cocoa</t>
  </si>
  <si>
    <t>Liquid Foundation - Cream Beige</t>
  </si>
  <si>
    <t>Liquid Foundation - Deep</t>
  </si>
  <si>
    <t>Liquid Foundation - Ebony</t>
  </si>
  <si>
    <t>Liquid Foundation - Kahlua</t>
  </si>
  <si>
    <t>Liquid Foundation - Light Beige</t>
  </si>
  <si>
    <t>Liquid Foundation - Mahogany</t>
  </si>
  <si>
    <t>Liquid Foundation - Naked</t>
  </si>
  <si>
    <t>Liquid Foundation - Nude</t>
  </si>
  <si>
    <t>Liquid Foundation - Toffee</t>
  </si>
  <si>
    <t>Liquid Foundation - White Porcelain</t>
  </si>
  <si>
    <t>Poster - Best Liquid Lipstick</t>
  </si>
  <si>
    <t>Poster - Bronzers &amp; Marbles</t>
  </si>
  <si>
    <t>Poster - Eyebrow Gels</t>
  </si>
  <si>
    <t>Poster - Leaders of Liquid Lipstick</t>
  </si>
  <si>
    <t>Poster - Multi Products Skin Care &amp; Makeup</t>
  </si>
  <si>
    <t>Poster - Peptide Complex</t>
  </si>
  <si>
    <t>Poster - Show Your Glow</t>
  </si>
  <si>
    <t>Poster - It's Your Glow (rebranded)</t>
  </si>
  <si>
    <t>Poster - Lips on Smooth (rebranded)</t>
  </si>
  <si>
    <t>Poster - Stay and Slay (rebranded)</t>
  </si>
  <si>
    <t>Poster - Comfort and Long Lasting (rebranded)</t>
  </si>
  <si>
    <t>Poster - Skin Saves (rebranded)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</si>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</sst>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$]\ #,##0.00"/>
    <numFmt numFmtId="165" formatCode="[$$-409]#,##0.00"/>
    <numFmt numFmtId="166" formatCode="[$$] #,##0.00"/>
    <numFmt numFmtId="167" formatCode="_-[$£-809]* #,##0.00_-;-[$£-809]* #,##0.00_-;_-[$£-809]* &quot;-&quot;??_-;_-@"/>
    <numFmt numFmtId="168" formatCode="_-&quot;$&quot;* #,##0.00_-;-&quot;$&quot;* #,##0.00_-;_-&quot;$&quot;* &quot;-&quot;??_-;_-@"/>
  </numFmts>
  <fonts count="12">
    <font>
      <sz val="11.0"/>
      <color theme="1"/>
      <name val="Calibri"/>
      <scheme val="minor"/>
    </font>
    <font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24.0"/>
      <color theme="1"/>
      <name val="Arial"/>
    </font>
    <font>
      <u/>
      <sz val="12.0"/>
      <color rgb="FF0563C1"/>
      <name val="Calibri"/>
    </font>
    <font/>
    <font>
      <b/>
      <sz val="11.0"/>
      <color rgb="FFFFFFFF"/>
      <name val="Calibri"/>
    </font>
    <font>
      <i/>
      <sz val="11.0"/>
      <color theme="1"/>
      <name val="Calibri"/>
    </font>
    <font>
      <b/>
      <sz val="12.0"/>
      <color rgb="FF000000"/>
      <name val="Calibri"/>
    </font>
    <font>
      <sz val="12.0"/>
      <color theme="1"/>
      <name val="Arial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262626"/>
        <bgColor rgb="FF262626"/>
      </patternFill>
    </fill>
    <fill>
      <patternFill patternType="solid">
        <fgColor rgb="FFD0CECE"/>
        <bgColor rgb="FFD0CECE"/>
      </patternFill>
    </fill>
  </fills>
  <borders count="38">
    <border/>
    <border>
      <left/>
      <right/>
      <top/>
      <bottom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</border>
    <border>
      <left style="thin">
        <color rgb="FFFFFFFF"/>
      </left>
      <right style="medium">
        <color rgb="FF000000"/>
      </right>
      <top style="medium">
        <color rgb="FF000000"/>
      </top>
      <bottom style="thin">
        <color rgb="FFFFFFFF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FFFFFF"/>
      </top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medium">
        <color rgb="FF000000"/>
      </right>
      <bottom style="thin">
        <color rgb="FFFFFFFF"/>
      </bottom>
    </border>
    <border>
      <left style="medium">
        <color rgb="FF000000"/>
      </left>
      <bottom style="thin">
        <color rgb="FFFFFFFF"/>
      </bottom>
    </border>
    <border>
      <right style="medium">
        <color rgb="FF000000"/>
      </right>
      <bottom style="thin">
        <color rgb="FFFFFFFF"/>
      </bottom>
    </border>
    <border>
      <right style="medium">
        <color rgb="FF000000"/>
      </right>
      <top style="thin">
        <color rgb="FFFFFFFF"/>
      </top>
      <bottom style="thin">
        <color rgb="FFFFFFFF"/>
      </bottom>
    </border>
    <border>
      <lef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right/>
      <top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/>
      <right/>
      <bottom/>
    </border>
    <border>
      <left/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vertical="bottom"/>
    </xf>
    <xf borderId="3" fillId="3" fontId="2" numFmtId="0" xfId="0" applyAlignment="1" applyBorder="1" applyFont="1">
      <alignment vertical="bottom"/>
    </xf>
    <xf borderId="4" fillId="3" fontId="2" numFmtId="0" xfId="0" applyAlignment="1" applyBorder="1" applyFont="1">
      <alignment vertical="bottom"/>
    </xf>
    <xf borderId="5" fillId="3" fontId="3" numFmtId="164" xfId="0" applyAlignment="1" applyBorder="1" applyFont="1" applyNumberFormat="1">
      <alignment vertical="top"/>
    </xf>
    <xf borderId="2" fillId="3" fontId="2" numFmtId="164" xfId="0" applyAlignment="1" applyBorder="1" applyFont="1" applyNumberFormat="1">
      <alignment vertical="top"/>
    </xf>
    <xf borderId="3" fillId="3" fontId="2" numFmtId="164" xfId="0" applyAlignment="1" applyBorder="1" applyFont="1" applyNumberFormat="1">
      <alignment vertical="bottom"/>
    </xf>
    <xf borderId="4" fillId="3" fontId="2" numFmtId="164" xfId="0" applyAlignment="1" applyBorder="1" applyFont="1" applyNumberFormat="1">
      <alignment vertical="bottom"/>
    </xf>
    <xf borderId="1" fillId="4" fontId="1" numFmtId="0" xfId="0" applyBorder="1" applyFill="1" applyFont="1"/>
    <xf borderId="6" fillId="3" fontId="2" numFmtId="0" xfId="0" applyAlignment="1" applyBorder="1" applyFont="1">
      <alignment vertical="bottom"/>
    </xf>
    <xf borderId="7" fillId="3" fontId="2" numFmtId="0" xfId="0" applyAlignment="1" applyBorder="1" applyFont="1">
      <alignment vertical="bottom"/>
    </xf>
    <xf borderId="8" fillId="3" fontId="2" numFmtId="0" xfId="0" applyAlignment="1" applyBorder="1" applyFont="1">
      <alignment vertical="bottom"/>
    </xf>
    <xf borderId="9" fillId="3" fontId="3" numFmtId="164" xfId="0" applyAlignment="1" applyBorder="1" applyFont="1" applyNumberFormat="1">
      <alignment vertical="top"/>
    </xf>
    <xf borderId="6" fillId="3" fontId="2" numFmtId="164" xfId="0" applyAlignment="1" applyBorder="1" applyFont="1" applyNumberFormat="1">
      <alignment vertical="top"/>
    </xf>
    <xf borderId="7" fillId="3" fontId="2" numFmtId="164" xfId="0" applyAlignment="1" applyBorder="1" applyFont="1" applyNumberFormat="1">
      <alignment vertical="bottom"/>
    </xf>
    <xf borderId="8" fillId="3" fontId="2" numFmtId="164" xfId="0" applyAlignment="1" applyBorder="1" applyFont="1" applyNumberFormat="1">
      <alignment vertical="bottom"/>
    </xf>
    <xf borderId="1" fillId="2" fontId="4" numFmtId="0" xfId="0" applyAlignment="1" applyBorder="1" applyFont="1">
      <alignment horizontal="center"/>
    </xf>
    <xf borderId="7" fillId="0" fontId="2" numFmtId="0" xfId="0" applyAlignment="1" applyBorder="1" applyFont="1">
      <alignment vertical="bottom"/>
    </xf>
    <xf borderId="8" fillId="0" fontId="2" numFmtId="0" xfId="0" applyAlignment="1" applyBorder="1" applyFont="1">
      <alignment vertical="bottom"/>
    </xf>
    <xf borderId="9" fillId="3" fontId="3" numFmtId="0" xfId="0" applyAlignment="1" applyBorder="1" applyFont="1">
      <alignment vertical="top"/>
    </xf>
    <xf borderId="6" fillId="3" fontId="2" numFmtId="0" xfId="0" applyAlignment="1" applyBorder="1" applyFont="1">
      <alignment vertical="top"/>
    </xf>
    <xf borderId="8" fillId="3" fontId="2" numFmtId="165" xfId="0" applyAlignment="1" applyBorder="1" applyFont="1" applyNumberFormat="1">
      <alignment vertical="bottom"/>
    </xf>
    <xf borderId="1" fillId="2" fontId="4" numFmtId="0" xfId="0" applyBorder="1" applyFont="1"/>
    <xf borderId="8" fillId="3" fontId="2" numFmtId="0" xfId="0" applyAlignment="1" applyBorder="1" applyFont="1">
      <alignment vertical="bottom"/>
    </xf>
    <xf quotePrefix="1" borderId="6" fillId="3" fontId="2" numFmtId="0" xfId="0" applyAlignment="1" applyBorder="1" applyFont="1">
      <alignment vertical="bottom"/>
    </xf>
    <xf borderId="7" fillId="3" fontId="2" numFmtId="165" xfId="0" applyAlignment="1" applyBorder="1" applyFont="1" applyNumberFormat="1">
      <alignment vertical="bottom"/>
    </xf>
    <xf borderId="6" fillId="0" fontId="5" numFmtId="0" xfId="0" applyAlignment="1" applyBorder="1" applyFont="1">
      <alignment vertical="top"/>
    </xf>
    <xf borderId="10" fillId="3" fontId="2" numFmtId="0" xfId="0" applyAlignment="1" applyBorder="1" applyFont="1">
      <alignment vertical="bottom"/>
    </xf>
    <xf borderId="11" fillId="3" fontId="2" numFmtId="0" xfId="0" applyAlignment="1" applyBorder="1" applyFont="1">
      <alignment vertical="bottom"/>
    </xf>
    <xf borderId="12" fillId="3" fontId="2" numFmtId="0" xfId="0" applyAlignment="1" applyBorder="1" applyFont="1">
      <alignment vertical="bottom"/>
    </xf>
    <xf borderId="13" fillId="3" fontId="2" numFmtId="166" xfId="0" applyAlignment="1" applyBorder="1" applyFont="1" applyNumberFormat="1">
      <alignment vertical="top"/>
    </xf>
    <xf borderId="10" fillId="3" fontId="2" numFmtId="164" xfId="0" applyAlignment="1" applyBorder="1" applyFont="1" applyNumberFormat="1">
      <alignment vertical="top"/>
    </xf>
    <xf borderId="11" fillId="3" fontId="2" numFmtId="164" xfId="0" applyAlignment="1" applyBorder="1" applyFont="1" applyNumberFormat="1">
      <alignment vertical="bottom"/>
    </xf>
    <xf borderId="11" fillId="3" fontId="2" numFmtId="166" xfId="0" applyAlignment="1" applyBorder="1" applyFont="1" applyNumberFormat="1">
      <alignment vertical="bottom"/>
    </xf>
    <xf borderId="12" fillId="3" fontId="2" numFmtId="166" xfId="0" applyAlignment="1" applyBorder="1" applyFont="1" applyNumberFormat="1">
      <alignment vertical="bottom"/>
    </xf>
    <xf borderId="1" fillId="4" fontId="1" numFmtId="0" xfId="0" applyAlignment="1" applyBorder="1" applyFont="1">
      <alignment horizontal="center" vertical="center"/>
    </xf>
    <xf borderId="5" fillId="3" fontId="2" numFmtId="0" xfId="0" applyAlignment="1" applyBorder="1" applyFont="1">
      <alignment vertical="bottom"/>
    </xf>
    <xf borderId="14" fillId="5" fontId="2" numFmtId="3" xfId="0" applyAlignment="1" applyBorder="1" applyFill="1" applyFont="1" applyNumberFormat="1">
      <alignment vertical="bottom"/>
    </xf>
    <xf borderId="15" fillId="0" fontId="6" numFmtId="0" xfId="0" applyBorder="1" applyFont="1"/>
    <xf borderId="16" fillId="5" fontId="2" numFmtId="166" xfId="0" applyAlignment="1" applyBorder="1" applyFont="1" applyNumberFormat="1">
      <alignment vertical="bottom"/>
    </xf>
    <xf borderId="17" fillId="0" fontId="6" numFmtId="0" xfId="0" applyBorder="1" applyFont="1"/>
    <xf borderId="18" fillId="0" fontId="6" numFmtId="0" xfId="0" applyBorder="1" applyFont="1"/>
    <xf borderId="19" fillId="3" fontId="2" numFmtId="0" xfId="0" applyAlignment="1" applyBorder="1" applyFont="1">
      <alignment vertical="bottom"/>
    </xf>
    <xf borderId="16" fillId="6" fontId="7" numFmtId="0" xfId="0" applyAlignment="1" applyBorder="1" applyFill="1" applyFont="1">
      <alignment horizontal="center" vertical="bottom"/>
    </xf>
    <xf borderId="20" fillId="3" fontId="2" numFmtId="166" xfId="0" applyAlignment="1" applyBorder="1" applyFont="1" applyNumberFormat="1">
      <alignment vertical="bottom"/>
    </xf>
    <xf borderId="21" fillId="3" fontId="2" numFmtId="164" xfId="0" applyAlignment="1" applyBorder="1" applyFont="1" applyNumberFormat="1">
      <alignment vertical="bottom"/>
    </xf>
    <xf borderId="21" fillId="3" fontId="2" numFmtId="166" xfId="0" applyAlignment="1" applyBorder="1" applyFont="1" applyNumberFormat="1">
      <alignment vertical="bottom"/>
    </xf>
    <xf borderId="21" fillId="3" fontId="2" numFmtId="0" xfId="0" applyAlignment="1" applyBorder="1" applyFont="1">
      <alignment vertical="bottom"/>
    </xf>
    <xf borderId="22" fillId="3" fontId="2" numFmtId="166" xfId="0" applyAlignment="1" applyBorder="1" applyFont="1" applyNumberFormat="1">
      <alignment vertical="bottom"/>
    </xf>
    <xf borderId="9" fillId="3" fontId="2" numFmtId="0" xfId="0" applyAlignment="1" applyBorder="1" applyFont="1">
      <alignment vertical="bottom"/>
    </xf>
    <xf borderId="23" fillId="5" fontId="3" numFmtId="0" xfId="0" applyAlignment="1" applyBorder="1" applyFont="1">
      <alignment vertical="bottom"/>
    </xf>
    <xf borderId="24" fillId="0" fontId="6" numFmtId="0" xfId="0" applyBorder="1" applyFont="1"/>
    <xf borderId="6" fillId="3" fontId="2" numFmtId="166" xfId="0" applyAlignment="1" applyBorder="1" applyFont="1" applyNumberFormat="1">
      <alignment vertical="bottom"/>
    </xf>
    <xf borderId="7" fillId="3" fontId="2" numFmtId="166" xfId="0" applyAlignment="1" applyBorder="1" applyFont="1" applyNumberFormat="1">
      <alignment vertical="bottom"/>
    </xf>
    <xf borderId="8" fillId="3" fontId="2" numFmtId="166" xfId="0" applyAlignment="1" applyBorder="1" applyFont="1" applyNumberFormat="1">
      <alignment vertical="bottom"/>
    </xf>
    <xf borderId="1" fillId="2" fontId="1" numFmtId="166" xfId="0" applyAlignment="1" applyBorder="1" applyFont="1" applyNumberFormat="1">
      <alignment horizontal="center" vertical="center"/>
    </xf>
    <xf borderId="6" fillId="3" fontId="3" numFmtId="3" xfId="0" applyAlignment="1" applyBorder="1" applyFont="1" applyNumberFormat="1">
      <alignment vertical="bottom"/>
    </xf>
    <xf borderId="8" fillId="0" fontId="2" numFmtId="3" xfId="0" applyAlignment="1" applyBorder="1" applyFont="1" applyNumberFormat="1">
      <alignment vertical="bottom"/>
    </xf>
    <xf borderId="9" fillId="3" fontId="2" numFmtId="166" xfId="0" applyAlignment="1" applyBorder="1" applyFont="1" applyNumberFormat="1">
      <alignment vertical="bottom"/>
    </xf>
    <xf borderId="19" fillId="5" fontId="3" numFmtId="166" xfId="0" applyAlignment="1" applyBorder="1" applyFont="1" applyNumberFormat="1">
      <alignment vertical="bottom"/>
    </xf>
    <xf borderId="25" fillId="0" fontId="6" numFmtId="0" xfId="0" applyBorder="1" applyFont="1"/>
    <xf borderId="6" fillId="3" fontId="3" numFmtId="166" xfId="0" applyAlignment="1" applyBorder="1" applyFont="1" applyNumberFormat="1">
      <alignment vertical="bottom"/>
    </xf>
    <xf borderId="8" fillId="0" fontId="2" numFmtId="164" xfId="0" applyAlignment="1" applyBorder="1" applyFont="1" applyNumberFormat="1">
      <alignment vertical="bottom"/>
    </xf>
    <xf borderId="7" fillId="3" fontId="2" numFmtId="167" xfId="0" applyAlignment="1" applyBorder="1" applyFont="1" applyNumberFormat="1">
      <alignment vertical="bottom"/>
    </xf>
    <xf borderId="13" fillId="3" fontId="2" numFmtId="0" xfId="0" applyAlignment="1" applyBorder="1" applyFont="1">
      <alignment vertical="bottom"/>
    </xf>
    <xf borderId="10" fillId="3" fontId="8" numFmtId="0" xfId="0" applyAlignment="1" applyBorder="1" applyFont="1">
      <alignment vertical="bottom"/>
    </xf>
    <xf borderId="12" fillId="0" fontId="2" numFmtId="0" xfId="0" applyAlignment="1" applyBorder="1" applyFont="1">
      <alignment vertical="bottom"/>
    </xf>
    <xf borderId="11" fillId="3" fontId="2" numFmtId="165" xfId="0" applyAlignment="1" applyBorder="1" applyFont="1" applyNumberFormat="1">
      <alignment vertical="bottom"/>
    </xf>
    <xf borderId="26" fillId="2" fontId="1" numFmtId="0" xfId="0" applyBorder="1" applyFont="1"/>
    <xf borderId="27" fillId="5" fontId="9" numFmtId="0" xfId="0" applyAlignment="1" applyBorder="1" applyFont="1">
      <alignment horizontal="center" vertical="center"/>
    </xf>
    <xf borderId="27" fillId="5" fontId="9" numFmtId="0" xfId="0" applyAlignment="1" applyBorder="1" applyFont="1">
      <alignment horizontal="left" vertical="center"/>
    </xf>
    <xf borderId="27" fillId="5" fontId="9" numFmtId="164" xfId="0" applyAlignment="1" applyBorder="1" applyFont="1" applyNumberFormat="1">
      <alignment horizontal="center" shrinkToFit="0" vertical="center" wrapText="1"/>
    </xf>
    <xf borderId="27" fillId="5" fontId="9" numFmtId="166" xfId="0" applyAlignment="1" applyBorder="1" applyFont="1" applyNumberFormat="1">
      <alignment horizontal="center" vertical="center"/>
    </xf>
    <xf borderId="28" fillId="5" fontId="9" numFmtId="0" xfId="0" applyAlignment="1" applyBorder="1" applyFont="1">
      <alignment horizontal="center" vertical="center"/>
    </xf>
    <xf borderId="27" fillId="5" fontId="9" numFmtId="0" xfId="0" applyAlignment="1" applyBorder="1" applyFont="1">
      <alignment horizontal="center" shrinkToFit="0" vertical="center" wrapText="1"/>
    </xf>
    <xf borderId="28" fillId="5" fontId="9" numFmtId="166" xfId="0" applyAlignment="1" applyBorder="1" applyFont="1" applyNumberFormat="1">
      <alignment horizontal="center" vertical="center"/>
    </xf>
    <xf borderId="29" fillId="2" fontId="1" numFmtId="166" xfId="0" applyAlignment="1" applyBorder="1" applyFont="1" applyNumberFormat="1">
      <alignment horizontal="center" vertical="center"/>
    </xf>
    <xf borderId="30" fillId="0" fontId="6" numFmtId="0" xfId="0" applyBorder="1" applyFont="1"/>
    <xf borderId="31" fillId="5" fontId="9" numFmtId="0" xfId="0" applyAlignment="1" applyBorder="1" applyFont="1">
      <alignment horizontal="center" vertical="center"/>
    </xf>
    <xf borderId="31" fillId="5" fontId="9" numFmtId="166" xfId="0" applyAlignment="1" applyBorder="1" applyFont="1" applyNumberFormat="1">
      <alignment horizontal="center" vertical="center"/>
    </xf>
    <xf borderId="26" fillId="2" fontId="1" numFmtId="0" xfId="0" applyAlignment="1" applyBorder="1" applyFont="1">
      <alignment vertical="center"/>
    </xf>
    <xf borderId="32" fillId="2" fontId="1" numFmtId="1" xfId="0" applyAlignment="1" applyBorder="1" applyFont="1" applyNumberFormat="1">
      <alignment horizontal="center" vertical="center"/>
    </xf>
    <xf borderId="32" fillId="2" fontId="1" numFmtId="0" xfId="0" applyAlignment="1" applyBorder="1" applyFont="1">
      <alignment shrinkToFit="0" vertical="center" wrapText="1"/>
    </xf>
    <xf borderId="32" fillId="2" fontId="1" numFmtId="3" xfId="0" applyAlignment="1" applyBorder="1" applyFont="1" applyNumberFormat="1">
      <alignment horizontal="center" vertical="center"/>
    </xf>
    <xf borderId="32" fillId="2" fontId="1" numFmtId="164" xfId="0" applyAlignment="1" applyBorder="1" applyFont="1" applyNumberFormat="1">
      <alignment horizontal="center" vertical="center"/>
    </xf>
    <xf borderId="32" fillId="2" fontId="2" numFmtId="9" xfId="0" applyAlignment="1" applyBorder="1" applyFont="1" applyNumberFormat="1">
      <alignment horizontal="center" vertical="center"/>
    </xf>
    <xf borderId="32" fillId="2" fontId="2" numFmtId="166" xfId="0" applyAlignment="1" applyBorder="1" applyFont="1" applyNumberFormat="1">
      <alignment horizontal="center" vertical="center"/>
    </xf>
    <xf borderId="32" fillId="7" fontId="10" numFmtId="0" xfId="0" applyAlignment="1" applyBorder="1" applyFill="1" applyFont="1">
      <alignment horizontal="center" vertical="center"/>
    </xf>
    <xf borderId="32" fillId="2" fontId="11" numFmtId="166" xfId="0" applyAlignment="1" applyBorder="1" applyFont="1" applyNumberFormat="1">
      <alignment horizontal="center" vertical="center"/>
    </xf>
    <xf borderId="1" fillId="4" fontId="1" numFmtId="167" xfId="0" applyAlignment="1" applyBorder="1" applyFont="1" applyNumberFormat="1">
      <alignment horizontal="center" vertical="center"/>
    </xf>
    <xf borderId="33" fillId="2" fontId="1" numFmtId="1" xfId="0" applyAlignment="1" applyBorder="1" applyFont="1" applyNumberFormat="1">
      <alignment horizontal="center" vertical="center"/>
    </xf>
    <xf borderId="33" fillId="2" fontId="1" numFmtId="0" xfId="0" applyAlignment="1" applyBorder="1" applyFont="1">
      <alignment shrinkToFit="0" vertical="center" wrapText="1"/>
    </xf>
    <xf borderId="33" fillId="2" fontId="1" numFmtId="3" xfId="0" applyAlignment="1" applyBorder="1" applyFont="1" applyNumberFormat="1">
      <alignment horizontal="center" vertical="center"/>
    </xf>
    <xf borderId="33" fillId="2" fontId="1" numFmtId="164" xfId="0" applyAlignment="1" applyBorder="1" applyFont="1" applyNumberFormat="1">
      <alignment horizontal="center" vertical="center"/>
    </xf>
    <xf borderId="33" fillId="2" fontId="2" numFmtId="9" xfId="0" applyAlignment="1" applyBorder="1" applyFont="1" applyNumberFormat="1">
      <alignment horizontal="center" vertical="center"/>
    </xf>
    <xf borderId="33" fillId="2" fontId="2" numFmtId="166" xfId="0" applyAlignment="1" applyBorder="1" applyFont="1" applyNumberFormat="1">
      <alignment horizontal="center" vertical="center"/>
    </xf>
    <xf borderId="33" fillId="7" fontId="10" numFmtId="0" xfId="0" applyAlignment="1" applyBorder="1" applyFont="1">
      <alignment horizontal="center" vertical="center"/>
    </xf>
    <xf borderId="33" fillId="2" fontId="11" numFmtId="166" xfId="0" applyAlignment="1" applyBorder="1" applyFont="1" applyNumberFormat="1">
      <alignment horizontal="center" vertical="center"/>
    </xf>
    <xf borderId="34" fillId="2" fontId="1" numFmtId="1" xfId="0" applyAlignment="1" applyBorder="1" applyFont="1" applyNumberFormat="1">
      <alignment horizontal="center" vertical="center"/>
    </xf>
    <xf borderId="34" fillId="2" fontId="1" numFmtId="0" xfId="0" applyAlignment="1" applyBorder="1" applyFont="1">
      <alignment shrinkToFit="0" vertical="center" wrapText="1"/>
    </xf>
    <xf borderId="34" fillId="2" fontId="1" numFmtId="3" xfId="0" applyAlignment="1" applyBorder="1" applyFont="1" applyNumberFormat="1">
      <alignment horizontal="center" vertical="center"/>
    </xf>
    <xf borderId="34" fillId="2" fontId="1" numFmtId="164" xfId="0" applyAlignment="1" applyBorder="1" applyFont="1" applyNumberFormat="1">
      <alignment horizontal="center" vertical="center"/>
    </xf>
    <xf borderId="34" fillId="2" fontId="2" numFmtId="9" xfId="0" applyAlignment="1" applyBorder="1" applyFont="1" applyNumberFormat="1">
      <alignment horizontal="center" vertical="center"/>
    </xf>
    <xf borderId="34" fillId="2" fontId="2" numFmtId="166" xfId="0" applyAlignment="1" applyBorder="1" applyFont="1" applyNumberFormat="1">
      <alignment horizontal="center" vertical="center"/>
    </xf>
    <xf borderId="34" fillId="7" fontId="10" numFmtId="0" xfId="0" applyAlignment="1" applyBorder="1" applyFont="1">
      <alignment horizontal="center" vertical="center"/>
    </xf>
    <xf borderId="34" fillId="2" fontId="11" numFmtId="166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vertical="center"/>
    </xf>
    <xf borderId="35" fillId="2" fontId="1" numFmtId="166" xfId="0" applyAlignment="1" applyBorder="1" applyFont="1" applyNumberFormat="1">
      <alignment horizontal="center" vertical="center"/>
    </xf>
    <xf borderId="35" fillId="2" fontId="1" numFmtId="1" xfId="0" applyAlignment="1" applyBorder="1" applyFont="1" applyNumberFormat="1">
      <alignment horizontal="center" vertical="center"/>
    </xf>
    <xf borderId="35" fillId="2" fontId="1" numFmtId="0" xfId="0" applyAlignment="1" applyBorder="1" applyFont="1">
      <alignment horizontal="left" vertical="center"/>
    </xf>
    <xf borderId="1" fillId="2" fontId="1" numFmtId="1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left" vertical="center"/>
    </xf>
    <xf borderId="1" fillId="2" fontId="1" numFmtId="164" xfId="0" applyAlignment="1" applyBorder="1" applyFont="1" applyNumberFormat="1">
      <alignment vertical="center"/>
    </xf>
    <xf borderId="36" fillId="2" fontId="1" numFmtId="166" xfId="0" applyAlignment="1" applyBorder="1" applyFont="1" applyNumberFormat="1">
      <alignment horizontal="center" vertical="center"/>
    </xf>
    <xf borderId="37" fillId="5" fontId="9" numFmtId="168" xfId="0" applyAlignment="1" applyBorder="1" applyFont="1" applyNumberFormat="1">
      <alignment horizontal="center" vertical="center"/>
    </xf>
    <xf borderId="37" fillId="5" fontId="9" numFmtId="3" xfId="0" applyAlignment="1" applyBorder="1" applyFont="1" applyNumberFormat="1">
      <alignment horizontal="center" vertical="center"/>
    </xf>
    <xf borderId="37" fillId="5" fontId="9" numFmtId="166" xfId="0" applyAlignment="1" applyBorder="1" applyFont="1" applyNumberFormat="1">
      <alignment horizontal="center" vertical="center"/>
    </xf>
    <xf borderId="1" fillId="2" fontId="1" numFmtId="167" xfId="0" applyAlignment="1" applyBorder="1" applyFont="1" applyNumberFormat="1">
      <alignment horizontal="center" vertical="center"/>
    </xf>
    <xf borderId="1" fillId="4" fontId="1" numFmtId="0" xfId="0" applyAlignment="1" applyBorder="1" applyFont="1">
      <alignment horizontal="center"/>
    </xf>
    <xf borderId="1" fillId="4" fontId="1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152400</xdr:colOff>
      <xdr:row>7</xdr:row>
      <xdr:rowOff>95250</xdr:rowOff>
    </xdr:from>
    <xdr:ext cx="3705225" cy="8477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542925</xdr:colOff>
      <xdr:row>0</xdr:row>
      <xdr:rowOff>161925</xdr:rowOff>
    </xdr:from>
    <xdr:ext cx="4733925" cy="90487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distributiongate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9.71"/>
    <col customWidth="1" min="3" max="3" width="20.0"/>
    <col customWidth="1" min="4" max="4" width="64.0"/>
    <col customWidth="1" min="5" max="5" width="15.86"/>
    <col customWidth="1" min="6" max="6" width="11.86"/>
    <col customWidth="1" min="7" max="7" width="15.29"/>
    <col customWidth="1" min="8" max="8" width="16.0"/>
    <col customWidth="1" min="9" max="9" width="16.71"/>
    <col customWidth="1" min="10" max="11" width="14.71"/>
    <col customWidth="1" min="12" max="13" width="6.86"/>
    <col customWidth="1" min="14" max="14" width="2.29"/>
    <col customWidth="1" min="15" max="27" width="8.71"/>
  </cols>
  <sheetData>
    <row r="1" ht="15.75" customHeight="1">
      <c r="A1" s="1"/>
      <c r="B1" s="2"/>
      <c r="C1" s="3"/>
      <c r="D1" s="4"/>
      <c r="E1" s="5" t="s">
        <v>0</v>
      </c>
      <c r="F1" s="6" t="s">
        <v>1</v>
      </c>
      <c r="G1" s="7"/>
      <c r="H1" s="7"/>
      <c r="I1" s="7"/>
      <c r="J1" s="7"/>
      <c r="K1" s="7"/>
      <c r="L1" s="7"/>
      <c r="M1" s="8"/>
      <c r="N1" s="1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ht="15.75" customHeight="1">
      <c r="A2" s="1"/>
      <c r="B2" s="10"/>
      <c r="C2" s="11"/>
      <c r="D2" s="12"/>
      <c r="E2" s="13" t="s">
        <v>2</v>
      </c>
      <c r="F2" s="14" t="s">
        <v>3</v>
      </c>
      <c r="G2" s="15"/>
      <c r="H2" s="15"/>
      <c r="I2" s="15"/>
      <c r="J2" s="15"/>
      <c r="K2" s="15"/>
      <c r="L2" s="15"/>
      <c r="M2" s="16"/>
      <c r="N2" s="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15.75" customHeight="1">
      <c r="A3" s="17"/>
      <c r="B3" s="10"/>
      <c r="C3" s="18"/>
      <c r="D3" s="19"/>
      <c r="E3" s="20" t="s">
        <v>4</v>
      </c>
      <c r="F3" s="21" t="s">
        <v>5</v>
      </c>
      <c r="G3" s="11"/>
      <c r="H3" s="11"/>
      <c r="I3" s="11"/>
      <c r="J3" s="11"/>
      <c r="K3" s="11"/>
      <c r="L3" s="11"/>
      <c r="M3" s="22"/>
      <c r="N3" s="23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5.75" customHeight="1">
      <c r="A4" s="1"/>
      <c r="B4" s="10"/>
      <c r="C4" s="11"/>
      <c r="D4" s="24"/>
      <c r="E4" s="20" t="s">
        <v>6</v>
      </c>
      <c r="F4" s="25" t="s">
        <v>7</v>
      </c>
      <c r="G4" s="26"/>
      <c r="H4" s="26"/>
      <c r="I4" s="26"/>
      <c r="J4" s="11"/>
      <c r="K4" s="11"/>
      <c r="L4" s="11"/>
      <c r="M4" s="22"/>
      <c r="N4" s="1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15.75" customHeight="1">
      <c r="A5" s="1"/>
      <c r="B5" s="10"/>
      <c r="C5" s="11"/>
      <c r="D5" s="24"/>
      <c r="E5" s="20" t="s">
        <v>8</v>
      </c>
      <c r="F5" s="27" t="s">
        <v>9</v>
      </c>
      <c r="G5" s="26"/>
      <c r="H5" s="26"/>
      <c r="I5" s="26"/>
      <c r="J5" s="11"/>
      <c r="K5" s="11"/>
      <c r="L5" s="11"/>
      <c r="M5" s="22"/>
      <c r="N5" s="1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18.0" customHeight="1">
      <c r="A6" s="1"/>
      <c r="B6" s="28"/>
      <c r="C6" s="29"/>
      <c r="D6" s="30"/>
      <c r="E6" s="31"/>
      <c r="F6" s="32"/>
      <c r="G6" s="33"/>
      <c r="H6" s="34"/>
      <c r="I6" s="33"/>
      <c r="J6" s="34"/>
      <c r="K6" s="29"/>
      <c r="L6" s="34"/>
      <c r="M6" s="35"/>
      <c r="N6" s="1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</row>
    <row r="7" ht="18.0" customHeight="1">
      <c r="A7" s="1"/>
      <c r="B7" s="37"/>
      <c r="C7" s="38"/>
      <c r="D7" s="39"/>
      <c r="E7" s="40"/>
      <c r="F7" s="41"/>
      <c r="G7" s="41"/>
      <c r="H7" s="41"/>
      <c r="I7" s="41"/>
      <c r="J7" s="41"/>
      <c r="K7" s="41"/>
      <c r="L7" s="41"/>
      <c r="M7" s="42"/>
      <c r="N7" s="1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</row>
    <row r="8" ht="18.0" customHeight="1">
      <c r="A8" s="1"/>
      <c r="B8" s="43"/>
      <c r="C8" s="44" t="s">
        <v>10</v>
      </c>
      <c r="D8" s="42"/>
      <c r="E8" s="45"/>
      <c r="F8" s="46"/>
      <c r="G8" s="46"/>
      <c r="H8" s="47"/>
      <c r="I8" s="46"/>
      <c r="J8" s="47"/>
      <c r="K8" s="48"/>
      <c r="L8" s="47"/>
      <c r="M8" s="49"/>
      <c r="N8" s="1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ht="18.0" customHeight="1">
      <c r="A9" s="1"/>
      <c r="B9" s="50"/>
      <c r="C9" s="51" t="s">
        <v>11</v>
      </c>
      <c r="D9" s="52"/>
      <c r="E9" s="53"/>
      <c r="F9" s="15"/>
      <c r="G9" s="15"/>
      <c r="H9" s="54"/>
      <c r="I9" s="15"/>
      <c r="J9" s="54"/>
      <c r="K9" s="11"/>
      <c r="L9" s="54"/>
      <c r="M9" s="55"/>
      <c r="N9" s="5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ht="18.0" customHeight="1">
      <c r="A10" s="1"/>
      <c r="B10" s="50"/>
      <c r="C10" s="57" t="s">
        <v>12</v>
      </c>
      <c r="D10" s="58"/>
      <c r="E10" s="53"/>
      <c r="F10" s="15"/>
      <c r="G10" s="15"/>
      <c r="H10" s="54"/>
      <c r="I10" s="15"/>
      <c r="J10" s="54"/>
      <c r="K10" s="11"/>
      <c r="L10" s="54"/>
      <c r="M10" s="55"/>
      <c r="N10" s="5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</row>
    <row r="11" ht="18.0" hidden="1" customHeight="1">
      <c r="A11" s="1"/>
      <c r="B11" s="59"/>
      <c r="C11" s="60" t="s">
        <v>13</v>
      </c>
      <c r="D11" s="61"/>
      <c r="E11" s="53"/>
      <c r="F11" s="15"/>
      <c r="G11" s="15"/>
      <c r="H11" s="54"/>
      <c r="I11" s="54"/>
      <c r="J11" s="54"/>
      <c r="K11" s="11"/>
      <c r="L11" s="54"/>
      <c r="M11" s="55"/>
      <c r="N11" s="5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</row>
    <row r="12" ht="18.75" customHeight="1">
      <c r="A12" s="1"/>
      <c r="B12" s="59"/>
      <c r="C12" s="62" t="s">
        <v>14</v>
      </c>
      <c r="D12" s="63"/>
      <c r="E12" s="53"/>
      <c r="F12" s="54"/>
      <c r="G12" s="54"/>
      <c r="H12" s="54"/>
      <c r="I12" s="54"/>
      <c r="J12" s="64"/>
      <c r="K12" s="54"/>
      <c r="L12" s="54"/>
      <c r="M12" s="55"/>
      <c r="N12" s="5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</row>
    <row r="13" ht="18.75" customHeight="1">
      <c r="A13" s="1"/>
      <c r="B13" s="65"/>
      <c r="C13" s="66" t="s">
        <v>15</v>
      </c>
      <c r="D13" s="67"/>
      <c r="E13" s="28"/>
      <c r="F13" s="29"/>
      <c r="G13" s="68"/>
      <c r="H13" s="68"/>
      <c r="I13" s="34"/>
      <c r="J13" s="34"/>
      <c r="K13" s="34"/>
      <c r="L13" s="34"/>
      <c r="M13" s="35"/>
      <c r="N13" s="5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</row>
    <row r="14" ht="15.75" customHeight="1">
      <c r="A14" s="69"/>
      <c r="B14" s="70" t="s">
        <v>16</v>
      </c>
      <c r="C14" s="70" t="s">
        <v>17</v>
      </c>
      <c r="D14" s="71" t="s">
        <v>18</v>
      </c>
      <c r="E14" s="70" t="s">
        <v>19</v>
      </c>
      <c r="F14" s="72" t="s">
        <v>20</v>
      </c>
      <c r="G14" s="72" t="s">
        <v>21</v>
      </c>
      <c r="H14" s="72" t="s">
        <v>22</v>
      </c>
      <c r="I14" s="73" t="s">
        <v>23</v>
      </c>
      <c r="J14" s="74" t="s">
        <v>24</v>
      </c>
      <c r="K14" s="75" t="s">
        <v>25</v>
      </c>
      <c r="L14" s="74" t="s">
        <v>26</v>
      </c>
      <c r="M14" s="76" t="s">
        <v>26</v>
      </c>
      <c r="N14" s="77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</row>
    <row r="15" ht="22.5" customHeight="1">
      <c r="A15" s="69"/>
      <c r="B15" s="78"/>
      <c r="C15" s="78"/>
      <c r="D15" s="78"/>
      <c r="E15" s="78"/>
      <c r="F15" s="78"/>
      <c r="G15" s="78"/>
      <c r="H15" s="78"/>
      <c r="I15" s="78"/>
      <c r="J15" s="79" t="s">
        <v>27</v>
      </c>
      <c r="K15" s="78"/>
      <c r="L15" s="79" t="s">
        <v>24</v>
      </c>
      <c r="M15" s="80" t="s">
        <v>28</v>
      </c>
      <c r="N15" s="77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ht="18.0" customHeight="1">
      <c r="A16" s="81"/>
      <c r="B16" s="82" t="str">
        <f>"4032"</f>
        <v>4032</v>
      </c>
      <c r="C16" s="82" t="str">
        <f>"693102040328"</f>
        <v>693102040328</v>
      </c>
      <c r="D16" s="83" t="s">
        <v>29</v>
      </c>
      <c r="E16" s="84" t="s">
        <v>30</v>
      </c>
      <c r="F16" s="85">
        <v>22.0</v>
      </c>
      <c r="G16" s="85">
        <v>11.0</v>
      </c>
      <c r="H16" s="86">
        <v>0.604</v>
      </c>
      <c r="I16" s="87">
        <v>10.4544</v>
      </c>
      <c r="J16" s="84" t="s">
        <v>31</v>
      </c>
      <c r="K16" s="88"/>
      <c r="L16" s="84" t="str">
        <f t="shared" ref="L16:L1040" si="1">K16</f>
        <v/>
      </c>
      <c r="M16" s="89">
        <f t="shared" ref="M16:M1040" si="2">L16*I16</f>
        <v>0</v>
      </c>
      <c r="N16" s="77"/>
      <c r="O16" s="90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</row>
    <row r="17" ht="18.0" customHeight="1">
      <c r="A17" s="81"/>
      <c r="B17" s="91" t="str">
        <f>"4021"</f>
        <v>4021</v>
      </c>
      <c r="C17" s="91" t="str">
        <f>"693102040212"</f>
        <v>693102040212</v>
      </c>
      <c r="D17" s="92" t="s">
        <v>32</v>
      </c>
      <c r="E17" s="93" t="s">
        <v>33</v>
      </c>
      <c r="F17" s="94">
        <v>22.0</v>
      </c>
      <c r="G17" s="94">
        <v>11.0</v>
      </c>
      <c r="H17" s="95">
        <v>0.604</v>
      </c>
      <c r="I17" s="96">
        <v>10.4544</v>
      </c>
      <c r="J17" s="93" t="s">
        <v>31</v>
      </c>
      <c r="K17" s="97"/>
      <c r="L17" s="93" t="str">
        <f t="shared" si="1"/>
        <v/>
      </c>
      <c r="M17" s="98">
        <f t="shared" si="2"/>
        <v>0</v>
      </c>
      <c r="N17" s="77"/>
      <c r="O17" s="90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ht="18.0" customHeight="1">
      <c r="A18" s="81"/>
      <c r="B18" s="91" t="str">
        <f>"4033"</f>
        <v>4033</v>
      </c>
      <c r="C18" s="91" t="str">
        <f>"693102040335"</f>
        <v>693102040335</v>
      </c>
      <c r="D18" s="92" t="s">
        <v>34</v>
      </c>
      <c r="E18" s="93" t="s">
        <v>30</v>
      </c>
      <c r="F18" s="94">
        <v>22.0</v>
      </c>
      <c r="G18" s="94">
        <v>11.0</v>
      </c>
      <c r="H18" s="95">
        <v>0.604</v>
      </c>
      <c r="I18" s="96">
        <v>10.4544</v>
      </c>
      <c r="J18" s="93" t="s">
        <v>31</v>
      </c>
      <c r="K18" s="97"/>
      <c r="L18" s="93" t="str">
        <f t="shared" si="1"/>
        <v/>
      </c>
      <c r="M18" s="98">
        <f t="shared" si="2"/>
        <v>0</v>
      </c>
      <c r="N18" s="77"/>
      <c r="O18" s="90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</row>
    <row r="19" ht="18.0" customHeight="1">
      <c r="A19" s="81"/>
      <c r="B19" s="91" t="str">
        <f>"4031"</f>
        <v>4031</v>
      </c>
      <c r="C19" s="91" t="str">
        <f>"693102040311"</f>
        <v>693102040311</v>
      </c>
      <c r="D19" s="92" t="s">
        <v>35</v>
      </c>
      <c r="E19" s="93" t="s">
        <v>33</v>
      </c>
      <c r="F19" s="94">
        <v>22.0</v>
      </c>
      <c r="G19" s="94">
        <v>11.0</v>
      </c>
      <c r="H19" s="95">
        <v>0.604</v>
      </c>
      <c r="I19" s="96">
        <v>10.4544</v>
      </c>
      <c r="J19" s="93" t="s">
        <v>31</v>
      </c>
      <c r="K19" s="97"/>
      <c r="L19" s="93" t="str">
        <f t="shared" si="1"/>
        <v/>
      </c>
      <c r="M19" s="98">
        <f t="shared" si="2"/>
        <v>0</v>
      </c>
      <c r="N19" s="77"/>
      <c r="O19" s="90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</row>
    <row r="20" ht="18.0" customHeight="1">
      <c r="A20" s="81"/>
      <c r="B20" s="91" t="str">
        <f>"4023"</f>
        <v>4023</v>
      </c>
      <c r="C20" s="91" t="str">
        <f>"693102040236"</f>
        <v>693102040236</v>
      </c>
      <c r="D20" s="92" t="s">
        <v>36</v>
      </c>
      <c r="E20" s="93" t="s">
        <v>33</v>
      </c>
      <c r="F20" s="94">
        <v>18.0</v>
      </c>
      <c r="G20" s="94">
        <v>9.0</v>
      </c>
      <c r="H20" s="95">
        <v>0.604</v>
      </c>
      <c r="I20" s="96">
        <v>8.5536</v>
      </c>
      <c r="J20" s="93" t="s">
        <v>31</v>
      </c>
      <c r="K20" s="97"/>
      <c r="L20" s="93" t="str">
        <f t="shared" si="1"/>
        <v/>
      </c>
      <c r="M20" s="98">
        <f t="shared" si="2"/>
        <v>0</v>
      </c>
      <c r="N20" s="77"/>
      <c r="O20" s="90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ht="18.0" customHeight="1">
      <c r="A21" s="81"/>
      <c r="B21" s="91" t="str">
        <f>"4030"</f>
        <v>4030</v>
      </c>
      <c r="C21" s="91" t="str">
        <f>"693102040304"</f>
        <v>693102040304</v>
      </c>
      <c r="D21" s="92" t="s">
        <v>37</v>
      </c>
      <c r="E21" s="93" t="s">
        <v>33</v>
      </c>
      <c r="F21" s="94">
        <v>22.0</v>
      </c>
      <c r="G21" s="94">
        <v>11.0</v>
      </c>
      <c r="H21" s="95">
        <v>0.604</v>
      </c>
      <c r="I21" s="96">
        <v>10.4544</v>
      </c>
      <c r="J21" s="93" t="s">
        <v>31</v>
      </c>
      <c r="K21" s="97"/>
      <c r="L21" s="93" t="str">
        <f t="shared" si="1"/>
        <v/>
      </c>
      <c r="M21" s="98">
        <f t="shared" si="2"/>
        <v>0</v>
      </c>
      <c r="N21" s="77"/>
      <c r="O21" s="90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</row>
    <row r="22" ht="18.0" customHeight="1">
      <c r="A22" s="81"/>
      <c r="B22" s="91" t="str">
        <f>"4061"</f>
        <v>4061</v>
      </c>
      <c r="C22" s="91" t="str">
        <f>"693102040618"</f>
        <v>693102040618</v>
      </c>
      <c r="D22" s="92" t="s">
        <v>38</v>
      </c>
      <c r="E22" s="93" t="s">
        <v>33</v>
      </c>
      <c r="F22" s="94">
        <v>18.0</v>
      </c>
      <c r="G22" s="94">
        <v>9.0</v>
      </c>
      <c r="H22" s="95">
        <v>0.604</v>
      </c>
      <c r="I22" s="96">
        <v>8.5536</v>
      </c>
      <c r="J22" s="93" t="s">
        <v>31</v>
      </c>
      <c r="K22" s="97"/>
      <c r="L22" s="93" t="str">
        <f t="shared" si="1"/>
        <v/>
      </c>
      <c r="M22" s="98">
        <f t="shared" si="2"/>
        <v>0</v>
      </c>
      <c r="N22" s="77"/>
      <c r="O22" s="90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</row>
    <row r="23" ht="18.0" customHeight="1">
      <c r="A23" s="81"/>
      <c r="B23" s="91" t="str">
        <f>"4064"</f>
        <v>4064</v>
      </c>
      <c r="C23" s="91" t="str">
        <f>"693102040649"</f>
        <v>693102040649</v>
      </c>
      <c r="D23" s="92" t="s">
        <v>39</v>
      </c>
      <c r="E23" s="93" t="s">
        <v>40</v>
      </c>
      <c r="F23" s="94">
        <v>20.0</v>
      </c>
      <c r="G23" s="94">
        <v>10.0</v>
      </c>
      <c r="H23" s="95">
        <v>0.604</v>
      </c>
      <c r="I23" s="96">
        <v>9.504</v>
      </c>
      <c r="J23" s="93" t="s">
        <v>31</v>
      </c>
      <c r="K23" s="97"/>
      <c r="L23" s="93" t="str">
        <f t="shared" si="1"/>
        <v/>
      </c>
      <c r="M23" s="98">
        <f t="shared" si="2"/>
        <v>0</v>
      </c>
      <c r="N23" s="77"/>
      <c r="O23" s="90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</row>
    <row r="24" ht="18.0" customHeight="1">
      <c r="A24" s="81"/>
      <c r="B24" s="91" t="str">
        <f>"40014"</f>
        <v>40014</v>
      </c>
      <c r="C24" s="91" t="str">
        <f>"693102400146"</f>
        <v>693102400146</v>
      </c>
      <c r="D24" s="92" t="s">
        <v>41</v>
      </c>
      <c r="E24" s="93" t="s">
        <v>42</v>
      </c>
      <c r="F24" s="94">
        <v>15.0</v>
      </c>
      <c r="G24" s="94">
        <v>7.5</v>
      </c>
      <c r="H24" s="95">
        <v>0.6039999999999999</v>
      </c>
      <c r="I24" s="96">
        <v>7.128</v>
      </c>
      <c r="J24" s="93" t="s">
        <v>31</v>
      </c>
      <c r="K24" s="97"/>
      <c r="L24" s="93" t="str">
        <f t="shared" si="1"/>
        <v/>
      </c>
      <c r="M24" s="98">
        <f t="shared" si="2"/>
        <v>0</v>
      </c>
      <c r="N24" s="77"/>
      <c r="O24" s="90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</row>
    <row r="25" ht="18.0" customHeight="1">
      <c r="A25" s="81"/>
      <c r="B25" s="91" t="str">
        <f>"40023"</f>
        <v>40023</v>
      </c>
      <c r="C25" s="91" t="str">
        <f>"693102400238"</f>
        <v>693102400238</v>
      </c>
      <c r="D25" s="92" t="s">
        <v>43</v>
      </c>
      <c r="E25" s="93" t="s">
        <v>40</v>
      </c>
      <c r="F25" s="94">
        <v>29.0</v>
      </c>
      <c r="G25" s="94">
        <v>14.5</v>
      </c>
      <c r="H25" s="95">
        <v>0.604</v>
      </c>
      <c r="I25" s="96">
        <v>13.780800000000005</v>
      </c>
      <c r="J25" s="93" t="s">
        <v>31</v>
      </c>
      <c r="K25" s="97"/>
      <c r="L25" s="93" t="str">
        <f t="shared" si="1"/>
        <v/>
      </c>
      <c r="M25" s="98">
        <f t="shared" si="2"/>
        <v>0</v>
      </c>
      <c r="N25" s="77"/>
      <c r="O25" s="90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</row>
    <row r="26" ht="18.0" customHeight="1">
      <c r="A26" s="81"/>
      <c r="B26" s="91" t="str">
        <f>"4034"</f>
        <v>4034</v>
      </c>
      <c r="C26" s="91" t="str">
        <f>"693102040342"</f>
        <v>693102040342</v>
      </c>
      <c r="D26" s="92" t="s">
        <v>44</v>
      </c>
      <c r="E26" s="93" t="s">
        <v>33</v>
      </c>
      <c r="F26" s="94">
        <v>18.0</v>
      </c>
      <c r="G26" s="94">
        <v>9.0</v>
      </c>
      <c r="H26" s="95">
        <v>0.604</v>
      </c>
      <c r="I26" s="96">
        <v>8.5536</v>
      </c>
      <c r="J26" s="93" t="s">
        <v>31</v>
      </c>
      <c r="K26" s="97"/>
      <c r="L26" s="93" t="str">
        <f t="shared" si="1"/>
        <v/>
      </c>
      <c r="M26" s="98">
        <f t="shared" si="2"/>
        <v>0</v>
      </c>
      <c r="N26" s="77"/>
      <c r="O26" s="90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</row>
    <row r="27" ht="18.0" customHeight="1">
      <c r="A27" s="81"/>
      <c r="B27" s="91" t="str">
        <f>"4035"</f>
        <v>4035</v>
      </c>
      <c r="C27" s="91" t="str">
        <f>"693102040359"</f>
        <v>693102040359</v>
      </c>
      <c r="D27" s="92" t="s">
        <v>45</v>
      </c>
      <c r="E27" s="93" t="s">
        <v>33</v>
      </c>
      <c r="F27" s="94">
        <v>18.0</v>
      </c>
      <c r="G27" s="94">
        <v>9.0</v>
      </c>
      <c r="H27" s="95">
        <v>0.604</v>
      </c>
      <c r="I27" s="96">
        <v>8.5536</v>
      </c>
      <c r="J27" s="93" t="s">
        <v>31</v>
      </c>
      <c r="K27" s="97"/>
      <c r="L27" s="93" t="str">
        <f t="shared" si="1"/>
        <v/>
      </c>
      <c r="M27" s="98">
        <f t="shared" si="2"/>
        <v>0</v>
      </c>
      <c r="N27" s="77"/>
      <c r="O27" s="90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</row>
    <row r="28" ht="18.0" customHeight="1">
      <c r="A28" s="81"/>
      <c r="B28" s="91" t="str">
        <f>"4026"</f>
        <v>4026</v>
      </c>
      <c r="C28" s="91" t="str">
        <f>"693102040267"</f>
        <v>693102040267</v>
      </c>
      <c r="D28" s="92" t="s">
        <v>46</v>
      </c>
      <c r="E28" s="93" t="s">
        <v>33</v>
      </c>
      <c r="F28" s="94">
        <v>18.0</v>
      </c>
      <c r="G28" s="94">
        <v>9.0</v>
      </c>
      <c r="H28" s="95">
        <v>0.604</v>
      </c>
      <c r="I28" s="96">
        <v>8.5536</v>
      </c>
      <c r="J28" s="93" t="s">
        <v>31</v>
      </c>
      <c r="K28" s="97"/>
      <c r="L28" s="93" t="str">
        <f t="shared" si="1"/>
        <v/>
      </c>
      <c r="M28" s="98">
        <f t="shared" si="2"/>
        <v>0</v>
      </c>
      <c r="N28" s="77"/>
      <c r="O28" s="90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</row>
    <row r="29" ht="18.0" customHeight="1">
      <c r="A29" s="81"/>
      <c r="B29" s="91" t="str">
        <f>"40001"</f>
        <v>40001</v>
      </c>
      <c r="C29" s="91" t="str">
        <f>"693102400016"</f>
        <v>693102400016</v>
      </c>
      <c r="D29" s="92" t="s">
        <v>47</v>
      </c>
      <c r="E29" s="93" t="s">
        <v>48</v>
      </c>
      <c r="F29" s="94">
        <v>16.0</v>
      </c>
      <c r="G29" s="94">
        <v>8.0</v>
      </c>
      <c r="H29" s="95">
        <v>0.604</v>
      </c>
      <c r="I29" s="96">
        <v>7.6032</v>
      </c>
      <c r="J29" s="93" t="s">
        <v>31</v>
      </c>
      <c r="K29" s="97"/>
      <c r="L29" s="93" t="str">
        <f t="shared" si="1"/>
        <v/>
      </c>
      <c r="M29" s="98">
        <f t="shared" si="2"/>
        <v>0</v>
      </c>
      <c r="N29" s="77"/>
      <c r="O29" s="90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</row>
    <row r="30" ht="18.0" customHeight="1">
      <c r="A30" s="81"/>
      <c r="B30" s="91" t="str">
        <f>"40400"</f>
        <v>40400</v>
      </c>
      <c r="C30" s="91" t="str">
        <f>"693102404007"</f>
        <v>693102404007</v>
      </c>
      <c r="D30" s="92" t="s">
        <v>49</v>
      </c>
      <c r="E30" s="93" t="s">
        <v>50</v>
      </c>
      <c r="F30" s="94">
        <v>22.0</v>
      </c>
      <c r="G30" s="94">
        <v>11.0</v>
      </c>
      <c r="H30" s="95">
        <v>0.604</v>
      </c>
      <c r="I30" s="96">
        <v>10.4544</v>
      </c>
      <c r="J30" s="93" t="s">
        <v>31</v>
      </c>
      <c r="K30" s="97"/>
      <c r="L30" s="93" t="str">
        <f t="shared" si="1"/>
        <v/>
      </c>
      <c r="M30" s="98">
        <f t="shared" si="2"/>
        <v>0</v>
      </c>
      <c r="N30" s="77"/>
      <c r="O30" s="90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</row>
    <row r="31" ht="18.0" customHeight="1">
      <c r="A31" s="81"/>
      <c r="B31" s="91" t="str">
        <f>"41114"</f>
        <v>41114</v>
      </c>
      <c r="C31" s="91" t="str">
        <f>"693102411142"</f>
        <v>693102411142</v>
      </c>
      <c r="D31" s="92" t="s">
        <v>51</v>
      </c>
      <c r="E31" s="93" t="s">
        <v>52</v>
      </c>
      <c r="F31" s="94">
        <v>34.0</v>
      </c>
      <c r="G31" s="94">
        <v>17.0</v>
      </c>
      <c r="H31" s="95">
        <v>0.6040000000000001</v>
      </c>
      <c r="I31" s="96">
        <v>16.1568</v>
      </c>
      <c r="J31" s="93" t="s">
        <v>31</v>
      </c>
      <c r="K31" s="97"/>
      <c r="L31" s="93" t="str">
        <f t="shared" si="1"/>
        <v/>
      </c>
      <c r="M31" s="98">
        <f t="shared" si="2"/>
        <v>0</v>
      </c>
      <c r="N31" s="77"/>
      <c r="O31" s="90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</row>
    <row r="32" ht="18.0" customHeight="1">
      <c r="A32" s="81"/>
      <c r="B32" s="91" t="str">
        <f>"41116"</f>
        <v>41116</v>
      </c>
      <c r="C32" s="91" t="str">
        <f>"693102411166"</f>
        <v>693102411166</v>
      </c>
      <c r="D32" s="92" t="s">
        <v>53</v>
      </c>
      <c r="E32" s="93" t="s">
        <v>52</v>
      </c>
      <c r="F32" s="94">
        <v>34.0</v>
      </c>
      <c r="G32" s="94">
        <v>17.0</v>
      </c>
      <c r="H32" s="95">
        <v>0.6040000000000001</v>
      </c>
      <c r="I32" s="96">
        <v>16.1568</v>
      </c>
      <c r="J32" s="93" t="s">
        <v>31</v>
      </c>
      <c r="K32" s="97"/>
      <c r="L32" s="93" t="str">
        <f t="shared" si="1"/>
        <v/>
      </c>
      <c r="M32" s="98">
        <f t="shared" si="2"/>
        <v>0</v>
      </c>
      <c r="N32" s="77"/>
      <c r="O32" s="90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</row>
    <row r="33" ht="18.0" customHeight="1">
      <c r="A33" s="81"/>
      <c r="B33" s="91" t="str">
        <f>"41117"</f>
        <v>41117</v>
      </c>
      <c r="C33" s="91" t="str">
        <f>"693102411173"</f>
        <v>693102411173</v>
      </c>
      <c r="D33" s="92" t="s">
        <v>54</v>
      </c>
      <c r="E33" s="93" t="s">
        <v>52</v>
      </c>
      <c r="F33" s="94">
        <v>26.0</v>
      </c>
      <c r="G33" s="94">
        <v>13.0</v>
      </c>
      <c r="H33" s="95">
        <v>0.604</v>
      </c>
      <c r="I33" s="96">
        <v>12.355199999999998</v>
      </c>
      <c r="J33" s="93" t="s">
        <v>31</v>
      </c>
      <c r="K33" s="97"/>
      <c r="L33" s="93" t="str">
        <f t="shared" si="1"/>
        <v/>
      </c>
      <c r="M33" s="98">
        <f t="shared" si="2"/>
        <v>0</v>
      </c>
      <c r="N33" s="77"/>
      <c r="O33" s="90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</row>
    <row r="34" ht="18.0" customHeight="1">
      <c r="A34" s="81"/>
      <c r="B34" s="91" t="str">
        <f>"41119"</f>
        <v>41119</v>
      </c>
      <c r="C34" s="91" t="str">
        <f>"693102411197"</f>
        <v>693102411197</v>
      </c>
      <c r="D34" s="92" t="s">
        <v>55</v>
      </c>
      <c r="E34" s="93" t="s">
        <v>52</v>
      </c>
      <c r="F34" s="94">
        <v>34.0</v>
      </c>
      <c r="G34" s="94">
        <v>17.0</v>
      </c>
      <c r="H34" s="95">
        <v>0.6040000000000001</v>
      </c>
      <c r="I34" s="96">
        <v>16.1568</v>
      </c>
      <c r="J34" s="93" t="s">
        <v>31</v>
      </c>
      <c r="K34" s="97"/>
      <c r="L34" s="93" t="str">
        <f t="shared" si="1"/>
        <v/>
      </c>
      <c r="M34" s="98">
        <f t="shared" si="2"/>
        <v>0</v>
      </c>
      <c r="N34" s="77"/>
      <c r="O34" s="90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ht="18.0" customHeight="1">
      <c r="A35" s="81"/>
      <c r="B35" s="91" t="str">
        <f>"4115"</f>
        <v>4115</v>
      </c>
      <c r="C35" s="91" t="str">
        <f>"693102041158"</f>
        <v>693102041158</v>
      </c>
      <c r="D35" s="92" t="s">
        <v>56</v>
      </c>
      <c r="E35" s="93" t="s">
        <v>57</v>
      </c>
      <c r="F35" s="94">
        <v>39.0</v>
      </c>
      <c r="G35" s="94">
        <v>19.5</v>
      </c>
      <c r="H35" s="95">
        <v>0.604</v>
      </c>
      <c r="I35" s="96">
        <v>18.532799999999998</v>
      </c>
      <c r="J35" s="93" t="s">
        <v>31</v>
      </c>
      <c r="K35" s="97"/>
      <c r="L35" s="93" t="str">
        <f t="shared" si="1"/>
        <v/>
      </c>
      <c r="M35" s="98">
        <f t="shared" si="2"/>
        <v>0</v>
      </c>
      <c r="N35" s="77"/>
      <c r="O35" s="90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</row>
    <row r="36" ht="18.0" customHeight="1">
      <c r="A36" s="81"/>
      <c r="B36" s="91" t="str">
        <f>"41123"</f>
        <v>41123</v>
      </c>
      <c r="C36" s="91" t="str">
        <f>"693102411234"</f>
        <v>693102411234</v>
      </c>
      <c r="D36" s="92" t="s">
        <v>58</v>
      </c>
      <c r="E36" s="93" t="s">
        <v>52</v>
      </c>
      <c r="F36" s="94">
        <v>34.0</v>
      </c>
      <c r="G36" s="94">
        <v>17.0</v>
      </c>
      <c r="H36" s="95">
        <v>0.6040000000000001</v>
      </c>
      <c r="I36" s="96">
        <v>16.1568</v>
      </c>
      <c r="J36" s="93" t="s">
        <v>31</v>
      </c>
      <c r="K36" s="97"/>
      <c r="L36" s="93" t="str">
        <f t="shared" si="1"/>
        <v/>
      </c>
      <c r="M36" s="98">
        <f t="shared" si="2"/>
        <v>0</v>
      </c>
      <c r="N36" s="77"/>
      <c r="O36" s="90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ht="18.0" customHeight="1">
      <c r="A37" s="81"/>
      <c r="B37" s="91" t="str">
        <f>"40000"</f>
        <v>40000</v>
      </c>
      <c r="C37" s="91" t="str">
        <f>"693102400009"</f>
        <v>693102400009</v>
      </c>
      <c r="D37" s="92" t="s">
        <v>59</v>
      </c>
      <c r="E37" s="93" t="s">
        <v>52</v>
      </c>
      <c r="F37" s="94">
        <v>34.0</v>
      </c>
      <c r="G37" s="94">
        <v>17.0</v>
      </c>
      <c r="H37" s="95">
        <v>0.6040000000000001</v>
      </c>
      <c r="I37" s="96">
        <v>16.1568</v>
      </c>
      <c r="J37" s="93" t="s">
        <v>31</v>
      </c>
      <c r="K37" s="97"/>
      <c r="L37" s="93" t="str">
        <f t="shared" si="1"/>
        <v/>
      </c>
      <c r="M37" s="98">
        <f t="shared" si="2"/>
        <v>0</v>
      </c>
      <c r="N37" s="77"/>
      <c r="O37" s="90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</row>
    <row r="38" ht="18.0" customHeight="1">
      <c r="A38" s="81"/>
      <c r="B38" s="91" t="str">
        <f>"41110"</f>
        <v>41110</v>
      </c>
      <c r="C38" s="91" t="str">
        <f>"693102411104"</f>
        <v>693102411104</v>
      </c>
      <c r="D38" s="92" t="s">
        <v>60</v>
      </c>
      <c r="E38" s="93" t="s">
        <v>52</v>
      </c>
      <c r="F38" s="94">
        <v>39.0</v>
      </c>
      <c r="G38" s="94">
        <v>19.5</v>
      </c>
      <c r="H38" s="95">
        <v>0.604</v>
      </c>
      <c r="I38" s="96">
        <v>18.532799999999998</v>
      </c>
      <c r="J38" s="93" t="s">
        <v>31</v>
      </c>
      <c r="K38" s="97"/>
      <c r="L38" s="93" t="str">
        <f t="shared" si="1"/>
        <v/>
      </c>
      <c r="M38" s="98">
        <f t="shared" si="2"/>
        <v>0</v>
      </c>
      <c r="N38" s="77"/>
      <c r="O38" s="90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</row>
    <row r="39" ht="18.0" customHeight="1">
      <c r="A39" s="81"/>
      <c r="B39" s="91" t="str">
        <f>"41111"</f>
        <v>41111</v>
      </c>
      <c r="C39" s="91" t="str">
        <f>"693102411111"</f>
        <v>693102411111</v>
      </c>
      <c r="D39" s="92" t="s">
        <v>61</v>
      </c>
      <c r="E39" s="93" t="s">
        <v>52</v>
      </c>
      <c r="F39" s="94">
        <v>39.0</v>
      </c>
      <c r="G39" s="94">
        <v>19.5</v>
      </c>
      <c r="H39" s="95">
        <v>0.604</v>
      </c>
      <c r="I39" s="96">
        <v>18.532799999999998</v>
      </c>
      <c r="J39" s="93" t="s">
        <v>31</v>
      </c>
      <c r="K39" s="97"/>
      <c r="L39" s="93" t="str">
        <f t="shared" si="1"/>
        <v/>
      </c>
      <c r="M39" s="98">
        <f t="shared" si="2"/>
        <v>0</v>
      </c>
      <c r="N39" s="77"/>
      <c r="O39" s="90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ht="18.0" customHeight="1">
      <c r="A40" s="81"/>
      <c r="B40" s="91" t="str">
        <f>"41300"</f>
        <v>41300</v>
      </c>
      <c r="C40" s="91" t="str">
        <f>"693102413009"</f>
        <v>693102413009</v>
      </c>
      <c r="D40" s="92" t="s">
        <v>62</v>
      </c>
      <c r="E40" s="93" t="s">
        <v>50</v>
      </c>
      <c r="F40" s="94">
        <v>49.0</v>
      </c>
      <c r="G40" s="94">
        <v>24.5</v>
      </c>
      <c r="H40" s="95">
        <v>0.604</v>
      </c>
      <c r="I40" s="96">
        <v>23.2848</v>
      </c>
      <c r="J40" s="93" t="s">
        <v>31</v>
      </c>
      <c r="K40" s="97"/>
      <c r="L40" s="93" t="str">
        <f t="shared" si="1"/>
        <v/>
      </c>
      <c r="M40" s="98">
        <f t="shared" si="2"/>
        <v>0</v>
      </c>
      <c r="N40" s="77"/>
      <c r="O40" s="90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ht="18.0" customHeight="1">
      <c r="A41" s="81"/>
      <c r="B41" s="91" t="str">
        <f>"41210"</f>
        <v>41210</v>
      </c>
      <c r="C41" s="91" t="str">
        <f>"693102412101"</f>
        <v>693102412101</v>
      </c>
      <c r="D41" s="92" t="s">
        <v>63</v>
      </c>
      <c r="E41" s="93" t="s">
        <v>50</v>
      </c>
      <c r="F41" s="94">
        <v>49.0</v>
      </c>
      <c r="G41" s="94">
        <v>24.5</v>
      </c>
      <c r="H41" s="95">
        <v>0.604</v>
      </c>
      <c r="I41" s="96">
        <v>23.2848</v>
      </c>
      <c r="J41" s="93" t="s">
        <v>31</v>
      </c>
      <c r="K41" s="97"/>
      <c r="L41" s="93" t="str">
        <f t="shared" si="1"/>
        <v/>
      </c>
      <c r="M41" s="98">
        <f t="shared" si="2"/>
        <v>0</v>
      </c>
      <c r="N41" s="77"/>
      <c r="O41" s="90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ht="18.0" customHeight="1">
      <c r="A42" s="81"/>
      <c r="B42" s="91" t="str">
        <f>"40091"</f>
        <v>40091</v>
      </c>
      <c r="C42" s="91" t="str">
        <f>"693102400917"</f>
        <v>693102400917</v>
      </c>
      <c r="D42" s="92" t="s">
        <v>64</v>
      </c>
      <c r="E42" s="93" t="s">
        <v>52</v>
      </c>
      <c r="F42" s="94">
        <v>39.0</v>
      </c>
      <c r="G42" s="94">
        <v>19.5</v>
      </c>
      <c r="H42" s="95">
        <v>0.604</v>
      </c>
      <c r="I42" s="96">
        <v>18.532799999999998</v>
      </c>
      <c r="J42" s="93" t="s">
        <v>31</v>
      </c>
      <c r="K42" s="97"/>
      <c r="L42" s="93" t="str">
        <f t="shared" si="1"/>
        <v/>
      </c>
      <c r="M42" s="98">
        <f t="shared" si="2"/>
        <v>0</v>
      </c>
      <c r="N42" s="77"/>
      <c r="O42" s="90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ht="18.0" customHeight="1">
      <c r="A43" s="81"/>
      <c r="B43" s="91" t="str">
        <f>"40093"</f>
        <v>40093</v>
      </c>
      <c r="C43" s="91" t="str">
        <f>"693102400931"</f>
        <v>693102400931</v>
      </c>
      <c r="D43" s="92" t="s">
        <v>65</v>
      </c>
      <c r="E43" s="93" t="s">
        <v>52</v>
      </c>
      <c r="F43" s="94">
        <v>58.0</v>
      </c>
      <c r="G43" s="94">
        <v>29.0</v>
      </c>
      <c r="H43" s="95">
        <v>0.604</v>
      </c>
      <c r="I43" s="96">
        <v>27.5616</v>
      </c>
      <c r="J43" s="93" t="s">
        <v>31</v>
      </c>
      <c r="K43" s="97"/>
      <c r="L43" s="93" t="str">
        <f t="shared" si="1"/>
        <v/>
      </c>
      <c r="M43" s="98">
        <f t="shared" si="2"/>
        <v>0</v>
      </c>
      <c r="N43" s="77"/>
      <c r="O43" s="90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</row>
    <row r="44" ht="18.0" customHeight="1">
      <c r="A44" s="81"/>
      <c r="B44" s="91" t="str">
        <f>"40099"</f>
        <v>40099</v>
      </c>
      <c r="C44" s="91" t="str">
        <f>"693102400993"</f>
        <v>693102400993</v>
      </c>
      <c r="D44" s="92" t="s">
        <v>66</v>
      </c>
      <c r="E44" s="93" t="s">
        <v>52</v>
      </c>
      <c r="F44" s="94">
        <v>69.0</v>
      </c>
      <c r="G44" s="94">
        <v>34.5</v>
      </c>
      <c r="H44" s="95">
        <v>0.604</v>
      </c>
      <c r="I44" s="96">
        <v>32.788799999999995</v>
      </c>
      <c r="J44" s="93" t="s">
        <v>31</v>
      </c>
      <c r="K44" s="97"/>
      <c r="L44" s="93" t="str">
        <f t="shared" si="1"/>
        <v/>
      </c>
      <c r="M44" s="98">
        <f t="shared" si="2"/>
        <v>0</v>
      </c>
      <c r="N44" s="77"/>
      <c r="O44" s="90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</row>
    <row r="45" ht="18.0" customHeight="1">
      <c r="A45" s="81"/>
      <c r="B45" s="91" t="str">
        <f>"40098"</f>
        <v>40098</v>
      </c>
      <c r="C45" s="91" t="str">
        <f>"693102400986"</f>
        <v>693102400986</v>
      </c>
      <c r="D45" s="92" t="s">
        <v>67</v>
      </c>
      <c r="E45" s="93" t="s">
        <v>52</v>
      </c>
      <c r="F45" s="94">
        <v>49.0</v>
      </c>
      <c r="G45" s="94">
        <v>24.5</v>
      </c>
      <c r="H45" s="95">
        <v>0.604</v>
      </c>
      <c r="I45" s="96">
        <v>23.2848</v>
      </c>
      <c r="J45" s="93" t="s">
        <v>31</v>
      </c>
      <c r="K45" s="97"/>
      <c r="L45" s="93" t="str">
        <f t="shared" si="1"/>
        <v/>
      </c>
      <c r="M45" s="98">
        <f t="shared" si="2"/>
        <v>0</v>
      </c>
      <c r="N45" s="77"/>
      <c r="O45" s="90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</row>
    <row r="46" ht="18.0" customHeight="1">
      <c r="A46" s="81"/>
      <c r="B46" s="91" t="str">
        <f>"40195"</f>
        <v>40195</v>
      </c>
      <c r="C46" s="91" t="str">
        <f>"693102401952"</f>
        <v>693102401952</v>
      </c>
      <c r="D46" s="92" t="s">
        <v>68</v>
      </c>
      <c r="E46" s="93" t="s">
        <v>52</v>
      </c>
      <c r="F46" s="94">
        <v>69.0</v>
      </c>
      <c r="G46" s="94">
        <v>34.5</v>
      </c>
      <c r="H46" s="95">
        <v>0.604</v>
      </c>
      <c r="I46" s="96">
        <v>32.788799999999995</v>
      </c>
      <c r="J46" s="93" t="s">
        <v>31</v>
      </c>
      <c r="K46" s="97"/>
      <c r="L46" s="93" t="str">
        <f t="shared" si="1"/>
        <v/>
      </c>
      <c r="M46" s="98">
        <f t="shared" si="2"/>
        <v>0</v>
      </c>
      <c r="N46" s="77"/>
      <c r="O46" s="90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</row>
    <row r="47" ht="18.0" customHeight="1">
      <c r="A47" s="81"/>
      <c r="B47" s="91" t="str">
        <f>"41113"</f>
        <v>41113</v>
      </c>
      <c r="C47" s="91" t="str">
        <f>"693102411135"</f>
        <v>693102411135</v>
      </c>
      <c r="D47" s="92" t="s">
        <v>69</v>
      </c>
      <c r="E47" s="93" t="s">
        <v>52</v>
      </c>
      <c r="F47" s="94">
        <v>49.0</v>
      </c>
      <c r="G47" s="94">
        <v>24.5</v>
      </c>
      <c r="H47" s="95">
        <v>0.604</v>
      </c>
      <c r="I47" s="96">
        <v>23.2848</v>
      </c>
      <c r="J47" s="93" t="s">
        <v>31</v>
      </c>
      <c r="K47" s="97"/>
      <c r="L47" s="93" t="str">
        <f t="shared" si="1"/>
        <v/>
      </c>
      <c r="M47" s="98">
        <f t="shared" si="2"/>
        <v>0</v>
      </c>
      <c r="N47" s="77"/>
      <c r="O47" s="90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  <row r="48" ht="18.0" customHeight="1">
      <c r="A48" s="81"/>
      <c r="B48" s="91" t="str">
        <f>"40096"</f>
        <v>40096</v>
      </c>
      <c r="C48" s="91" t="str">
        <f>"693102400962"</f>
        <v>693102400962</v>
      </c>
      <c r="D48" s="92" t="s">
        <v>70</v>
      </c>
      <c r="E48" s="93" t="s">
        <v>52</v>
      </c>
      <c r="F48" s="94">
        <v>34.0</v>
      </c>
      <c r="G48" s="94">
        <v>17.0</v>
      </c>
      <c r="H48" s="95">
        <v>0.6040000000000001</v>
      </c>
      <c r="I48" s="96">
        <v>16.1568</v>
      </c>
      <c r="J48" s="93" t="s">
        <v>31</v>
      </c>
      <c r="K48" s="97"/>
      <c r="L48" s="93" t="str">
        <f t="shared" si="1"/>
        <v/>
      </c>
      <c r="M48" s="98">
        <f t="shared" si="2"/>
        <v>0</v>
      </c>
      <c r="N48" s="77"/>
      <c r="O48" s="90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</row>
    <row r="49" ht="18.0" customHeight="1">
      <c r="A49" s="81"/>
      <c r="B49" s="91" t="str">
        <f>"4099"</f>
        <v>4099</v>
      </c>
      <c r="C49" s="91" t="str">
        <f>"693102040991"</f>
        <v>693102040991</v>
      </c>
      <c r="D49" s="92" t="s">
        <v>71</v>
      </c>
      <c r="E49" s="93" t="s">
        <v>57</v>
      </c>
      <c r="F49" s="94">
        <v>34.0</v>
      </c>
      <c r="G49" s="94">
        <v>17.0</v>
      </c>
      <c r="H49" s="95">
        <v>0.6040000000000001</v>
      </c>
      <c r="I49" s="96">
        <v>16.1568</v>
      </c>
      <c r="J49" s="93" t="s">
        <v>31</v>
      </c>
      <c r="K49" s="97"/>
      <c r="L49" s="93" t="str">
        <f t="shared" si="1"/>
        <v/>
      </c>
      <c r="M49" s="98">
        <f t="shared" si="2"/>
        <v>0</v>
      </c>
      <c r="N49" s="77"/>
      <c r="O49" s="90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</row>
    <row r="50" ht="18.0" customHeight="1">
      <c r="A50" s="81"/>
      <c r="B50" s="91" t="str">
        <f>"40020"</f>
        <v>40020</v>
      </c>
      <c r="C50" s="91" t="str">
        <f>"693102400207"</f>
        <v>693102400207</v>
      </c>
      <c r="D50" s="92" t="s">
        <v>72</v>
      </c>
      <c r="E50" s="93" t="s">
        <v>73</v>
      </c>
      <c r="F50" s="94">
        <v>69.0</v>
      </c>
      <c r="G50" s="94">
        <v>34.5</v>
      </c>
      <c r="H50" s="95">
        <v>0.604</v>
      </c>
      <c r="I50" s="96">
        <v>32.788799999999995</v>
      </c>
      <c r="J50" s="93" t="s">
        <v>31</v>
      </c>
      <c r="K50" s="97"/>
      <c r="L50" s="93" t="str">
        <f t="shared" si="1"/>
        <v/>
      </c>
      <c r="M50" s="98">
        <f t="shared" si="2"/>
        <v>0</v>
      </c>
      <c r="N50" s="77"/>
      <c r="O50" s="90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</row>
    <row r="51" ht="18.0" customHeight="1">
      <c r="A51" s="81"/>
      <c r="B51" s="91" t="str">
        <f>"40030"</f>
        <v>40030</v>
      </c>
      <c r="C51" s="91" t="str">
        <f>"693102400306"</f>
        <v>693102400306</v>
      </c>
      <c r="D51" s="92" t="s">
        <v>74</v>
      </c>
      <c r="E51" s="93" t="s">
        <v>52</v>
      </c>
      <c r="F51" s="94">
        <v>89.0</v>
      </c>
      <c r="G51" s="94">
        <v>44.5</v>
      </c>
      <c r="H51" s="95">
        <v>0.604</v>
      </c>
      <c r="I51" s="96">
        <v>42.2928</v>
      </c>
      <c r="J51" s="93" t="s">
        <v>31</v>
      </c>
      <c r="K51" s="97"/>
      <c r="L51" s="93" t="str">
        <f t="shared" si="1"/>
        <v/>
      </c>
      <c r="M51" s="98">
        <f t="shared" si="2"/>
        <v>0</v>
      </c>
      <c r="N51" s="77"/>
      <c r="O51" s="90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</row>
    <row r="52" ht="18.0" customHeight="1">
      <c r="A52" s="81"/>
      <c r="B52" s="91" t="str">
        <f>"40100"</f>
        <v>40100</v>
      </c>
      <c r="C52" s="91" t="str">
        <f>"693102401006"</f>
        <v>693102401006</v>
      </c>
      <c r="D52" s="92" t="s">
        <v>75</v>
      </c>
      <c r="E52" s="93" t="s">
        <v>50</v>
      </c>
      <c r="F52" s="94">
        <v>79.0</v>
      </c>
      <c r="G52" s="94">
        <v>39.5</v>
      </c>
      <c r="H52" s="95">
        <v>0.604</v>
      </c>
      <c r="I52" s="96">
        <v>37.5408</v>
      </c>
      <c r="J52" s="93" t="s">
        <v>31</v>
      </c>
      <c r="K52" s="97"/>
      <c r="L52" s="93" t="str">
        <f t="shared" si="1"/>
        <v/>
      </c>
      <c r="M52" s="98">
        <f t="shared" si="2"/>
        <v>0</v>
      </c>
      <c r="N52" s="77"/>
      <c r="O52" s="90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</row>
    <row r="53" ht="18.0" customHeight="1">
      <c r="A53" s="81"/>
      <c r="B53" s="91" t="str">
        <f>"4005"</f>
        <v>4005</v>
      </c>
      <c r="C53" s="91" t="str">
        <f>"693102040052"</f>
        <v>693102040052</v>
      </c>
      <c r="D53" s="92" t="s">
        <v>76</v>
      </c>
      <c r="E53" s="93" t="s">
        <v>77</v>
      </c>
      <c r="F53" s="94">
        <v>24.0</v>
      </c>
      <c r="G53" s="94">
        <v>12.0</v>
      </c>
      <c r="H53" s="95">
        <v>0.604</v>
      </c>
      <c r="I53" s="96">
        <v>11.4048</v>
      </c>
      <c r="J53" s="93" t="s">
        <v>31</v>
      </c>
      <c r="K53" s="97"/>
      <c r="L53" s="93" t="str">
        <f t="shared" si="1"/>
        <v/>
      </c>
      <c r="M53" s="98">
        <f t="shared" si="2"/>
        <v>0</v>
      </c>
      <c r="N53" s="77"/>
      <c r="O53" s="90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</row>
    <row r="54" ht="18.0" customHeight="1">
      <c r="A54" s="81"/>
      <c r="B54" s="91" t="str">
        <f>"4006"</f>
        <v>4006</v>
      </c>
      <c r="C54" s="91" t="str">
        <f>"693102040069"</f>
        <v>693102040069</v>
      </c>
      <c r="D54" s="92" t="s">
        <v>78</v>
      </c>
      <c r="E54" s="93" t="s">
        <v>79</v>
      </c>
      <c r="F54" s="94">
        <v>59.0</v>
      </c>
      <c r="G54" s="94">
        <v>29.5</v>
      </c>
      <c r="H54" s="95">
        <v>0.604</v>
      </c>
      <c r="I54" s="96">
        <v>28.0368</v>
      </c>
      <c r="J54" s="93" t="s">
        <v>31</v>
      </c>
      <c r="K54" s="97"/>
      <c r="L54" s="93" t="str">
        <f t="shared" si="1"/>
        <v/>
      </c>
      <c r="M54" s="98">
        <f t="shared" si="2"/>
        <v>0</v>
      </c>
      <c r="N54" s="77"/>
      <c r="O54" s="90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</row>
    <row r="55" ht="18.0" customHeight="1">
      <c r="A55" s="81"/>
      <c r="B55" s="91" t="str">
        <f>"4007"</f>
        <v>4007</v>
      </c>
      <c r="C55" s="91" t="str">
        <f>"693102040076"</f>
        <v>693102040076</v>
      </c>
      <c r="D55" s="92" t="s">
        <v>80</v>
      </c>
      <c r="E55" s="93" t="s">
        <v>57</v>
      </c>
      <c r="F55" s="94">
        <v>49.0</v>
      </c>
      <c r="G55" s="94">
        <v>24.5</v>
      </c>
      <c r="H55" s="95">
        <v>0.604</v>
      </c>
      <c r="I55" s="96">
        <v>23.2848</v>
      </c>
      <c r="J55" s="93" t="s">
        <v>31</v>
      </c>
      <c r="K55" s="97"/>
      <c r="L55" s="93" t="str">
        <f t="shared" si="1"/>
        <v/>
      </c>
      <c r="M55" s="98">
        <f t="shared" si="2"/>
        <v>0</v>
      </c>
      <c r="N55" s="77"/>
      <c r="O55" s="90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</row>
    <row r="56" ht="18.0" customHeight="1">
      <c r="A56" s="81"/>
      <c r="B56" s="91" t="str">
        <f>"40101"</f>
        <v>40101</v>
      </c>
      <c r="C56" s="91" t="str">
        <f>"693102401013"</f>
        <v>693102401013</v>
      </c>
      <c r="D56" s="92" t="s">
        <v>81</v>
      </c>
      <c r="E56" s="93" t="s">
        <v>82</v>
      </c>
      <c r="F56" s="94">
        <v>39.0</v>
      </c>
      <c r="G56" s="94">
        <v>19.5</v>
      </c>
      <c r="H56" s="95">
        <v>0.604</v>
      </c>
      <c r="I56" s="96">
        <v>18.532800000000005</v>
      </c>
      <c r="J56" s="93" t="s">
        <v>31</v>
      </c>
      <c r="K56" s="97"/>
      <c r="L56" s="93" t="str">
        <f t="shared" si="1"/>
        <v/>
      </c>
      <c r="M56" s="98">
        <f t="shared" si="2"/>
        <v>0</v>
      </c>
      <c r="N56" s="77"/>
      <c r="O56" s="90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</row>
    <row r="57" ht="18.0" customHeight="1">
      <c r="A57" s="81"/>
      <c r="B57" s="91" t="str">
        <f>"40102"</f>
        <v>40102</v>
      </c>
      <c r="C57" s="91" t="str">
        <f>"693102401020"</f>
        <v>693102401020</v>
      </c>
      <c r="D57" s="92" t="s">
        <v>83</v>
      </c>
      <c r="E57" s="93" t="s">
        <v>82</v>
      </c>
      <c r="F57" s="94">
        <v>59.0</v>
      </c>
      <c r="G57" s="94">
        <v>29.5</v>
      </c>
      <c r="H57" s="95">
        <v>0.604</v>
      </c>
      <c r="I57" s="96">
        <v>28.036800000000003</v>
      </c>
      <c r="J57" s="93" t="s">
        <v>31</v>
      </c>
      <c r="K57" s="97"/>
      <c r="L57" s="93" t="str">
        <f t="shared" si="1"/>
        <v/>
      </c>
      <c r="M57" s="98">
        <f t="shared" si="2"/>
        <v>0</v>
      </c>
      <c r="N57" s="77"/>
      <c r="O57" s="90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</row>
    <row r="58" ht="18.0" customHeight="1">
      <c r="A58" s="81"/>
      <c r="B58" s="91" t="str">
        <f>"40013"</f>
        <v>40013</v>
      </c>
      <c r="C58" s="91" t="str">
        <f>"693102400139"</f>
        <v>693102400139</v>
      </c>
      <c r="D58" s="92" t="s">
        <v>84</v>
      </c>
      <c r="E58" s="93" t="s">
        <v>82</v>
      </c>
      <c r="F58" s="94">
        <v>39.0</v>
      </c>
      <c r="G58" s="94">
        <v>19.5</v>
      </c>
      <c r="H58" s="95">
        <v>0.604</v>
      </c>
      <c r="I58" s="96">
        <v>18.532799999999998</v>
      </c>
      <c r="J58" s="93" t="s">
        <v>31</v>
      </c>
      <c r="K58" s="97"/>
      <c r="L58" s="93" t="str">
        <f t="shared" si="1"/>
        <v/>
      </c>
      <c r="M58" s="98">
        <f t="shared" si="2"/>
        <v>0</v>
      </c>
      <c r="N58" s="77"/>
      <c r="O58" s="90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</row>
    <row r="59" ht="18.0" customHeight="1">
      <c r="A59" s="81"/>
      <c r="B59" s="91" t="str">
        <f>"40037"</f>
        <v>40037</v>
      </c>
      <c r="C59" s="91" t="str">
        <f>"693102400375"</f>
        <v>693102400375</v>
      </c>
      <c r="D59" s="92" t="s">
        <v>85</v>
      </c>
      <c r="E59" s="93" t="s">
        <v>50</v>
      </c>
      <c r="F59" s="94">
        <v>49.0</v>
      </c>
      <c r="G59" s="94">
        <v>24.5</v>
      </c>
      <c r="H59" s="95">
        <v>0.604</v>
      </c>
      <c r="I59" s="96">
        <v>23.2848</v>
      </c>
      <c r="J59" s="93" t="s">
        <v>31</v>
      </c>
      <c r="K59" s="97"/>
      <c r="L59" s="93" t="str">
        <f t="shared" si="1"/>
        <v/>
      </c>
      <c r="M59" s="98">
        <f t="shared" si="2"/>
        <v>0</v>
      </c>
      <c r="N59" s="77"/>
      <c r="O59" s="90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</row>
    <row r="60" ht="18.0" customHeight="1">
      <c r="A60" s="81"/>
      <c r="B60" s="91" t="str">
        <f>"41200"</f>
        <v>41200</v>
      </c>
      <c r="C60" s="91" t="str">
        <f>"693102412002"</f>
        <v>693102412002</v>
      </c>
      <c r="D60" s="92" t="s">
        <v>86</v>
      </c>
      <c r="E60" s="93" t="s">
        <v>50</v>
      </c>
      <c r="F60" s="94">
        <v>49.0</v>
      </c>
      <c r="G60" s="94">
        <v>24.5</v>
      </c>
      <c r="H60" s="95">
        <v>0.604</v>
      </c>
      <c r="I60" s="96">
        <v>23.2848</v>
      </c>
      <c r="J60" s="93" t="s">
        <v>31</v>
      </c>
      <c r="K60" s="97"/>
      <c r="L60" s="93" t="str">
        <f t="shared" si="1"/>
        <v/>
      </c>
      <c r="M60" s="98">
        <f t="shared" si="2"/>
        <v>0</v>
      </c>
      <c r="N60" s="77"/>
      <c r="O60" s="90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</row>
    <row r="61" ht="18.0" customHeight="1">
      <c r="A61" s="81"/>
      <c r="B61" s="91" t="str">
        <f>"40038"</f>
        <v>40038</v>
      </c>
      <c r="C61" s="91" t="str">
        <f>"693102400382"</f>
        <v>693102400382</v>
      </c>
      <c r="D61" s="92" t="s">
        <v>87</v>
      </c>
      <c r="E61" s="93" t="s">
        <v>50</v>
      </c>
      <c r="F61" s="94">
        <v>49.0</v>
      </c>
      <c r="G61" s="94">
        <v>24.5</v>
      </c>
      <c r="H61" s="95">
        <v>0.604</v>
      </c>
      <c r="I61" s="96">
        <v>23.2848</v>
      </c>
      <c r="J61" s="93" t="s">
        <v>31</v>
      </c>
      <c r="K61" s="97"/>
      <c r="L61" s="93" t="str">
        <f t="shared" si="1"/>
        <v/>
      </c>
      <c r="M61" s="98">
        <f t="shared" si="2"/>
        <v>0</v>
      </c>
      <c r="N61" s="77"/>
      <c r="O61" s="90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</row>
    <row r="62" ht="18.0" customHeight="1">
      <c r="A62" s="81"/>
      <c r="B62" s="91" t="str">
        <f>"40094"</f>
        <v>40094</v>
      </c>
      <c r="C62" s="91" t="str">
        <f>"693102400948"</f>
        <v>693102400948</v>
      </c>
      <c r="D62" s="92" t="s">
        <v>88</v>
      </c>
      <c r="E62" s="93" t="s">
        <v>50</v>
      </c>
      <c r="F62" s="94">
        <v>55.0</v>
      </c>
      <c r="G62" s="94">
        <v>27.5</v>
      </c>
      <c r="H62" s="95">
        <v>0.604</v>
      </c>
      <c r="I62" s="96">
        <v>26.136</v>
      </c>
      <c r="J62" s="93" t="s">
        <v>31</v>
      </c>
      <c r="K62" s="97"/>
      <c r="L62" s="93" t="str">
        <f t="shared" si="1"/>
        <v/>
      </c>
      <c r="M62" s="98">
        <f t="shared" si="2"/>
        <v>0</v>
      </c>
      <c r="N62" s="77"/>
      <c r="O62" s="90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</row>
    <row r="63" ht="18.0" customHeight="1">
      <c r="A63" s="81"/>
      <c r="B63" s="91" t="str">
        <f>"40360"</f>
        <v>40360</v>
      </c>
      <c r="C63" s="91" t="str">
        <f>"693102403604"</f>
        <v>693102403604</v>
      </c>
      <c r="D63" s="92" t="s">
        <v>89</v>
      </c>
      <c r="E63" s="93" t="s">
        <v>50</v>
      </c>
      <c r="F63" s="94">
        <v>49.0</v>
      </c>
      <c r="G63" s="94">
        <v>24.5</v>
      </c>
      <c r="H63" s="95">
        <v>0.604</v>
      </c>
      <c r="I63" s="96">
        <v>23.2848</v>
      </c>
      <c r="J63" s="93" t="s">
        <v>31</v>
      </c>
      <c r="K63" s="97"/>
      <c r="L63" s="93" t="str">
        <f t="shared" si="1"/>
        <v/>
      </c>
      <c r="M63" s="98">
        <f t="shared" si="2"/>
        <v>0</v>
      </c>
      <c r="N63" s="77"/>
      <c r="O63" s="90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</row>
    <row r="64" ht="18.0" customHeight="1">
      <c r="A64" s="81"/>
      <c r="B64" s="91" t="str">
        <f>"B-1003"</f>
        <v>B-1003</v>
      </c>
      <c r="C64" s="91" t="str">
        <f>"693102010031"</f>
        <v>693102010031</v>
      </c>
      <c r="D64" s="92" t="s">
        <v>90</v>
      </c>
      <c r="E64" s="93" t="s">
        <v>91</v>
      </c>
      <c r="F64" s="94">
        <v>50.0</v>
      </c>
      <c r="G64" s="94">
        <v>25.0</v>
      </c>
      <c r="H64" s="95">
        <v>0.604</v>
      </c>
      <c r="I64" s="96">
        <v>23.76</v>
      </c>
      <c r="J64" s="93" t="s">
        <v>31</v>
      </c>
      <c r="K64" s="97"/>
      <c r="L64" s="93" t="str">
        <f t="shared" si="1"/>
        <v/>
      </c>
      <c r="M64" s="98">
        <f t="shared" si="2"/>
        <v>0</v>
      </c>
      <c r="N64" s="77"/>
      <c r="O64" s="90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</row>
    <row r="65" ht="18.0" customHeight="1">
      <c r="A65" s="81"/>
      <c r="B65" s="91" t="str">
        <f>"B-1002"</f>
        <v>B-1002</v>
      </c>
      <c r="C65" s="91" t="str">
        <f>"693102010024"</f>
        <v>693102010024</v>
      </c>
      <c r="D65" s="92" t="s">
        <v>92</v>
      </c>
      <c r="E65" s="93" t="s">
        <v>91</v>
      </c>
      <c r="F65" s="94">
        <v>50.0</v>
      </c>
      <c r="G65" s="94">
        <v>25.0</v>
      </c>
      <c r="H65" s="95">
        <v>0.604</v>
      </c>
      <c r="I65" s="96">
        <v>23.76</v>
      </c>
      <c r="J65" s="93" t="s">
        <v>31</v>
      </c>
      <c r="K65" s="97"/>
      <c r="L65" s="93" t="str">
        <f t="shared" si="1"/>
        <v/>
      </c>
      <c r="M65" s="98">
        <f t="shared" si="2"/>
        <v>0</v>
      </c>
      <c r="N65" s="77"/>
      <c r="O65" s="90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</row>
    <row r="66" ht="18.0" customHeight="1">
      <c r="A66" s="81"/>
      <c r="B66" s="91" t="str">
        <f>"B-1001"</f>
        <v>B-1001</v>
      </c>
      <c r="C66" s="91" t="str">
        <f>"693102010017"</f>
        <v>693102010017</v>
      </c>
      <c r="D66" s="92" t="s">
        <v>93</v>
      </c>
      <c r="E66" s="93" t="s">
        <v>91</v>
      </c>
      <c r="F66" s="94">
        <v>50.0</v>
      </c>
      <c r="G66" s="94">
        <v>25.0</v>
      </c>
      <c r="H66" s="95">
        <v>0.604</v>
      </c>
      <c r="I66" s="96">
        <v>23.76</v>
      </c>
      <c r="J66" s="93" t="s">
        <v>31</v>
      </c>
      <c r="K66" s="97"/>
      <c r="L66" s="93" t="str">
        <f t="shared" si="1"/>
        <v/>
      </c>
      <c r="M66" s="98">
        <f t="shared" si="2"/>
        <v>0</v>
      </c>
      <c r="N66" s="77"/>
      <c r="O66" s="90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</row>
    <row r="67" ht="18.0" customHeight="1">
      <c r="A67" s="81"/>
      <c r="B67" s="91" t="str">
        <f>"4016"</f>
        <v>4016</v>
      </c>
      <c r="C67" s="91" t="str">
        <f>"693102040168"</f>
        <v>693102040168</v>
      </c>
      <c r="D67" s="92" t="s">
        <v>94</v>
      </c>
      <c r="E67" s="93" t="s">
        <v>95</v>
      </c>
      <c r="F67" s="94">
        <v>69.0</v>
      </c>
      <c r="G67" s="94">
        <v>34.5</v>
      </c>
      <c r="H67" s="95">
        <v>0.604</v>
      </c>
      <c r="I67" s="96">
        <v>32.788799999999995</v>
      </c>
      <c r="J67" s="93" t="s">
        <v>31</v>
      </c>
      <c r="K67" s="97"/>
      <c r="L67" s="93" t="str">
        <f t="shared" si="1"/>
        <v/>
      </c>
      <c r="M67" s="98">
        <f t="shared" si="2"/>
        <v>0</v>
      </c>
      <c r="N67" s="77"/>
      <c r="O67" s="90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</row>
    <row r="68" ht="18.0" customHeight="1">
      <c r="A68" s="81"/>
      <c r="B68" s="91" t="str">
        <f>"4015"</f>
        <v>4015</v>
      </c>
      <c r="C68" s="91" t="str">
        <f>"693102040151"</f>
        <v>693102040151</v>
      </c>
      <c r="D68" s="92" t="s">
        <v>96</v>
      </c>
      <c r="E68" s="93" t="s">
        <v>95</v>
      </c>
      <c r="F68" s="94">
        <v>69.0</v>
      </c>
      <c r="G68" s="94">
        <v>34.5</v>
      </c>
      <c r="H68" s="95">
        <v>0.604</v>
      </c>
      <c r="I68" s="96">
        <v>32.788799999999995</v>
      </c>
      <c r="J68" s="93" t="s">
        <v>31</v>
      </c>
      <c r="K68" s="97"/>
      <c r="L68" s="93" t="str">
        <f t="shared" si="1"/>
        <v/>
      </c>
      <c r="M68" s="98">
        <f t="shared" si="2"/>
        <v>0</v>
      </c>
      <c r="N68" s="77"/>
      <c r="O68" s="90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</row>
    <row r="69" ht="18.0" customHeight="1">
      <c r="A69" s="81"/>
      <c r="B69" s="91" t="str">
        <f>"4014"</f>
        <v>4014</v>
      </c>
      <c r="C69" s="91" t="str">
        <f>"693102040144"</f>
        <v>693102040144</v>
      </c>
      <c r="D69" s="92" t="s">
        <v>97</v>
      </c>
      <c r="E69" s="93" t="s">
        <v>95</v>
      </c>
      <c r="F69" s="94">
        <v>69.0</v>
      </c>
      <c r="G69" s="94">
        <v>34.5</v>
      </c>
      <c r="H69" s="95">
        <v>0.604</v>
      </c>
      <c r="I69" s="96">
        <v>32.788799999999995</v>
      </c>
      <c r="J69" s="93" t="s">
        <v>31</v>
      </c>
      <c r="K69" s="97"/>
      <c r="L69" s="93" t="str">
        <f t="shared" si="1"/>
        <v/>
      </c>
      <c r="M69" s="98">
        <f t="shared" si="2"/>
        <v>0</v>
      </c>
      <c r="N69" s="77"/>
      <c r="O69" s="90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</row>
    <row r="70" ht="18.0" customHeight="1">
      <c r="A70" s="81"/>
      <c r="B70" s="91" t="str">
        <f>"4013"</f>
        <v>4013</v>
      </c>
      <c r="C70" s="91" t="str">
        <f>"693102040137"</f>
        <v>693102040137</v>
      </c>
      <c r="D70" s="92" t="s">
        <v>98</v>
      </c>
      <c r="E70" s="93" t="s">
        <v>95</v>
      </c>
      <c r="F70" s="94">
        <v>89.0</v>
      </c>
      <c r="G70" s="94">
        <v>44.5</v>
      </c>
      <c r="H70" s="95">
        <v>0.604</v>
      </c>
      <c r="I70" s="96">
        <v>42.2928</v>
      </c>
      <c r="J70" s="93" t="s">
        <v>31</v>
      </c>
      <c r="K70" s="97"/>
      <c r="L70" s="93" t="str">
        <f t="shared" si="1"/>
        <v/>
      </c>
      <c r="M70" s="98">
        <f t="shared" si="2"/>
        <v>0</v>
      </c>
      <c r="N70" s="77"/>
      <c r="O70" s="90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</row>
    <row r="71" ht="18.0" customHeight="1">
      <c r="A71" s="81"/>
      <c r="B71" s="91" t="str">
        <f>"4011"</f>
        <v>4011</v>
      </c>
      <c r="C71" s="91" t="str">
        <f>"693102040113"</f>
        <v>693102040113</v>
      </c>
      <c r="D71" s="92" t="s">
        <v>99</v>
      </c>
      <c r="E71" s="93" t="s">
        <v>95</v>
      </c>
      <c r="F71" s="94">
        <v>69.0</v>
      </c>
      <c r="G71" s="94">
        <v>34.5</v>
      </c>
      <c r="H71" s="95">
        <v>0.604</v>
      </c>
      <c r="I71" s="96">
        <v>32.788799999999995</v>
      </c>
      <c r="J71" s="93" t="s">
        <v>31</v>
      </c>
      <c r="K71" s="97"/>
      <c r="L71" s="93" t="str">
        <f t="shared" si="1"/>
        <v/>
      </c>
      <c r="M71" s="98">
        <f t="shared" si="2"/>
        <v>0</v>
      </c>
      <c r="N71" s="77"/>
      <c r="O71" s="90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</row>
    <row r="72" ht="18.0" customHeight="1">
      <c r="A72" s="81"/>
      <c r="B72" s="91" t="str">
        <f>"44444"</f>
        <v>44444</v>
      </c>
      <c r="C72" s="91" t="str">
        <f>"693102444447"</f>
        <v>693102444447</v>
      </c>
      <c r="D72" s="92" t="s">
        <v>100</v>
      </c>
      <c r="E72" s="93" t="s">
        <v>101</v>
      </c>
      <c r="F72" s="94">
        <v>8.0</v>
      </c>
      <c r="G72" s="94">
        <v>4.0</v>
      </c>
      <c r="H72" s="95">
        <v>0.604</v>
      </c>
      <c r="I72" s="96">
        <v>3.8016</v>
      </c>
      <c r="J72" s="93" t="s">
        <v>31</v>
      </c>
      <c r="K72" s="97"/>
      <c r="L72" s="93" t="str">
        <f t="shared" si="1"/>
        <v/>
      </c>
      <c r="M72" s="98">
        <f t="shared" si="2"/>
        <v>0</v>
      </c>
      <c r="N72" s="77"/>
      <c r="O72" s="90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</row>
    <row r="73" ht="18.0" customHeight="1">
      <c r="A73" s="81"/>
      <c r="B73" s="91" t="str">
        <f>"41014"</f>
        <v>41014</v>
      </c>
      <c r="C73" s="91" t="str">
        <f>"693102410145"</f>
        <v>693102410145</v>
      </c>
      <c r="D73" s="92" t="s">
        <v>102</v>
      </c>
      <c r="E73" s="93" t="s">
        <v>103</v>
      </c>
      <c r="F73" s="94">
        <v>15.0</v>
      </c>
      <c r="G73" s="94">
        <v>7.5</v>
      </c>
      <c r="H73" s="95">
        <v>0.6039999999999999</v>
      </c>
      <c r="I73" s="96">
        <v>7.128</v>
      </c>
      <c r="J73" s="93" t="s">
        <v>31</v>
      </c>
      <c r="K73" s="97"/>
      <c r="L73" s="93" t="str">
        <f t="shared" si="1"/>
        <v/>
      </c>
      <c r="M73" s="98">
        <f t="shared" si="2"/>
        <v>0</v>
      </c>
      <c r="N73" s="77"/>
      <c r="O73" s="90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</row>
    <row r="74" ht="18.0" customHeight="1">
      <c r="A74" s="81"/>
      <c r="B74" s="91" t="str">
        <f>"41016"</f>
        <v>41016</v>
      </c>
      <c r="C74" s="91" t="str">
        <f>"693102410169"</f>
        <v>693102410169</v>
      </c>
      <c r="D74" s="92" t="s">
        <v>104</v>
      </c>
      <c r="E74" s="93" t="s">
        <v>103</v>
      </c>
      <c r="F74" s="94">
        <v>24.0</v>
      </c>
      <c r="G74" s="94">
        <v>12.0</v>
      </c>
      <c r="H74" s="95">
        <v>0.604</v>
      </c>
      <c r="I74" s="96">
        <v>11.4048</v>
      </c>
      <c r="J74" s="93" t="s">
        <v>31</v>
      </c>
      <c r="K74" s="97"/>
      <c r="L74" s="93" t="str">
        <f t="shared" si="1"/>
        <v/>
      </c>
      <c r="M74" s="98">
        <f t="shared" si="2"/>
        <v>0</v>
      </c>
      <c r="N74" s="77"/>
      <c r="O74" s="90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</row>
    <row r="75" ht="18.0" customHeight="1">
      <c r="A75" s="81"/>
      <c r="B75" s="91" t="str">
        <f>"4008"</f>
        <v>4008</v>
      </c>
      <c r="C75" s="91" t="str">
        <f>"693102040083"</f>
        <v>693102040083</v>
      </c>
      <c r="D75" s="92" t="s">
        <v>105</v>
      </c>
      <c r="E75" s="93" t="s">
        <v>42</v>
      </c>
      <c r="F75" s="94">
        <v>10.0</v>
      </c>
      <c r="G75" s="94">
        <v>5.0</v>
      </c>
      <c r="H75" s="95">
        <v>0.604</v>
      </c>
      <c r="I75" s="96">
        <v>4.752</v>
      </c>
      <c r="J75" s="93" t="s">
        <v>31</v>
      </c>
      <c r="K75" s="97"/>
      <c r="L75" s="93" t="str">
        <f t="shared" si="1"/>
        <v/>
      </c>
      <c r="M75" s="98">
        <f t="shared" si="2"/>
        <v>0</v>
      </c>
      <c r="N75" s="77"/>
      <c r="O75" s="90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</row>
    <row r="76" ht="18.0" customHeight="1">
      <c r="A76" s="81"/>
      <c r="B76" s="91" t="str">
        <f>"4009"</f>
        <v>4009</v>
      </c>
      <c r="C76" s="91" t="str">
        <f>"693102040090"</f>
        <v>693102040090</v>
      </c>
      <c r="D76" s="92" t="s">
        <v>106</v>
      </c>
      <c r="E76" s="93" t="s">
        <v>107</v>
      </c>
      <c r="F76" s="94">
        <v>20.0</v>
      </c>
      <c r="G76" s="94">
        <v>10.0</v>
      </c>
      <c r="H76" s="95">
        <v>0.604</v>
      </c>
      <c r="I76" s="96">
        <v>9.504</v>
      </c>
      <c r="J76" s="93" t="s">
        <v>31</v>
      </c>
      <c r="K76" s="97"/>
      <c r="L76" s="93" t="str">
        <f t="shared" si="1"/>
        <v/>
      </c>
      <c r="M76" s="98">
        <f t="shared" si="2"/>
        <v>0</v>
      </c>
      <c r="N76" s="77"/>
      <c r="O76" s="90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</row>
    <row r="77" ht="18.0" customHeight="1">
      <c r="A77" s="81"/>
      <c r="B77" s="91" t="str">
        <f>"4140"</f>
        <v>4140</v>
      </c>
      <c r="C77" s="91" t="str">
        <f>"693102041400"</f>
        <v>693102041400</v>
      </c>
      <c r="D77" s="92" t="s">
        <v>108</v>
      </c>
      <c r="E77" s="93" t="s">
        <v>42</v>
      </c>
      <c r="F77" s="94">
        <v>13.0</v>
      </c>
      <c r="G77" s="94">
        <v>6.5</v>
      </c>
      <c r="H77" s="95">
        <v>0.604</v>
      </c>
      <c r="I77" s="96">
        <v>6.177599999999999</v>
      </c>
      <c r="J77" s="93" t="s">
        <v>31</v>
      </c>
      <c r="K77" s="97"/>
      <c r="L77" s="93" t="str">
        <f t="shared" si="1"/>
        <v/>
      </c>
      <c r="M77" s="98">
        <f t="shared" si="2"/>
        <v>0</v>
      </c>
      <c r="N77" s="77"/>
      <c r="O77" s="90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</row>
    <row r="78" ht="18.0" customHeight="1">
      <c r="A78" s="81"/>
      <c r="B78" s="91" t="str">
        <f>"51005"</f>
        <v>51005</v>
      </c>
      <c r="C78" s="91" t="str">
        <f>"693102510050"</f>
        <v>693102510050</v>
      </c>
      <c r="D78" s="92" t="s">
        <v>109</v>
      </c>
      <c r="E78" s="93" t="s">
        <v>50</v>
      </c>
      <c r="F78" s="94">
        <v>17.0</v>
      </c>
      <c r="G78" s="94">
        <v>8.5</v>
      </c>
      <c r="H78" s="95">
        <v>0.6040000000000001</v>
      </c>
      <c r="I78" s="96">
        <v>8.0784</v>
      </c>
      <c r="J78" s="93" t="s">
        <v>31</v>
      </c>
      <c r="K78" s="97"/>
      <c r="L78" s="93" t="str">
        <f t="shared" si="1"/>
        <v/>
      </c>
      <c r="M78" s="98">
        <f t="shared" si="2"/>
        <v>0</v>
      </c>
      <c r="N78" s="77"/>
      <c r="O78" s="90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</row>
    <row r="79" ht="18.0" customHeight="1">
      <c r="A79" s="81"/>
      <c r="B79" s="91" t="str">
        <f>"41017"</f>
        <v>41017</v>
      </c>
      <c r="C79" s="91" t="str">
        <f>"693102410176"</f>
        <v>693102410176</v>
      </c>
      <c r="D79" s="92" t="s">
        <v>110</v>
      </c>
      <c r="E79" s="93" t="s">
        <v>103</v>
      </c>
      <c r="F79" s="94">
        <v>24.0</v>
      </c>
      <c r="G79" s="94">
        <v>12.0</v>
      </c>
      <c r="H79" s="95">
        <v>0.604</v>
      </c>
      <c r="I79" s="96">
        <v>11.4048</v>
      </c>
      <c r="J79" s="93" t="s">
        <v>31</v>
      </c>
      <c r="K79" s="97"/>
      <c r="L79" s="93" t="str">
        <f t="shared" si="1"/>
        <v/>
      </c>
      <c r="M79" s="98">
        <f t="shared" si="2"/>
        <v>0</v>
      </c>
      <c r="N79" s="77"/>
      <c r="O79" s="90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</row>
    <row r="80" ht="18.0" customHeight="1">
      <c r="A80" s="81"/>
      <c r="B80" s="91" t="str">
        <f>"41018"</f>
        <v>41018</v>
      </c>
      <c r="C80" s="91" t="str">
        <f>"693102410183"</f>
        <v>693102410183</v>
      </c>
      <c r="D80" s="92" t="s">
        <v>111</v>
      </c>
      <c r="E80" s="93" t="s">
        <v>103</v>
      </c>
      <c r="F80" s="94">
        <v>24.0</v>
      </c>
      <c r="G80" s="94">
        <v>12.0</v>
      </c>
      <c r="H80" s="95">
        <v>0.604</v>
      </c>
      <c r="I80" s="96">
        <v>11.4048</v>
      </c>
      <c r="J80" s="93" t="s">
        <v>31</v>
      </c>
      <c r="K80" s="97"/>
      <c r="L80" s="93" t="str">
        <f t="shared" si="1"/>
        <v/>
      </c>
      <c r="M80" s="98">
        <f t="shared" si="2"/>
        <v>0</v>
      </c>
      <c r="N80" s="77"/>
      <c r="O80" s="90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</row>
    <row r="81" ht="18.0" customHeight="1">
      <c r="A81" s="81"/>
      <c r="B81" s="91" t="str">
        <f>"80913"</f>
        <v>80913</v>
      </c>
      <c r="C81" s="91" t="str">
        <f>"693102809130"</f>
        <v>693102809130</v>
      </c>
      <c r="D81" s="92" t="s">
        <v>112</v>
      </c>
      <c r="E81" s="93" t="s">
        <v>40</v>
      </c>
      <c r="F81" s="94">
        <v>39.0</v>
      </c>
      <c r="G81" s="94">
        <v>19.5</v>
      </c>
      <c r="H81" s="95">
        <v>0.604</v>
      </c>
      <c r="I81" s="96">
        <v>18.532799999999998</v>
      </c>
      <c r="J81" s="93" t="s">
        <v>31</v>
      </c>
      <c r="K81" s="97"/>
      <c r="L81" s="93" t="str">
        <f t="shared" si="1"/>
        <v/>
      </c>
      <c r="M81" s="98">
        <f t="shared" si="2"/>
        <v>0</v>
      </c>
      <c r="N81" s="77"/>
      <c r="O81" s="90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</row>
    <row r="82" ht="18.0" customHeight="1">
      <c r="A82" s="81"/>
      <c r="B82" s="91" t="str">
        <f>"41019"</f>
        <v>41019</v>
      </c>
      <c r="C82" s="91" t="str">
        <f>"693102410190"</f>
        <v>693102410190</v>
      </c>
      <c r="D82" s="92" t="s">
        <v>113</v>
      </c>
      <c r="E82" s="93" t="s">
        <v>114</v>
      </c>
      <c r="F82" s="94">
        <v>29.0</v>
      </c>
      <c r="G82" s="94">
        <v>14.5</v>
      </c>
      <c r="H82" s="95">
        <v>0.604</v>
      </c>
      <c r="I82" s="96">
        <v>13.7808</v>
      </c>
      <c r="J82" s="93" t="s">
        <v>31</v>
      </c>
      <c r="K82" s="97"/>
      <c r="L82" s="93" t="str">
        <f t="shared" si="1"/>
        <v/>
      </c>
      <c r="M82" s="98">
        <f t="shared" si="2"/>
        <v>0</v>
      </c>
      <c r="N82" s="77"/>
      <c r="O82" s="90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</row>
    <row r="83" ht="18.0" customHeight="1">
      <c r="A83" s="81"/>
      <c r="B83" s="91" t="str">
        <f>"41020"</f>
        <v>41020</v>
      </c>
      <c r="C83" s="91" t="str">
        <f>"693102410206"</f>
        <v>693102410206</v>
      </c>
      <c r="D83" s="92" t="s">
        <v>115</v>
      </c>
      <c r="E83" s="93" t="s">
        <v>114</v>
      </c>
      <c r="F83" s="94">
        <v>29.0</v>
      </c>
      <c r="G83" s="94">
        <v>14.5</v>
      </c>
      <c r="H83" s="95">
        <v>0.604</v>
      </c>
      <c r="I83" s="96">
        <v>13.7808</v>
      </c>
      <c r="J83" s="93" t="s">
        <v>31</v>
      </c>
      <c r="K83" s="97"/>
      <c r="L83" s="93" t="str">
        <f t="shared" si="1"/>
        <v/>
      </c>
      <c r="M83" s="98">
        <f t="shared" si="2"/>
        <v>0</v>
      </c>
      <c r="N83" s="77"/>
      <c r="O83" s="90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</row>
    <row r="84" ht="18.0" customHeight="1">
      <c r="A84" s="81"/>
      <c r="B84" s="91" t="str">
        <f>"41021"</f>
        <v>41021</v>
      </c>
      <c r="C84" s="91" t="str">
        <f>"693102410213"</f>
        <v>693102410213</v>
      </c>
      <c r="D84" s="92" t="s">
        <v>116</v>
      </c>
      <c r="E84" s="93" t="s">
        <v>117</v>
      </c>
      <c r="F84" s="94">
        <v>22.0</v>
      </c>
      <c r="G84" s="94">
        <v>11.0</v>
      </c>
      <c r="H84" s="95">
        <v>0.604</v>
      </c>
      <c r="I84" s="96">
        <v>10.4544</v>
      </c>
      <c r="J84" s="93" t="s">
        <v>31</v>
      </c>
      <c r="K84" s="97"/>
      <c r="L84" s="93" t="str">
        <f t="shared" si="1"/>
        <v/>
      </c>
      <c r="M84" s="98">
        <f t="shared" si="2"/>
        <v>0</v>
      </c>
      <c r="N84" s="77"/>
      <c r="O84" s="90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</row>
    <row r="85" ht="18.0" customHeight="1">
      <c r="A85" s="81"/>
      <c r="B85" s="91" t="str">
        <f>"41022"</f>
        <v>41022</v>
      </c>
      <c r="C85" s="91" t="str">
        <f>"693102410220"</f>
        <v>693102410220</v>
      </c>
      <c r="D85" s="92" t="s">
        <v>118</v>
      </c>
      <c r="E85" s="93" t="s">
        <v>95</v>
      </c>
      <c r="F85" s="94">
        <v>59.0</v>
      </c>
      <c r="G85" s="94">
        <v>29.5</v>
      </c>
      <c r="H85" s="95">
        <v>0.604</v>
      </c>
      <c r="I85" s="96">
        <v>28.0368</v>
      </c>
      <c r="J85" s="93" t="s">
        <v>31</v>
      </c>
      <c r="K85" s="97"/>
      <c r="L85" s="93" t="str">
        <f t="shared" si="1"/>
        <v/>
      </c>
      <c r="M85" s="98">
        <f t="shared" si="2"/>
        <v>0</v>
      </c>
      <c r="N85" s="77"/>
      <c r="O85" s="90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</row>
    <row r="86" ht="18.0" customHeight="1">
      <c r="A86" s="81"/>
      <c r="B86" s="91" t="str">
        <f>"4023S"</f>
        <v>4023S</v>
      </c>
      <c r="C86" s="91" t="str">
        <f t="shared" ref="C86:C105" si="3">""</f>
        <v/>
      </c>
      <c r="D86" s="92" t="s">
        <v>36</v>
      </c>
      <c r="E86" s="93" t="s">
        <v>119</v>
      </c>
      <c r="F86" s="94"/>
      <c r="G86" s="94"/>
      <c r="H86" s="95"/>
      <c r="I86" s="96">
        <v>0.5544</v>
      </c>
      <c r="J86" s="93" t="s">
        <v>31</v>
      </c>
      <c r="K86" s="97"/>
      <c r="L86" s="93" t="str">
        <f t="shared" si="1"/>
        <v/>
      </c>
      <c r="M86" s="98">
        <f t="shared" si="2"/>
        <v>0</v>
      </c>
      <c r="N86" s="77"/>
      <c r="O86" s="90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</row>
    <row r="87" ht="18.0" customHeight="1">
      <c r="A87" s="81"/>
      <c r="B87" s="91" t="str">
        <f>"4118S"</f>
        <v>4118S</v>
      </c>
      <c r="C87" s="91" t="str">
        <f t="shared" si="3"/>
        <v/>
      </c>
      <c r="D87" s="92" t="s">
        <v>120</v>
      </c>
      <c r="E87" s="93" t="s">
        <v>119</v>
      </c>
      <c r="F87" s="94"/>
      <c r="G87" s="94"/>
      <c r="H87" s="95"/>
      <c r="I87" s="96">
        <v>0.5544</v>
      </c>
      <c r="J87" s="93" t="s">
        <v>31</v>
      </c>
      <c r="K87" s="97"/>
      <c r="L87" s="93" t="str">
        <f t="shared" si="1"/>
        <v/>
      </c>
      <c r="M87" s="98">
        <f t="shared" si="2"/>
        <v>0</v>
      </c>
      <c r="N87" s="77"/>
      <c r="O87" s="90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</row>
    <row r="88" ht="18.0" customHeight="1">
      <c r="A88" s="81"/>
      <c r="B88" s="91" t="str">
        <f>"4110S"</f>
        <v>4110S</v>
      </c>
      <c r="C88" s="91" t="str">
        <f t="shared" si="3"/>
        <v/>
      </c>
      <c r="D88" s="92" t="s">
        <v>60</v>
      </c>
      <c r="E88" s="93" t="s">
        <v>119</v>
      </c>
      <c r="F88" s="94"/>
      <c r="G88" s="94"/>
      <c r="H88" s="95"/>
      <c r="I88" s="96">
        <v>0.5544</v>
      </c>
      <c r="J88" s="93" t="s">
        <v>31</v>
      </c>
      <c r="K88" s="97"/>
      <c r="L88" s="93" t="str">
        <f t="shared" si="1"/>
        <v/>
      </c>
      <c r="M88" s="98">
        <f t="shared" si="2"/>
        <v>0</v>
      </c>
      <c r="N88" s="77"/>
      <c r="O88" s="90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</row>
    <row r="89" ht="18.0" customHeight="1">
      <c r="A89" s="81"/>
      <c r="B89" s="91" t="str">
        <f>"4130S"</f>
        <v>4130S</v>
      </c>
      <c r="C89" s="91" t="str">
        <f t="shared" si="3"/>
        <v/>
      </c>
      <c r="D89" s="92" t="s">
        <v>62</v>
      </c>
      <c r="E89" s="93" t="s">
        <v>119</v>
      </c>
      <c r="F89" s="94"/>
      <c r="G89" s="94"/>
      <c r="H89" s="95"/>
      <c r="I89" s="96">
        <v>0.5544</v>
      </c>
      <c r="J89" s="93" t="s">
        <v>31</v>
      </c>
      <c r="K89" s="97"/>
      <c r="L89" s="93" t="str">
        <f t="shared" si="1"/>
        <v/>
      </c>
      <c r="M89" s="98">
        <f t="shared" si="2"/>
        <v>0</v>
      </c>
      <c r="N89" s="77"/>
      <c r="O89" s="90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</row>
    <row r="90" ht="18.0" customHeight="1">
      <c r="A90" s="81"/>
      <c r="B90" s="91" t="str">
        <f>"4121S"</f>
        <v>4121S</v>
      </c>
      <c r="C90" s="91" t="str">
        <f t="shared" si="3"/>
        <v/>
      </c>
      <c r="D90" s="92" t="s">
        <v>63</v>
      </c>
      <c r="E90" s="93" t="s">
        <v>119</v>
      </c>
      <c r="F90" s="94"/>
      <c r="G90" s="94"/>
      <c r="H90" s="95"/>
      <c r="I90" s="96">
        <v>0.5544</v>
      </c>
      <c r="J90" s="93" t="s">
        <v>31</v>
      </c>
      <c r="K90" s="97"/>
      <c r="L90" s="93" t="str">
        <f t="shared" si="1"/>
        <v/>
      </c>
      <c r="M90" s="98">
        <f t="shared" si="2"/>
        <v>0</v>
      </c>
      <c r="N90" s="77"/>
      <c r="O90" s="90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</row>
    <row r="91" ht="18.0" customHeight="1">
      <c r="A91" s="81"/>
      <c r="B91" s="91" t="str">
        <f>"4091S"</f>
        <v>4091S</v>
      </c>
      <c r="C91" s="91" t="str">
        <f t="shared" si="3"/>
        <v/>
      </c>
      <c r="D91" s="92" t="s">
        <v>64</v>
      </c>
      <c r="E91" s="93" t="s">
        <v>119</v>
      </c>
      <c r="F91" s="94"/>
      <c r="G91" s="94"/>
      <c r="H91" s="95"/>
      <c r="I91" s="96">
        <v>0.5544</v>
      </c>
      <c r="J91" s="93" t="s">
        <v>31</v>
      </c>
      <c r="K91" s="97"/>
      <c r="L91" s="93" t="str">
        <f t="shared" si="1"/>
        <v/>
      </c>
      <c r="M91" s="98">
        <f t="shared" si="2"/>
        <v>0</v>
      </c>
      <c r="N91" s="77"/>
      <c r="O91" s="90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</row>
    <row r="92" ht="18.0" customHeight="1">
      <c r="A92" s="81"/>
      <c r="B92" s="91" t="str">
        <f>"4093S"</f>
        <v>4093S</v>
      </c>
      <c r="C92" s="91" t="str">
        <f t="shared" si="3"/>
        <v/>
      </c>
      <c r="D92" s="92" t="s">
        <v>65</v>
      </c>
      <c r="E92" s="93" t="s">
        <v>119</v>
      </c>
      <c r="F92" s="94"/>
      <c r="G92" s="94"/>
      <c r="H92" s="95"/>
      <c r="I92" s="96">
        <v>0.5544</v>
      </c>
      <c r="J92" s="93" t="s">
        <v>31</v>
      </c>
      <c r="K92" s="97"/>
      <c r="L92" s="93" t="str">
        <f t="shared" si="1"/>
        <v/>
      </c>
      <c r="M92" s="98">
        <f t="shared" si="2"/>
        <v>0</v>
      </c>
      <c r="N92" s="77"/>
      <c r="O92" s="90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</row>
    <row r="93" ht="18.0" customHeight="1">
      <c r="A93" s="81"/>
      <c r="B93" s="91" t="str">
        <f>"4191S"</f>
        <v>4191S</v>
      </c>
      <c r="C93" s="91" t="str">
        <f t="shared" si="3"/>
        <v/>
      </c>
      <c r="D93" s="92" t="s">
        <v>121</v>
      </c>
      <c r="E93" s="93" t="s">
        <v>119</v>
      </c>
      <c r="F93" s="94"/>
      <c r="G93" s="94"/>
      <c r="H93" s="95"/>
      <c r="I93" s="96">
        <v>0.5544</v>
      </c>
      <c r="J93" s="93" t="s">
        <v>31</v>
      </c>
      <c r="K93" s="97"/>
      <c r="L93" s="93" t="str">
        <f t="shared" si="1"/>
        <v/>
      </c>
      <c r="M93" s="98">
        <f t="shared" si="2"/>
        <v>0</v>
      </c>
      <c r="N93" s="77"/>
      <c r="O93" s="90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</row>
    <row r="94" ht="18.0" customHeight="1">
      <c r="A94" s="81"/>
      <c r="B94" s="91" t="str">
        <f>"4119S"</f>
        <v>4119S</v>
      </c>
      <c r="C94" s="91" t="str">
        <f t="shared" si="3"/>
        <v/>
      </c>
      <c r="D94" s="92" t="s">
        <v>66</v>
      </c>
      <c r="E94" s="93" t="s">
        <v>119</v>
      </c>
      <c r="F94" s="94"/>
      <c r="G94" s="94"/>
      <c r="H94" s="95"/>
      <c r="I94" s="96">
        <v>0.5544</v>
      </c>
      <c r="J94" s="93" t="s">
        <v>31</v>
      </c>
      <c r="K94" s="97"/>
      <c r="L94" s="93" t="str">
        <f t="shared" si="1"/>
        <v/>
      </c>
      <c r="M94" s="98">
        <f t="shared" si="2"/>
        <v>0</v>
      </c>
      <c r="N94" s="77"/>
      <c r="O94" s="90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</row>
    <row r="95" ht="18.0" customHeight="1">
      <c r="A95" s="81"/>
      <c r="B95" s="91" t="str">
        <f>"4098S"</f>
        <v>4098S</v>
      </c>
      <c r="C95" s="91" t="str">
        <f t="shared" si="3"/>
        <v/>
      </c>
      <c r="D95" s="92" t="s">
        <v>67</v>
      </c>
      <c r="E95" s="93" t="s">
        <v>119</v>
      </c>
      <c r="F95" s="94"/>
      <c r="G95" s="94"/>
      <c r="H95" s="95"/>
      <c r="I95" s="96">
        <v>0.5544</v>
      </c>
      <c r="J95" s="93" t="s">
        <v>31</v>
      </c>
      <c r="K95" s="97"/>
      <c r="L95" s="93" t="str">
        <f t="shared" si="1"/>
        <v/>
      </c>
      <c r="M95" s="98">
        <f t="shared" si="2"/>
        <v>0</v>
      </c>
      <c r="N95" s="77"/>
      <c r="O95" s="90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</row>
    <row r="96" ht="18.0" customHeight="1">
      <c r="A96" s="81"/>
      <c r="B96" s="91" t="str">
        <f>"4095S"</f>
        <v>4095S</v>
      </c>
      <c r="C96" s="91" t="str">
        <f t="shared" si="3"/>
        <v/>
      </c>
      <c r="D96" s="92" t="s">
        <v>68</v>
      </c>
      <c r="E96" s="93" t="s">
        <v>119</v>
      </c>
      <c r="F96" s="94"/>
      <c r="G96" s="94"/>
      <c r="H96" s="95"/>
      <c r="I96" s="96">
        <v>0.5544</v>
      </c>
      <c r="J96" s="93" t="s">
        <v>31</v>
      </c>
      <c r="K96" s="97"/>
      <c r="L96" s="93" t="str">
        <f t="shared" si="1"/>
        <v/>
      </c>
      <c r="M96" s="98">
        <f t="shared" si="2"/>
        <v>0</v>
      </c>
      <c r="N96" s="77"/>
      <c r="O96" s="90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</row>
    <row r="97" ht="18.0" customHeight="1">
      <c r="A97" s="81"/>
      <c r="B97" s="91" t="str">
        <f>"4113S"</f>
        <v>4113S</v>
      </c>
      <c r="C97" s="91" t="str">
        <f t="shared" si="3"/>
        <v/>
      </c>
      <c r="D97" s="92" t="s">
        <v>122</v>
      </c>
      <c r="E97" s="93" t="s">
        <v>119</v>
      </c>
      <c r="F97" s="94"/>
      <c r="G97" s="94"/>
      <c r="H97" s="95"/>
      <c r="I97" s="96">
        <v>0.5544</v>
      </c>
      <c r="J97" s="93" t="s">
        <v>31</v>
      </c>
      <c r="K97" s="97"/>
      <c r="L97" s="93" t="str">
        <f t="shared" si="1"/>
        <v/>
      </c>
      <c r="M97" s="98">
        <f t="shared" si="2"/>
        <v>0</v>
      </c>
      <c r="N97" s="77"/>
      <c r="O97" s="90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</row>
    <row r="98" ht="18.0" customHeight="1">
      <c r="A98" s="81"/>
      <c r="B98" s="91" t="str">
        <f>"4096S"</f>
        <v>4096S</v>
      </c>
      <c r="C98" s="91" t="str">
        <f t="shared" si="3"/>
        <v/>
      </c>
      <c r="D98" s="92" t="s">
        <v>70</v>
      </c>
      <c r="E98" s="93" t="s">
        <v>119</v>
      </c>
      <c r="F98" s="94"/>
      <c r="G98" s="94"/>
      <c r="H98" s="95"/>
      <c r="I98" s="96">
        <v>0.5544</v>
      </c>
      <c r="J98" s="93" t="s">
        <v>31</v>
      </c>
      <c r="K98" s="97"/>
      <c r="L98" s="93" t="str">
        <f t="shared" si="1"/>
        <v/>
      </c>
      <c r="M98" s="98">
        <f t="shared" si="2"/>
        <v>0</v>
      </c>
      <c r="N98" s="77"/>
      <c r="O98" s="90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</row>
    <row r="99" ht="18.0" customHeight="1">
      <c r="A99" s="81"/>
      <c r="B99" s="91" t="str">
        <f>"4099S"</f>
        <v>4099S</v>
      </c>
      <c r="C99" s="91" t="str">
        <f t="shared" si="3"/>
        <v/>
      </c>
      <c r="D99" s="92" t="s">
        <v>71</v>
      </c>
      <c r="E99" s="93" t="s">
        <v>119</v>
      </c>
      <c r="F99" s="94"/>
      <c r="G99" s="94"/>
      <c r="H99" s="95"/>
      <c r="I99" s="96">
        <v>0.5544</v>
      </c>
      <c r="J99" s="93" t="s">
        <v>31</v>
      </c>
      <c r="K99" s="97"/>
      <c r="L99" s="93" t="str">
        <f t="shared" si="1"/>
        <v/>
      </c>
      <c r="M99" s="98">
        <f t="shared" si="2"/>
        <v>0</v>
      </c>
      <c r="N99" s="77"/>
      <c r="O99" s="90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</row>
    <row r="100" ht="18.0" customHeight="1">
      <c r="A100" s="81"/>
      <c r="B100" s="91" t="str">
        <f>"300001S"</f>
        <v>300001S</v>
      </c>
      <c r="C100" s="91" t="str">
        <f t="shared" si="3"/>
        <v/>
      </c>
      <c r="D100" s="92" t="s">
        <v>123</v>
      </c>
      <c r="E100" s="93" t="s">
        <v>119</v>
      </c>
      <c r="F100" s="94"/>
      <c r="G100" s="94"/>
      <c r="H100" s="95"/>
      <c r="I100" s="96">
        <v>0.5544</v>
      </c>
      <c r="J100" s="93" t="s">
        <v>31</v>
      </c>
      <c r="K100" s="97"/>
      <c r="L100" s="93" t="str">
        <f t="shared" si="1"/>
        <v/>
      </c>
      <c r="M100" s="98">
        <f t="shared" si="2"/>
        <v>0</v>
      </c>
      <c r="N100" s="77"/>
      <c r="O100" s="90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</row>
    <row r="101" ht="18.0" customHeight="1">
      <c r="A101" s="81"/>
      <c r="B101" s="91" t="str">
        <f>"300002S"</f>
        <v>300002S</v>
      </c>
      <c r="C101" s="91" t="str">
        <f t="shared" si="3"/>
        <v/>
      </c>
      <c r="D101" s="92" t="s">
        <v>124</v>
      </c>
      <c r="E101" s="93" t="s">
        <v>119</v>
      </c>
      <c r="F101" s="94"/>
      <c r="G101" s="94"/>
      <c r="H101" s="95"/>
      <c r="I101" s="96">
        <v>0.5544</v>
      </c>
      <c r="J101" s="93" t="s">
        <v>31</v>
      </c>
      <c r="K101" s="97"/>
      <c r="L101" s="93" t="str">
        <f t="shared" si="1"/>
        <v/>
      </c>
      <c r="M101" s="98">
        <f t="shared" si="2"/>
        <v>0</v>
      </c>
      <c r="N101" s="77"/>
      <c r="O101" s="90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</row>
    <row r="102" ht="18.0" customHeight="1">
      <c r="A102" s="81"/>
      <c r="B102" s="91" t="str">
        <f>"4120S"</f>
        <v>4120S</v>
      </c>
      <c r="C102" s="91" t="str">
        <f t="shared" si="3"/>
        <v/>
      </c>
      <c r="D102" s="92" t="s">
        <v>86</v>
      </c>
      <c r="E102" s="93" t="s">
        <v>119</v>
      </c>
      <c r="F102" s="94"/>
      <c r="G102" s="94"/>
      <c r="H102" s="95"/>
      <c r="I102" s="96">
        <v>0.5544</v>
      </c>
      <c r="J102" s="93" t="s">
        <v>31</v>
      </c>
      <c r="K102" s="97"/>
      <c r="L102" s="93" t="str">
        <f t="shared" si="1"/>
        <v/>
      </c>
      <c r="M102" s="98">
        <f t="shared" si="2"/>
        <v>0</v>
      </c>
      <c r="N102" s="77"/>
      <c r="O102" s="90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</row>
    <row r="103" ht="18.0" customHeight="1">
      <c r="A103" s="81"/>
      <c r="B103" s="91" t="str">
        <f>"4038S"</f>
        <v>4038S</v>
      </c>
      <c r="C103" s="91" t="str">
        <f t="shared" si="3"/>
        <v/>
      </c>
      <c r="D103" s="92" t="s">
        <v>87</v>
      </c>
      <c r="E103" s="93" t="s">
        <v>119</v>
      </c>
      <c r="F103" s="94"/>
      <c r="G103" s="94"/>
      <c r="H103" s="95"/>
      <c r="I103" s="96">
        <v>0.5544</v>
      </c>
      <c r="J103" s="93" t="s">
        <v>31</v>
      </c>
      <c r="K103" s="97"/>
      <c r="L103" s="93" t="str">
        <f t="shared" si="1"/>
        <v/>
      </c>
      <c r="M103" s="98">
        <f t="shared" si="2"/>
        <v>0</v>
      </c>
      <c r="N103" s="77"/>
      <c r="O103" s="90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</row>
    <row r="104" ht="18.0" customHeight="1">
      <c r="A104" s="81"/>
      <c r="B104" s="91" t="str">
        <f>"4094S"</f>
        <v>4094S</v>
      </c>
      <c r="C104" s="91" t="str">
        <f t="shared" si="3"/>
        <v/>
      </c>
      <c r="D104" s="92" t="s">
        <v>88</v>
      </c>
      <c r="E104" s="93" t="s">
        <v>119</v>
      </c>
      <c r="F104" s="94"/>
      <c r="G104" s="94"/>
      <c r="H104" s="95"/>
      <c r="I104" s="96">
        <v>0.5544</v>
      </c>
      <c r="J104" s="93" t="s">
        <v>31</v>
      </c>
      <c r="K104" s="97"/>
      <c r="L104" s="93" t="str">
        <f t="shared" si="1"/>
        <v/>
      </c>
      <c r="M104" s="98">
        <f t="shared" si="2"/>
        <v>0</v>
      </c>
      <c r="N104" s="77"/>
      <c r="O104" s="90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</row>
    <row r="105" ht="18.0" customHeight="1">
      <c r="A105" s="81"/>
      <c r="B105" s="91" t="str">
        <f>"4036S"</f>
        <v>4036S</v>
      </c>
      <c r="C105" s="91" t="str">
        <f t="shared" si="3"/>
        <v/>
      </c>
      <c r="D105" s="92" t="s">
        <v>125</v>
      </c>
      <c r="E105" s="93" t="s">
        <v>119</v>
      </c>
      <c r="F105" s="94"/>
      <c r="G105" s="94"/>
      <c r="H105" s="95"/>
      <c r="I105" s="96">
        <v>0.5544</v>
      </c>
      <c r="J105" s="93" t="s">
        <v>31</v>
      </c>
      <c r="K105" s="97"/>
      <c r="L105" s="93" t="str">
        <f t="shared" si="1"/>
        <v/>
      </c>
      <c r="M105" s="98">
        <f t="shared" si="2"/>
        <v>0</v>
      </c>
      <c r="N105" s="77"/>
      <c r="O105" s="90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</row>
    <row r="106" ht="18.0" customHeight="1">
      <c r="A106" s="81"/>
      <c r="B106" s="91" t="str">
        <f>"80211"</f>
        <v>80211</v>
      </c>
      <c r="C106" s="91" t="str">
        <f>"693102802117"</f>
        <v>693102802117</v>
      </c>
      <c r="D106" s="92" t="s">
        <v>35</v>
      </c>
      <c r="E106" s="93" t="s">
        <v>126</v>
      </c>
      <c r="F106" s="94"/>
      <c r="G106" s="94"/>
      <c r="H106" s="95"/>
      <c r="I106" s="96">
        <v>19.008</v>
      </c>
      <c r="J106" s="93" t="s">
        <v>31</v>
      </c>
      <c r="K106" s="97"/>
      <c r="L106" s="93" t="str">
        <f t="shared" si="1"/>
        <v/>
      </c>
      <c r="M106" s="98">
        <f t="shared" si="2"/>
        <v>0</v>
      </c>
      <c r="N106" s="77"/>
      <c r="O106" s="90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</row>
    <row r="107" ht="18.0" customHeight="1">
      <c r="A107" s="81"/>
      <c r="B107" s="91" t="str">
        <f>"84021"</f>
        <v>84021</v>
      </c>
      <c r="C107" s="91" t="str">
        <f>"693102840218"</f>
        <v>693102840218</v>
      </c>
      <c r="D107" s="92" t="s">
        <v>32</v>
      </c>
      <c r="E107" s="93" t="s">
        <v>126</v>
      </c>
      <c r="F107" s="94"/>
      <c r="G107" s="94"/>
      <c r="H107" s="95"/>
      <c r="I107" s="96">
        <v>19.008</v>
      </c>
      <c r="J107" s="93" t="s">
        <v>31</v>
      </c>
      <c r="K107" s="97"/>
      <c r="L107" s="93" t="str">
        <f t="shared" si="1"/>
        <v/>
      </c>
      <c r="M107" s="98">
        <f t="shared" si="2"/>
        <v>0</v>
      </c>
      <c r="N107" s="77"/>
      <c r="O107" s="90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</row>
    <row r="108" ht="18.0" customHeight="1">
      <c r="A108" s="81"/>
      <c r="B108" s="91" t="str">
        <f>"80222"</f>
        <v>80222</v>
      </c>
      <c r="C108" s="91" t="str">
        <f>"693102802223"</f>
        <v>693102802223</v>
      </c>
      <c r="D108" s="92" t="s">
        <v>44</v>
      </c>
      <c r="E108" s="93" t="s">
        <v>126</v>
      </c>
      <c r="F108" s="94"/>
      <c r="G108" s="94"/>
      <c r="H108" s="95"/>
      <c r="I108" s="96">
        <v>15.2064</v>
      </c>
      <c r="J108" s="93" t="s">
        <v>31</v>
      </c>
      <c r="K108" s="97"/>
      <c r="L108" s="93" t="str">
        <f t="shared" si="1"/>
        <v/>
      </c>
      <c r="M108" s="98">
        <f t="shared" si="2"/>
        <v>0</v>
      </c>
      <c r="N108" s="77"/>
      <c r="O108" s="90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</row>
    <row r="109" ht="18.0" customHeight="1">
      <c r="A109" s="81"/>
      <c r="B109" s="91" t="str">
        <f>"80233"</f>
        <v>80233</v>
      </c>
      <c r="C109" s="91" t="str">
        <f>"693102802339"</f>
        <v>693102802339</v>
      </c>
      <c r="D109" s="92" t="s">
        <v>36</v>
      </c>
      <c r="E109" s="93" t="s">
        <v>126</v>
      </c>
      <c r="F109" s="94"/>
      <c r="G109" s="94"/>
      <c r="H109" s="95"/>
      <c r="I109" s="96">
        <v>14.256</v>
      </c>
      <c r="J109" s="93" t="s">
        <v>31</v>
      </c>
      <c r="K109" s="97"/>
      <c r="L109" s="93" t="str">
        <f t="shared" si="1"/>
        <v/>
      </c>
      <c r="M109" s="98">
        <f t="shared" si="2"/>
        <v>0</v>
      </c>
      <c r="N109" s="77"/>
      <c r="O109" s="90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</row>
    <row r="110" ht="18.0" customHeight="1">
      <c r="A110" s="81"/>
      <c r="B110" s="91" t="str">
        <f>"80244"</f>
        <v>80244</v>
      </c>
      <c r="C110" s="91" t="str">
        <f>"693102802445"</f>
        <v>693102802445</v>
      </c>
      <c r="D110" s="92" t="s">
        <v>45</v>
      </c>
      <c r="E110" s="93" t="s">
        <v>126</v>
      </c>
      <c r="F110" s="94"/>
      <c r="G110" s="94"/>
      <c r="H110" s="95"/>
      <c r="I110" s="96">
        <v>15.2064</v>
      </c>
      <c r="J110" s="93" t="s">
        <v>31</v>
      </c>
      <c r="K110" s="97"/>
      <c r="L110" s="93" t="str">
        <f t="shared" si="1"/>
        <v/>
      </c>
      <c r="M110" s="98">
        <f t="shared" si="2"/>
        <v>0</v>
      </c>
      <c r="N110" s="77"/>
      <c r="O110" s="90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</row>
    <row r="111" ht="18.0" customHeight="1">
      <c r="A111" s="81"/>
      <c r="B111" s="91" t="str">
        <f>"84030"</f>
        <v>84030</v>
      </c>
      <c r="C111" s="91" t="str">
        <f>"693102840300"</f>
        <v>693102840300</v>
      </c>
      <c r="D111" s="92" t="s">
        <v>127</v>
      </c>
      <c r="E111" s="93" t="s">
        <v>126</v>
      </c>
      <c r="F111" s="94"/>
      <c r="G111" s="94"/>
      <c r="H111" s="95"/>
      <c r="I111" s="96">
        <v>20.9088</v>
      </c>
      <c r="J111" s="93" t="s">
        <v>31</v>
      </c>
      <c r="K111" s="97"/>
      <c r="L111" s="93" t="str">
        <f t="shared" si="1"/>
        <v/>
      </c>
      <c r="M111" s="98">
        <f t="shared" si="2"/>
        <v>0</v>
      </c>
      <c r="N111" s="77"/>
      <c r="O111" s="90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</row>
    <row r="112" ht="18.0" customHeight="1">
      <c r="A112" s="81"/>
      <c r="B112" s="91" t="str">
        <f>"91000"</f>
        <v>91000</v>
      </c>
      <c r="C112" s="91" t="str">
        <f>"693102910003"</f>
        <v>693102910003</v>
      </c>
      <c r="D112" s="92" t="s">
        <v>39</v>
      </c>
      <c r="E112" s="93" t="s">
        <v>126</v>
      </c>
      <c r="F112" s="94"/>
      <c r="G112" s="94"/>
      <c r="H112" s="95"/>
      <c r="I112" s="96">
        <v>20.9088</v>
      </c>
      <c r="J112" s="93" t="s">
        <v>31</v>
      </c>
      <c r="K112" s="97"/>
      <c r="L112" s="93" t="str">
        <f t="shared" si="1"/>
        <v/>
      </c>
      <c r="M112" s="98">
        <f t="shared" si="2"/>
        <v>0</v>
      </c>
      <c r="N112" s="77"/>
      <c r="O112" s="90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</row>
    <row r="113" ht="18.0" customHeight="1">
      <c r="A113" s="81"/>
      <c r="B113" s="91" t="str">
        <f>"80611"</f>
        <v>80611</v>
      </c>
      <c r="C113" s="91" t="str">
        <f>"693102806115"</f>
        <v>693102806115</v>
      </c>
      <c r="D113" s="92" t="s">
        <v>38</v>
      </c>
      <c r="E113" s="93" t="s">
        <v>126</v>
      </c>
      <c r="F113" s="94"/>
      <c r="G113" s="94"/>
      <c r="H113" s="95"/>
      <c r="I113" s="96">
        <v>15.2064</v>
      </c>
      <c r="J113" s="93" t="s">
        <v>31</v>
      </c>
      <c r="K113" s="97"/>
      <c r="L113" s="93" t="str">
        <f t="shared" si="1"/>
        <v/>
      </c>
      <c r="M113" s="98">
        <f t="shared" si="2"/>
        <v>0</v>
      </c>
      <c r="N113" s="77"/>
      <c r="O113" s="90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</row>
    <row r="114" ht="18.0" customHeight="1">
      <c r="A114" s="81"/>
      <c r="B114" s="91" t="str">
        <f>"80622"</f>
        <v>80622</v>
      </c>
      <c r="C114" s="91" t="str">
        <f>"693102806221"</f>
        <v>693102806221</v>
      </c>
      <c r="D114" s="92" t="s">
        <v>46</v>
      </c>
      <c r="E114" s="93" t="s">
        <v>126</v>
      </c>
      <c r="F114" s="94"/>
      <c r="G114" s="94"/>
      <c r="H114" s="95"/>
      <c r="I114" s="96">
        <v>14.256</v>
      </c>
      <c r="J114" s="93" t="s">
        <v>31</v>
      </c>
      <c r="K114" s="97"/>
      <c r="L114" s="93" t="str">
        <f t="shared" si="1"/>
        <v/>
      </c>
      <c r="M114" s="98">
        <f t="shared" si="2"/>
        <v>0</v>
      </c>
      <c r="N114" s="77"/>
      <c r="O114" s="90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</row>
    <row r="115" ht="18.0" customHeight="1">
      <c r="A115" s="81"/>
      <c r="B115" s="91" t="str">
        <f>"80655"</f>
        <v>80655</v>
      </c>
      <c r="C115" s="91" t="str">
        <f>"693102806559"</f>
        <v>693102806559</v>
      </c>
      <c r="D115" s="92" t="s">
        <v>62</v>
      </c>
      <c r="E115" s="93" t="s">
        <v>128</v>
      </c>
      <c r="F115" s="94"/>
      <c r="G115" s="94"/>
      <c r="H115" s="95"/>
      <c r="I115" s="96">
        <v>26.6112</v>
      </c>
      <c r="J115" s="93" t="s">
        <v>31</v>
      </c>
      <c r="K115" s="97"/>
      <c r="L115" s="93" t="str">
        <f t="shared" si="1"/>
        <v/>
      </c>
      <c r="M115" s="98">
        <f t="shared" si="2"/>
        <v>0</v>
      </c>
      <c r="N115" s="77"/>
      <c r="O115" s="90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</row>
    <row r="116" ht="18.0" customHeight="1">
      <c r="A116" s="81"/>
      <c r="B116" s="91" t="str">
        <f>"80633"</f>
        <v>80633</v>
      </c>
      <c r="C116" s="91" t="str">
        <f>"693102806337"</f>
        <v>693102806337</v>
      </c>
      <c r="D116" s="92" t="s">
        <v>63</v>
      </c>
      <c r="E116" s="93" t="s">
        <v>128</v>
      </c>
      <c r="F116" s="94"/>
      <c r="G116" s="94"/>
      <c r="H116" s="95"/>
      <c r="I116" s="96">
        <v>26.6112</v>
      </c>
      <c r="J116" s="93" t="s">
        <v>31</v>
      </c>
      <c r="K116" s="97"/>
      <c r="L116" s="93" t="str">
        <f t="shared" si="1"/>
        <v/>
      </c>
      <c r="M116" s="98">
        <f t="shared" si="2"/>
        <v>0</v>
      </c>
      <c r="N116" s="77"/>
      <c r="O116" s="90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</row>
    <row r="117" ht="18.0" customHeight="1">
      <c r="A117" s="81"/>
      <c r="B117" s="91" t="str">
        <f>"90000"</f>
        <v>90000</v>
      </c>
      <c r="C117" s="91" t="str">
        <f>"693102900004"</f>
        <v>693102900004</v>
      </c>
      <c r="D117" s="92" t="s">
        <v>59</v>
      </c>
      <c r="E117" s="93" t="s">
        <v>129</v>
      </c>
      <c r="F117" s="94"/>
      <c r="G117" s="94"/>
      <c r="H117" s="95"/>
      <c r="I117" s="96">
        <v>20.9088</v>
      </c>
      <c r="J117" s="93" t="s">
        <v>31</v>
      </c>
      <c r="K117" s="97"/>
      <c r="L117" s="93" t="str">
        <f t="shared" si="1"/>
        <v/>
      </c>
      <c r="M117" s="98">
        <f t="shared" si="2"/>
        <v>0</v>
      </c>
      <c r="N117" s="77"/>
      <c r="O117" s="90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</row>
    <row r="118" ht="18.0" customHeight="1">
      <c r="A118" s="81"/>
      <c r="B118" s="91" t="str">
        <f>"899129"</f>
        <v>899129</v>
      </c>
      <c r="C118" s="91" t="str">
        <f>"693102991293"</f>
        <v>693102991293</v>
      </c>
      <c r="D118" s="92" t="s">
        <v>53</v>
      </c>
      <c r="E118" s="93" t="s">
        <v>130</v>
      </c>
      <c r="F118" s="94"/>
      <c r="G118" s="94"/>
      <c r="H118" s="95"/>
      <c r="I118" s="96">
        <v>20.9088</v>
      </c>
      <c r="J118" s="93" t="s">
        <v>31</v>
      </c>
      <c r="K118" s="97"/>
      <c r="L118" s="93" t="str">
        <f t="shared" si="1"/>
        <v/>
      </c>
      <c r="M118" s="98">
        <f t="shared" si="2"/>
        <v>0</v>
      </c>
      <c r="N118" s="77"/>
      <c r="O118" s="90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</row>
    <row r="119" ht="18.0" customHeight="1">
      <c r="A119" s="81"/>
      <c r="B119" s="91" t="str">
        <f>"899122"</f>
        <v>899122</v>
      </c>
      <c r="C119" s="91" t="str">
        <f>"693102991224"</f>
        <v>693102991224</v>
      </c>
      <c r="D119" s="92" t="s">
        <v>56</v>
      </c>
      <c r="E119" s="93" t="s">
        <v>131</v>
      </c>
      <c r="F119" s="94"/>
      <c r="G119" s="94"/>
      <c r="H119" s="95"/>
      <c r="I119" s="96">
        <v>32.3136</v>
      </c>
      <c r="J119" s="93" t="s">
        <v>31</v>
      </c>
      <c r="K119" s="97"/>
      <c r="L119" s="93" t="str">
        <f t="shared" si="1"/>
        <v/>
      </c>
      <c r="M119" s="98">
        <f t="shared" si="2"/>
        <v>0</v>
      </c>
      <c r="N119" s="77"/>
      <c r="O119" s="90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</row>
    <row r="120" ht="18.0" customHeight="1">
      <c r="A120" s="81"/>
      <c r="B120" s="91" t="str">
        <f>"80834"</f>
        <v>80834</v>
      </c>
      <c r="C120" s="91" t="str">
        <f>"693102808348"</f>
        <v>693102808348</v>
      </c>
      <c r="D120" s="92" t="s">
        <v>120</v>
      </c>
      <c r="E120" s="93" t="s">
        <v>130</v>
      </c>
      <c r="F120" s="94"/>
      <c r="G120" s="94"/>
      <c r="H120" s="95"/>
      <c r="I120" s="96">
        <v>22.8096</v>
      </c>
      <c r="J120" s="93" t="s">
        <v>31</v>
      </c>
      <c r="K120" s="97"/>
      <c r="L120" s="93" t="str">
        <f t="shared" si="1"/>
        <v/>
      </c>
      <c r="M120" s="98">
        <f t="shared" si="2"/>
        <v>0</v>
      </c>
      <c r="N120" s="77"/>
      <c r="O120" s="90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</row>
    <row r="121" ht="18.0" customHeight="1">
      <c r="A121" s="81"/>
      <c r="B121" s="91" t="str">
        <f>"899123"</f>
        <v>899123</v>
      </c>
      <c r="C121" s="91" t="str">
        <f>"693102991231"</f>
        <v>693102991231</v>
      </c>
      <c r="D121" s="92" t="s">
        <v>51</v>
      </c>
      <c r="E121" s="93" t="s">
        <v>130</v>
      </c>
      <c r="F121" s="94"/>
      <c r="G121" s="94"/>
      <c r="H121" s="95"/>
      <c r="I121" s="96">
        <v>22.8096</v>
      </c>
      <c r="J121" s="93" t="s">
        <v>31</v>
      </c>
      <c r="K121" s="97"/>
      <c r="L121" s="93" t="str">
        <f t="shared" si="1"/>
        <v/>
      </c>
      <c r="M121" s="98">
        <f t="shared" si="2"/>
        <v>0</v>
      </c>
      <c r="N121" s="77"/>
      <c r="O121" s="90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</row>
    <row r="122" ht="18.0" customHeight="1">
      <c r="A122" s="81"/>
      <c r="B122" s="91" t="str">
        <f>"899136"</f>
        <v>899136</v>
      </c>
      <c r="C122" s="91" t="str">
        <f>"693102991361"</f>
        <v>693102991361</v>
      </c>
      <c r="D122" s="92" t="s">
        <v>132</v>
      </c>
      <c r="E122" s="93" t="s">
        <v>130</v>
      </c>
      <c r="F122" s="94"/>
      <c r="G122" s="94"/>
      <c r="H122" s="95"/>
      <c r="I122" s="96">
        <v>39.9168</v>
      </c>
      <c r="J122" s="93" t="s">
        <v>31</v>
      </c>
      <c r="K122" s="97"/>
      <c r="L122" s="93" t="str">
        <f t="shared" si="1"/>
        <v/>
      </c>
      <c r="M122" s="98">
        <f t="shared" si="2"/>
        <v>0</v>
      </c>
      <c r="N122" s="77"/>
      <c r="O122" s="90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</row>
    <row r="123" ht="18.0" customHeight="1">
      <c r="A123" s="81"/>
      <c r="B123" s="91" t="str">
        <f>"899120"</f>
        <v>899120</v>
      </c>
      <c r="C123" s="91" t="str">
        <f>"693102991200"</f>
        <v>693102991200</v>
      </c>
      <c r="D123" s="92" t="s">
        <v>60</v>
      </c>
      <c r="E123" s="93" t="s">
        <v>130</v>
      </c>
      <c r="F123" s="94"/>
      <c r="G123" s="94"/>
      <c r="H123" s="95"/>
      <c r="I123" s="96">
        <v>39.9168</v>
      </c>
      <c r="J123" s="93" t="s">
        <v>31</v>
      </c>
      <c r="K123" s="97"/>
      <c r="L123" s="93" t="str">
        <f t="shared" si="1"/>
        <v/>
      </c>
      <c r="M123" s="98">
        <f t="shared" si="2"/>
        <v>0</v>
      </c>
      <c r="N123" s="77"/>
      <c r="O123" s="90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</row>
    <row r="124" ht="18.0" customHeight="1">
      <c r="A124" s="81"/>
      <c r="B124" s="91" t="str">
        <f>"899121"</f>
        <v>899121</v>
      </c>
      <c r="C124" s="91" t="str">
        <f>"693102991217"</f>
        <v>693102991217</v>
      </c>
      <c r="D124" s="92" t="s">
        <v>61</v>
      </c>
      <c r="E124" s="93" t="s">
        <v>130</v>
      </c>
      <c r="F124" s="94"/>
      <c r="G124" s="94"/>
      <c r="H124" s="95"/>
      <c r="I124" s="96">
        <v>39.9168</v>
      </c>
      <c r="J124" s="93" t="s">
        <v>31</v>
      </c>
      <c r="K124" s="97"/>
      <c r="L124" s="93" t="str">
        <f t="shared" si="1"/>
        <v/>
      </c>
      <c r="M124" s="98">
        <f t="shared" si="2"/>
        <v>0</v>
      </c>
      <c r="N124" s="77"/>
      <c r="O124" s="90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</row>
    <row r="125" ht="18.0" customHeight="1">
      <c r="A125" s="81"/>
      <c r="B125" s="91" t="str">
        <f>"899125"</f>
        <v>899125</v>
      </c>
      <c r="C125" s="91" t="str">
        <f>"693102991255"</f>
        <v>693102991255</v>
      </c>
      <c r="D125" s="92" t="s">
        <v>70</v>
      </c>
      <c r="E125" s="93" t="s">
        <v>130</v>
      </c>
      <c r="F125" s="94"/>
      <c r="G125" s="94"/>
      <c r="H125" s="95"/>
      <c r="I125" s="96">
        <v>32.3136</v>
      </c>
      <c r="J125" s="93" t="s">
        <v>31</v>
      </c>
      <c r="K125" s="97"/>
      <c r="L125" s="93" t="str">
        <f t="shared" si="1"/>
        <v/>
      </c>
      <c r="M125" s="98">
        <f t="shared" si="2"/>
        <v>0</v>
      </c>
      <c r="N125" s="77"/>
      <c r="O125" s="90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</row>
    <row r="126" ht="18.0" customHeight="1">
      <c r="A126" s="81"/>
      <c r="B126" s="91" t="str">
        <f>"899131"</f>
        <v>899131</v>
      </c>
      <c r="C126" s="91" t="str">
        <f>"693102991316"</f>
        <v>693102991316</v>
      </c>
      <c r="D126" s="92" t="s">
        <v>133</v>
      </c>
      <c r="E126" s="93" t="s">
        <v>128</v>
      </c>
      <c r="F126" s="94"/>
      <c r="G126" s="94"/>
      <c r="H126" s="95"/>
      <c r="I126" s="96">
        <v>26.6112</v>
      </c>
      <c r="J126" s="93" t="s">
        <v>31</v>
      </c>
      <c r="K126" s="97"/>
      <c r="L126" s="93" t="str">
        <f t="shared" si="1"/>
        <v/>
      </c>
      <c r="M126" s="98">
        <f t="shared" si="2"/>
        <v>0</v>
      </c>
      <c r="N126" s="77"/>
      <c r="O126" s="90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</row>
    <row r="127" ht="18.0" customHeight="1">
      <c r="A127" s="81"/>
      <c r="B127" s="91" t="str">
        <f>"899130"</f>
        <v>899130</v>
      </c>
      <c r="C127" s="91" t="str">
        <f>"693102991309"</f>
        <v>693102991309</v>
      </c>
      <c r="D127" s="92" t="s">
        <v>66</v>
      </c>
      <c r="E127" s="93" t="s">
        <v>130</v>
      </c>
      <c r="F127" s="94"/>
      <c r="G127" s="94"/>
      <c r="H127" s="95"/>
      <c r="I127" s="96">
        <v>39.9168</v>
      </c>
      <c r="J127" s="93" t="s">
        <v>31</v>
      </c>
      <c r="K127" s="97"/>
      <c r="L127" s="93" t="str">
        <f t="shared" si="1"/>
        <v/>
      </c>
      <c r="M127" s="98">
        <f t="shared" si="2"/>
        <v>0</v>
      </c>
      <c r="N127" s="77"/>
      <c r="O127" s="90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</row>
    <row r="128" ht="18.0" customHeight="1">
      <c r="A128" s="81"/>
      <c r="B128" s="91" t="str">
        <f>"894098"</f>
        <v>894098</v>
      </c>
      <c r="C128" s="91" t="str">
        <f>"693102940987"</f>
        <v>693102940987</v>
      </c>
      <c r="D128" s="92" t="s">
        <v>67</v>
      </c>
      <c r="E128" s="93" t="s">
        <v>130</v>
      </c>
      <c r="F128" s="94"/>
      <c r="G128" s="94"/>
      <c r="H128" s="95"/>
      <c r="I128" s="96">
        <v>34.2144</v>
      </c>
      <c r="J128" s="93" t="s">
        <v>31</v>
      </c>
      <c r="K128" s="97"/>
      <c r="L128" s="93" t="str">
        <f t="shared" si="1"/>
        <v/>
      </c>
      <c r="M128" s="98">
        <f t="shared" si="2"/>
        <v>0</v>
      </c>
      <c r="N128" s="77"/>
      <c r="O128" s="90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</row>
    <row r="129" ht="18.0" customHeight="1">
      <c r="A129" s="81"/>
      <c r="B129" s="91" t="str">
        <f>"80217"</f>
        <v>80217</v>
      </c>
      <c r="C129" s="91" t="str">
        <f>"693102802179"</f>
        <v>693102802179</v>
      </c>
      <c r="D129" s="92" t="s">
        <v>64</v>
      </c>
      <c r="E129" s="93" t="s">
        <v>130</v>
      </c>
      <c r="F129" s="94"/>
      <c r="G129" s="94"/>
      <c r="H129" s="95"/>
      <c r="I129" s="96">
        <v>34.2144</v>
      </c>
      <c r="J129" s="93" t="s">
        <v>31</v>
      </c>
      <c r="K129" s="97"/>
      <c r="L129" s="93" t="str">
        <f t="shared" si="1"/>
        <v/>
      </c>
      <c r="M129" s="98">
        <f t="shared" si="2"/>
        <v>0</v>
      </c>
      <c r="N129" s="77"/>
      <c r="O129" s="90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</row>
    <row r="130" ht="18.0" customHeight="1">
      <c r="A130" s="81"/>
      <c r="B130" s="91" t="str">
        <f>"899141"</f>
        <v>899141</v>
      </c>
      <c r="C130" s="91" t="str">
        <f>"693102991415"</f>
        <v>693102991415</v>
      </c>
      <c r="D130" s="92" t="s">
        <v>65</v>
      </c>
      <c r="E130" s="93" t="s">
        <v>130</v>
      </c>
      <c r="F130" s="94"/>
      <c r="G130" s="94"/>
      <c r="H130" s="95"/>
      <c r="I130" s="96">
        <v>39.9168</v>
      </c>
      <c r="J130" s="93" t="s">
        <v>31</v>
      </c>
      <c r="K130" s="97"/>
      <c r="L130" s="93" t="str">
        <f t="shared" si="1"/>
        <v/>
      </c>
      <c r="M130" s="98">
        <f t="shared" si="2"/>
        <v>0</v>
      </c>
      <c r="N130" s="77"/>
      <c r="O130" s="90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</row>
    <row r="131" ht="18.0" customHeight="1">
      <c r="A131" s="81"/>
      <c r="B131" s="91" t="str">
        <f>"899127"</f>
        <v>899127</v>
      </c>
      <c r="C131" s="91" t="str">
        <f>"693102991279"</f>
        <v>693102991279</v>
      </c>
      <c r="D131" s="92" t="s">
        <v>122</v>
      </c>
      <c r="E131" s="93" t="s">
        <v>130</v>
      </c>
      <c r="F131" s="94"/>
      <c r="G131" s="94"/>
      <c r="H131" s="95"/>
      <c r="I131" s="96">
        <v>39.9168</v>
      </c>
      <c r="J131" s="93" t="s">
        <v>31</v>
      </c>
      <c r="K131" s="97"/>
      <c r="L131" s="93" t="str">
        <f t="shared" si="1"/>
        <v/>
      </c>
      <c r="M131" s="98">
        <f t="shared" si="2"/>
        <v>0</v>
      </c>
      <c r="N131" s="77"/>
      <c r="O131" s="90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</row>
    <row r="132" ht="18.0" customHeight="1">
      <c r="A132" s="81"/>
      <c r="B132" s="91" t="str">
        <f>"80911"</f>
        <v>80911</v>
      </c>
      <c r="C132" s="91" t="str">
        <f>"693102809116"</f>
        <v>693102809116</v>
      </c>
      <c r="D132" s="92" t="s">
        <v>134</v>
      </c>
      <c r="E132" s="93" t="s">
        <v>131</v>
      </c>
      <c r="F132" s="94"/>
      <c r="G132" s="94"/>
      <c r="H132" s="95"/>
      <c r="I132" s="96">
        <v>17.1072</v>
      </c>
      <c r="J132" s="93" t="s">
        <v>31</v>
      </c>
      <c r="K132" s="97"/>
      <c r="L132" s="93" t="str">
        <f t="shared" si="1"/>
        <v/>
      </c>
      <c r="M132" s="98">
        <f t="shared" si="2"/>
        <v>0</v>
      </c>
      <c r="N132" s="77"/>
      <c r="O132" s="90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</row>
    <row r="133" ht="18.0" customHeight="1">
      <c r="A133" s="81"/>
      <c r="B133" s="91" t="str">
        <f>"899128"</f>
        <v>899128</v>
      </c>
      <c r="C133" s="91" t="str">
        <f>"693102991286"</f>
        <v>693102991286</v>
      </c>
      <c r="D133" s="92" t="s">
        <v>54</v>
      </c>
      <c r="E133" s="93" t="s">
        <v>130</v>
      </c>
      <c r="F133" s="94"/>
      <c r="G133" s="94"/>
      <c r="H133" s="95"/>
      <c r="I133" s="96">
        <v>20.9088</v>
      </c>
      <c r="J133" s="93" t="s">
        <v>31</v>
      </c>
      <c r="K133" s="97"/>
      <c r="L133" s="93" t="str">
        <f t="shared" si="1"/>
        <v/>
      </c>
      <c r="M133" s="98">
        <f t="shared" si="2"/>
        <v>0</v>
      </c>
      <c r="N133" s="77"/>
      <c r="O133" s="90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</row>
    <row r="134" ht="18.0" customHeight="1">
      <c r="A134" s="81"/>
      <c r="B134" s="91" t="str">
        <f>"80255"</f>
        <v>80255</v>
      </c>
      <c r="C134" s="91" t="str">
        <f>"693102802551"</f>
        <v>693102802551</v>
      </c>
      <c r="D134" s="92" t="s">
        <v>71</v>
      </c>
      <c r="E134" s="93" t="s">
        <v>131</v>
      </c>
      <c r="F134" s="94"/>
      <c r="G134" s="94"/>
      <c r="H134" s="95"/>
      <c r="I134" s="96">
        <v>18.0576</v>
      </c>
      <c r="J134" s="93" t="s">
        <v>31</v>
      </c>
      <c r="K134" s="97"/>
      <c r="L134" s="93" t="str">
        <f t="shared" si="1"/>
        <v/>
      </c>
      <c r="M134" s="98">
        <f t="shared" si="2"/>
        <v>0</v>
      </c>
      <c r="N134" s="77"/>
      <c r="O134" s="90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</row>
    <row r="135" ht="18.0" customHeight="1">
      <c r="A135" s="81"/>
      <c r="B135" s="91" t="str">
        <f>"80210"</f>
        <v>80210</v>
      </c>
      <c r="C135" s="91" t="str">
        <f>"693102802100"</f>
        <v>693102802100</v>
      </c>
      <c r="D135" s="92" t="s">
        <v>135</v>
      </c>
      <c r="E135" s="93" t="s">
        <v>128</v>
      </c>
      <c r="F135" s="94"/>
      <c r="G135" s="94"/>
      <c r="H135" s="95"/>
      <c r="I135" s="96">
        <v>26.6112</v>
      </c>
      <c r="J135" s="93" t="s">
        <v>31</v>
      </c>
      <c r="K135" s="97"/>
      <c r="L135" s="93" t="str">
        <f t="shared" si="1"/>
        <v/>
      </c>
      <c r="M135" s="98">
        <f t="shared" si="2"/>
        <v>0</v>
      </c>
      <c r="N135" s="77"/>
      <c r="O135" s="90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</row>
    <row r="136" ht="18.0" customHeight="1">
      <c r="A136" s="81"/>
      <c r="B136" s="91" t="str">
        <f>"80220"</f>
        <v>80220</v>
      </c>
      <c r="C136" s="91" t="str">
        <f>"693102802209"</f>
        <v>693102802209</v>
      </c>
      <c r="D136" s="92" t="s">
        <v>88</v>
      </c>
      <c r="E136" s="93" t="s">
        <v>128</v>
      </c>
      <c r="F136" s="94"/>
      <c r="G136" s="94"/>
      <c r="H136" s="95"/>
      <c r="I136" s="96">
        <v>26.6112</v>
      </c>
      <c r="J136" s="93" t="s">
        <v>31</v>
      </c>
      <c r="K136" s="97"/>
      <c r="L136" s="93" t="str">
        <f t="shared" si="1"/>
        <v/>
      </c>
      <c r="M136" s="98">
        <f t="shared" si="2"/>
        <v>0</v>
      </c>
      <c r="N136" s="77"/>
      <c r="O136" s="90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</row>
    <row r="137" ht="18.0" customHeight="1">
      <c r="A137" s="81"/>
      <c r="B137" s="91" t="str">
        <f>"80245"</f>
        <v>80245</v>
      </c>
      <c r="C137" s="91" t="str">
        <f>"693102802452"</f>
        <v>693102802452</v>
      </c>
      <c r="D137" s="92" t="s">
        <v>87</v>
      </c>
      <c r="E137" s="93" t="s">
        <v>128</v>
      </c>
      <c r="F137" s="94"/>
      <c r="G137" s="94"/>
      <c r="H137" s="95"/>
      <c r="I137" s="96">
        <v>26.6112</v>
      </c>
      <c r="J137" s="93" t="s">
        <v>31</v>
      </c>
      <c r="K137" s="97"/>
      <c r="L137" s="93" t="str">
        <f t="shared" si="1"/>
        <v/>
      </c>
      <c r="M137" s="98">
        <f t="shared" si="2"/>
        <v>0</v>
      </c>
      <c r="N137" s="77"/>
      <c r="O137" s="90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</row>
    <row r="138" ht="18.0" customHeight="1">
      <c r="A138" s="81"/>
      <c r="B138" s="91" t="str">
        <f>"80931"</f>
        <v>80931</v>
      </c>
      <c r="C138" s="91" t="str">
        <f>"693102809314"</f>
        <v>693102809314</v>
      </c>
      <c r="D138" s="92" t="s">
        <v>125</v>
      </c>
      <c r="E138" s="93" t="s">
        <v>128</v>
      </c>
      <c r="F138" s="94"/>
      <c r="G138" s="94"/>
      <c r="H138" s="95"/>
      <c r="I138" s="96">
        <v>26.6112</v>
      </c>
      <c r="J138" s="93" t="s">
        <v>31</v>
      </c>
      <c r="K138" s="97"/>
      <c r="L138" s="93" t="str">
        <f t="shared" si="1"/>
        <v/>
      </c>
      <c r="M138" s="98">
        <f t="shared" si="2"/>
        <v>0</v>
      </c>
      <c r="N138" s="77"/>
      <c r="O138" s="90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</row>
    <row r="139" ht="18.0" customHeight="1">
      <c r="A139" s="81"/>
      <c r="B139" s="91" t="str">
        <f>"80833"</f>
        <v>80833</v>
      </c>
      <c r="C139" s="91" t="str">
        <f>"693102808331"</f>
        <v>693102808331</v>
      </c>
      <c r="D139" s="92" t="s">
        <v>136</v>
      </c>
      <c r="E139" s="93" t="s">
        <v>130</v>
      </c>
      <c r="F139" s="94"/>
      <c r="G139" s="94"/>
      <c r="H139" s="95"/>
      <c r="I139" s="96">
        <v>20.9088</v>
      </c>
      <c r="J139" s="93" t="s">
        <v>31</v>
      </c>
      <c r="K139" s="97"/>
      <c r="L139" s="93" t="str">
        <f t="shared" si="1"/>
        <v/>
      </c>
      <c r="M139" s="98">
        <f t="shared" si="2"/>
        <v>0</v>
      </c>
      <c r="N139" s="77"/>
      <c r="O139" s="90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</row>
    <row r="140" ht="18.0" customHeight="1">
      <c r="A140" s="81"/>
      <c r="B140" s="91" t="str">
        <f>"899140"</f>
        <v>899140</v>
      </c>
      <c r="C140" s="91" t="str">
        <f>"693102991408"</f>
        <v>693102991408</v>
      </c>
      <c r="D140" s="92" t="s">
        <v>137</v>
      </c>
      <c r="E140" s="93" t="s">
        <v>126</v>
      </c>
      <c r="F140" s="94"/>
      <c r="G140" s="94"/>
      <c r="H140" s="95"/>
      <c r="I140" s="96">
        <v>18.96048</v>
      </c>
      <c r="J140" s="93" t="s">
        <v>31</v>
      </c>
      <c r="K140" s="97"/>
      <c r="L140" s="93" t="str">
        <f t="shared" si="1"/>
        <v/>
      </c>
      <c r="M140" s="98">
        <f t="shared" si="2"/>
        <v>0</v>
      </c>
      <c r="N140" s="77"/>
      <c r="O140" s="90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</row>
    <row r="141" ht="18.0" customHeight="1">
      <c r="A141" s="81"/>
      <c r="B141" s="91" t="str">
        <f>"80922"</f>
        <v>80922</v>
      </c>
      <c r="C141" s="91" t="str">
        <f>"693102809222"</f>
        <v>693102809222</v>
      </c>
      <c r="D141" s="92" t="s">
        <v>138</v>
      </c>
      <c r="E141" s="93" t="s">
        <v>139</v>
      </c>
      <c r="F141" s="94"/>
      <c r="G141" s="94"/>
      <c r="H141" s="95"/>
      <c r="I141" s="96">
        <v>47.52</v>
      </c>
      <c r="J141" s="93" t="s">
        <v>31</v>
      </c>
      <c r="K141" s="97"/>
      <c r="L141" s="93" t="str">
        <f t="shared" si="1"/>
        <v/>
      </c>
      <c r="M141" s="98">
        <f t="shared" si="2"/>
        <v>0</v>
      </c>
      <c r="N141" s="77"/>
      <c r="O141" s="90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</row>
    <row r="142" ht="18.0" customHeight="1">
      <c r="A142" s="81"/>
      <c r="B142" s="91" t="str">
        <f>"80955"</f>
        <v>80955</v>
      </c>
      <c r="C142" s="91" t="str">
        <f>"693102809550"</f>
        <v>693102809550</v>
      </c>
      <c r="D142" s="92" t="s">
        <v>140</v>
      </c>
      <c r="E142" s="93" t="s">
        <v>141</v>
      </c>
      <c r="F142" s="94"/>
      <c r="G142" s="94"/>
      <c r="H142" s="95"/>
      <c r="I142" s="96">
        <v>47.52</v>
      </c>
      <c r="J142" s="93" t="s">
        <v>31</v>
      </c>
      <c r="K142" s="97"/>
      <c r="L142" s="93" t="str">
        <f t="shared" si="1"/>
        <v/>
      </c>
      <c r="M142" s="98">
        <f t="shared" si="2"/>
        <v>0</v>
      </c>
      <c r="N142" s="77"/>
      <c r="O142" s="90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</row>
    <row r="143" ht="18.0" customHeight="1">
      <c r="A143" s="81"/>
      <c r="B143" s="91" t="str">
        <f>"80999"</f>
        <v>80999</v>
      </c>
      <c r="C143" s="91" t="str">
        <f>"693102809994"</f>
        <v>693102809994</v>
      </c>
      <c r="D143" s="92" t="s">
        <v>142</v>
      </c>
      <c r="E143" s="93" t="s">
        <v>40</v>
      </c>
      <c r="F143" s="94"/>
      <c r="G143" s="94"/>
      <c r="H143" s="95"/>
      <c r="I143" s="96">
        <v>36.1152</v>
      </c>
      <c r="J143" s="93" t="s">
        <v>31</v>
      </c>
      <c r="K143" s="97"/>
      <c r="L143" s="93" t="str">
        <f t="shared" si="1"/>
        <v/>
      </c>
      <c r="M143" s="98">
        <f t="shared" si="2"/>
        <v>0</v>
      </c>
      <c r="N143" s="77"/>
      <c r="O143" s="90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</row>
    <row r="144" ht="18.0" customHeight="1">
      <c r="A144" s="81"/>
      <c r="B144" s="91" t="str">
        <f>"80246"</f>
        <v>80246</v>
      </c>
      <c r="C144" s="91" t="str">
        <f>"693102802469"</f>
        <v>693102802469</v>
      </c>
      <c r="D144" s="92" t="s">
        <v>143</v>
      </c>
      <c r="E144" s="93" t="s">
        <v>40</v>
      </c>
      <c r="F144" s="94"/>
      <c r="G144" s="94"/>
      <c r="H144" s="95"/>
      <c r="I144" s="96">
        <v>26.6112</v>
      </c>
      <c r="J144" s="93" t="s">
        <v>31</v>
      </c>
      <c r="K144" s="97"/>
      <c r="L144" s="93" t="str">
        <f t="shared" si="1"/>
        <v/>
      </c>
      <c r="M144" s="98">
        <f t="shared" si="2"/>
        <v>0</v>
      </c>
      <c r="N144" s="77"/>
      <c r="O144" s="90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</row>
    <row r="145" ht="18.0" customHeight="1">
      <c r="A145" s="81"/>
      <c r="B145" s="91" t="str">
        <f>"805123"</f>
        <v>805123</v>
      </c>
      <c r="C145" s="91" t="str">
        <f>"693102051232"</f>
        <v>693102051232</v>
      </c>
      <c r="D145" s="92" t="s">
        <v>72</v>
      </c>
      <c r="E145" s="93" t="s">
        <v>128</v>
      </c>
      <c r="F145" s="94"/>
      <c r="G145" s="94"/>
      <c r="H145" s="95"/>
      <c r="I145" s="96">
        <v>27.5616</v>
      </c>
      <c r="J145" s="93" t="s">
        <v>31</v>
      </c>
      <c r="K145" s="97"/>
      <c r="L145" s="93" t="str">
        <f t="shared" si="1"/>
        <v/>
      </c>
      <c r="M145" s="98">
        <f t="shared" si="2"/>
        <v>0</v>
      </c>
      <c r="N145" s="77"/>
      <c r="O145" s="90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</row>
    <row r="146" ht="18.0" customHeight="1">
      <c r="A146" s="81"/>
      <c r="B146" s="91" t="str">
        <f>"805124"</f>
        <v>805124</v>
      </c>
      <c r="C146" s="91" t="str">
        <f>"693102051249"</f>
        <v>693102051249</v>
      </c>
      <c r="D146" s="92" t="s">
        <v>74</v>
      </c>
      <c r="E146" s="93" t="s">
        <v>129</v>
      </c>
      <c r="F146" s="94"/>
      <c r="G146" s="94"/>
      <c r="H146" s="95"/>
      <c r="I146" s="96">
        <v>33.263999999999996</v>
      </c>
      <c r="J146" s="93" t="s">
        <v>31</v>
      </c>
      <c r="K146" s="97"/>
      <c r="L146" s="93" t="str">
        <f t="shared" si="1"/>
        <v/>
      </c>
      <c r="M146" s="98">
        <f t="shared" si="2"/>
        <v>0</v>
      </c>
      <c r="N146" s="77"/>
      <c r="O146" s="90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</row>
    <row r="147" ht="18.0" customHeight="1">
      <c r="A147" s="81"/>
      <c r="B147" s="91" t="str">
        <f>"805125"</f>
        <v>805125</v>
      </c>
      <c r="C147" s="91" t="str">
        <f>"693102051256"</f>
        <v>693102051256</v>
      </c>
      <c r="D147" s="92" t="s">
        <v>75</v>
      </c>
      <c r="E147" s="93" t="s">
        <v>128</v>
      </c>
      <c r="F147" s="94"/>
      <c r="G147" s="94"/>
      <c r="H147" s="95"/>
      <c r="I147" s="96">
        <v>26.6112</v>
      </c>
      <c r="J147" s="93" t="s">
        <v>31</v>
      </c>
      <c r="K147" s="97"/>
      <c r="L147" s="93" t="str">
        <f t="shared" si="1"/>
        <v/>
      </c>
      <c r="M147" s="98">
        <f t="shared" si="2"/>
        <v>0</v>
      </c>
      <c r="N147" s="77"/>
      <c r="O147" s="90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</row>
    <row r="148" ht="18.0" customHeight="1">
      <c r="A148" s="81"/>
      <c r="B148" s="91" t="str">
        <f>"805126"</f>
        <v>805126</v>
      </c>
      <c r="C148" s="91" t="str">
        <f>"693102051263"</f>
        <v>693102051263</v>
      </c>
      <c r="D148" s="92" t="s">
        <v>76</v>
      </c>
      <c r="E148" s="93" t="s">
        <v>40</v>
      </c>
      <c r="F148" s="94"/>
      <c r="G148" s="94"/>
      <c r="H148" s="95"/>
      <c r="I148" s="96">
        <v>15.2064</v>
      </c>
      <c r="J148" s="93" t="s">
        <v>31</v>
      </c>
      <c r="K148" s="97"/>
      <c r="L148" s="93" t="str">
        <f t="shared" si="1"/>
        <v/>
      </c>
      <c r="M148" s="98">
        <f t="shared" si="2"/>
        <v>0</v>
      </c>
      <c r="N148" s="77"/>
      <c r="O148" s="90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</row>
    <row r="149" ht="18.0" customHeight="1">
      <c r="A149" s="81"/>
      <c r="B149" s="91" t="str">
        <f>"805127"</f>
        <v>805127</v>
      </c>
      <c r="C149" s="91" t="str">
        <f>"693102051270"</f>
        <v>693102051270</v>
      </c>
      <c r="D149" s="92" t="s">
        <v>78</v>
      </c>
      <c r="E149" s="93" t="s">
        <v>129</v>
      </c>
      <c r="F149" s="94"/>
      <c r="G149" s="94"/>
      <c r="H149" s="95"/>
      <c r="I149" s="96">
        <v>27.5616</v>
      </c>
      <c r="J149" s="93" t="s">
        <v>31</v>
      </c>
      <c r="K149" s="97"/>
      <c r="L149" s="93" t="str">
        <f t="shared" si="1"/>
        <v/>
      </c>
      <c r="M149" s="98">
        <f t="shared" si="2"/>
        <v>0</v>
      </c>
      <c r="N149" s="77"/>
      <c r="O149" s="90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</row>
    <row r="150" ht="18.0" customHeight="1">
      <c r="A150" s="81"/>
      <c r="B150" s="91" t="str">
        <f>"805128"</f>
        <v>805128</v>
      </c>
      <c r="C150" s="91" t="str">
        <f>"693102051287"</f>
        <v>693102051287</v>
      </c>
      <c r="D150" s="92" t="s">
        <v>80</v>
      </c>
      <c r="E150" s="93" t="s">
        <v>129</v>
      </c>
      <c r="F150" s="94"/>
      <c r="G150" s="94"/>
      <c r="H150" s="95"/>
      <c r="I150" s="96">
        <v>28.0368</v>
      </c>
      <c r="J150" s="93" t="s">
        <v>31</v>
      </c>
      <c r="K150" s="97"/>
      <c r="L150" s="93" t="str">
        <f t="shared" si="1"/>
        <v/>
      </c>
      <c r="M150" s="98">
        <f t="shared" si="2"/>
        <v>0</v>
      </c>
      <c r="N150" s="77"/>
      <c r="O150" s="90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</row>
    <row r="151" ht="18.0" customHeight="1">
      <c r="A151" s="81"/>
      <c r="B151" s="91" t="str">
        <f>"809114"</f>
        <v>809114</v>
      </c>
      <c r="C151" s="91" t="str">
        <f>"693102091146"</f>
        <v>693102091146</v>
      </c>
      <c r="D151" s="92" t="s">
        <v>144</v>
      </c>
      <c r="E151" s="93" t="s">
        <v>145</v>
      </c>
      <c r="F151" s="94"/>
      <c r="G151" s="94"/>
      <c r="H151" s="95"/>
      <c r="I151" s="96">
        <v>57.024</v>
      </c>
      <c r="J151" s="93" t="s">
        <v>31</v>
      </c>
      <c r="K151" s="97"/>
      <c r="L151" s="93" t="str">
        <f t="shared" si="1"/>
        <v/>
      </c>
      <c r="M151" s="98">
        <f t="shared" si="2"/>
        <v>0</v>
      </c>
      <c r="N151" s="77"/>
      <c r="O151" s="90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</row>
    <row r="152" ht="18.0" customHeight="1">
      <c r="A152" s="81"/>
      <c r="B152" s="91" t="str">
        <f>"809111"</f>
        <v>809111</v>
      </c>
      <c r="C152" s="91" t="str">
        <f>"693102091115"</f>
        <v>693102091115</v>
      </c>
      <c r="D152" s="92" t="s">
        <v>146</v>
      </c>
      <c r="E152" s="93" t="s">
        <v>147</v>
      </c>
      <c r="F152" s="94"/>
      <c r="G152" s="94"/>
      <c r="H152" s="95"/>
      <c r="I152" s="96">
        <v>85.536</v>
      </c>
      <c r="J152" s="93" t="s">
        <v>31</v>
      </c>
      <c r="K152" s="97"/>
      <c r="L152" s="93" t="str">
        <f t="shared" si="1"/>
        <v/>
      </c>
      <c r="M152" s="98">
        <f t="shared" si="2"/>
        <v>0</v>
      </c>
      <c r="N152" s="77"/>
      <c r="O152" s="90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</row>
    <row r="153" ht="18.0" customHeight="1">
      <c r="A153" s="81"/>
      <c r="B153" s="91" t="str">
        <f>"809112"</f>
        <v>809112</v>
      </c>
      <c r="C153" s="91" t="str">
        <f>"693102091122"</f>
        <v>693102091122</v>
      </c>
      <c r="D153" s="92" t="s">
        <v>148</v>
      </c>
      <c r="E153" s="93" t="s">
        <v>147</v>
      </c>
      <c r="F153" s="94"/>
      <c r="G153" s="94"/>
      <c r="H153" s="95"/>
      <c r="I153" s="96">
        <v>85.536</v>
      </c>
      <c r="J153" s="93" t="s">
        <v>31</v>
      </c>
      <c r="K153" s="97"/>
      <c r="L153" s="93" t="str">
        <f t="shared" si="1"/>
        <v/>
      </c>
      <c r="M153" s="98">
        <f t="shared" si="2"/>
        <v>0</v>
      </c>
      <c r="N153" s="77"/>
      <c r="O153" s="90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</row>
    <row r="154" ht="18.0" customHeight="1">
      <c r="A154" s="81"/>
      <c r="B154" s="91" t="str">
        <f>"809113"</f>
        <v>809113</v>
      </c>
      <c r="C154" s="91" t="str">
        <f>"693102091139"</f>
        <v>693102091139</v>
      </c>
      <c r="D154" s="92" t="s">
        <v>149</v>
      </c>
      <c r="E154" s="93" t="s">
        <v>147</v>
      </c>
      <c r="F154" s="94"/>
      <c r="G154" s="94"/>
      <c r="H154" s="95"/>
      <c r="I154" s="96">
        <v>104.544</v>
      </c>
      <c r="J154" s="93" t="s">
        <v>31</v>
      </c>
      <c r="K154" s="97"/>
      <c r="L154" s="93" t="str">
        <f t="shared" si="1"/>
        <v/>
      </c>
      <c r="M154" s="98">
        <f t="shared" si="2"/>
        <v>0</v>
      </c>
      <c r="N154" s="77"/>
      <c r="O154" s="90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</row>
    <row r="155" ht="18.0" customHeight="1">
      <c r="A155" s="81"/>
      <c r="B155" s="91" t="str">
        <f>"804104"</f>
        <v>804104</v>
      </c>
      <c r="C155" s="91" t="str">
        <f>"693102041042"</f>
        <v>693102041042</v>
      </c>
      <c r="D155" s="92" t="s">
        <v>102</v>
      </c>
      <c r="E155" s="93" t="s">
        <v>150</v>
      </c>
      <c r="F155" s="94"/>
      <c r="G155" s="94"/>
      <c r="H155" s="95"/>
      <c r="I155" s="96">
        <v>20.9088</v>
      </c>
      <c r="J155" s="93" t="s">
        <v>31</v>
      </c>
      <c r="K155" s="97"/>
      <c r="L155" s="93" t="str">
        <f t="shared" si="1"/>
        <v/>
      </c>
      <c r="M155" s="98">
        <f t="shared" si="2"/>
        <v>0</v>
      </c>
      <c r="N155" s="77"/>
      <c r="O155" s="90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</row>
    <row r="156" ht="18.0" customHeight="1">
      <c r="A156" s="81"/>
      <c r="B156" s="91" t="str">
        <f>"41016"</f>
        <v>41016</v>
      </c>
      <c r="C156" s="91" t="str">
        <f>"693102410169"</f>
        <v>693102410169</v>
      </c>
      <c r="D156" s="92" t="s">
        <v>104</v>
      </c>
      <c r="E156" s="93" t="s">
        <v>129</v>
      </c>
      <c r="F156" s="94"/>
      <c r="G156" s="94"/>
      <c r="H156" s="95"/>
      <c r="I156" s="96">
        <v>11.4048</v>
      </c>
      <c r="J156" s="93" t="s">
        <v>31</v>
      </c>
      <c r="K156" s="97"/>
      <c r="L156" s="93" t="str">
        <f t="shared" si="1"/>
        <v/>
      </c>
      <c r="M156" s="98">
        <f t="shared" si="2"/>
        <v>0</v>
      </c>
      <c r="N156" s="77"/>
      <c r="O156" s="90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</row>
    <row r="157" ht="18.0" customHeight="1">
      <c r="A157" s="81"/>
      <c r="B157" s="91" t="str">
        <f>"80200"</f>
        <v>80200</v>
      </c>
      <c r="C157" s="91" t="str">
        <f>"693102802001"</f>
        <v>693102802001</v>
      </c>
      <c r="D157" s="92" t="s">
        <v>105</v>
      </c>
      <c r="E157" s="93" t="s">
        <v>130</v>
      </c>
      <c r="F157" s="94"/>
      <c r="G157" s="94"/>
      <c r="H157" s="95"/>
      <c r="I157" s="96">
        <v>9.504</v>
      </c>
      <c r="J157" s="93" t="s">
        <v>31</v>
      </c>
      <c r="K157" s="97"/>
      <c r="L157" s="93" t="str">
        <f t="shared" si="1"/>
        <v/>
      </c>
      <c r="M157" s="98">
        <f t="shared" si="2"/>
        <v>0</v>
      </c>
      <c r="N157" s="77"/>
      <c r="O157" s="90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</row>
    <row r="158" ht="18.0" customHeight="1">
      <c r="A158" s="81"/>
      <c r="B158" s="91" t="str">
        <f>"80201"</f>
        <v>80201</v>
      </c>
      <c r="C158" s="91" t="str">
        <f>"693102802018"</f>
        <v>693102802018</v>
      </c>
      <c r="D158" s="92" t="s">
        <v>106</v>
      </c>
      <c r="E158" s="93" t="s">
        <v>150</v>
      </c>
      <c r="F158" s="94"/>
      <c r="G158" s="94"/>
      <c r="H158" s="95"/>
      <c r="I158" s="96">
        <v>19.008</v>
      </c>
      <c r="J158" s="93" t="s">
        <v>31</v>
      </c>
      <c r="K158" s="97"/>
      <c r="L158" s="93" t="str">
        <f t="shared" si="1"/>
        <v/>
      </c>
      <c r="M158" s="98">
        <f t="shared" si="2"/>
        <v>0</v>
      </c>
      <c r="N158" s="77"/>
      <c r="O158" s="90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</row>
    <row r="159" ht="18.0" customHeight="1">
      <c r="A159" s="81"/>
      <c r="B159" s="91" t="str">
        <f>"899142"</f>
        <v>899142</v>
      </c>
      <c r="C159" s="91" t="str">
        <f>"693102991422"</f>
        <v>693102991422</v>
      </c>
      <c r="D159" s="92" t="s">
        <v>108</v>
      </c>
      <c r="E159" s="93" t="s">
        <v>130</v>
      </c>
      <c r="F159" s="94"/>
      <c r="G159" s="94"/>
      <c r="H159" s="95"/>
      <c r="I159" s="96">
        <v>12.355199999999998</v>
      </c>
      <c r="J159" s="93" t="s">
        <v>31</v>
      </c>
      <c r="K159" s="97"/>
      <c r="L159" s="93" t="str">
        <f t="shared" si="1"/>
        <v/>
      </c>
      <c r="M159" s="98">
        <f t="shared" si="2"/>
        <v>0</v>
      </c>
      <c r="N159" s="77"/>
      <c r="O159" s="90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</row>
    <row r="160" ht="18.0" customHeight="1">
      <c r="A160" s="81"/>
      <c r="B160" s="91" t="str">
        <f>"80202"</f>
        <v>80202</v>
      </c>
      <c r="C160" s="91" t="str">
        <f>"693102802025"</f>
        <v>693102802025</v>
      </c>
      <c r="D160" s="92" t="s">
        <v>109</v>
      </c>
      <c r="E160" s="93" t="s">
        <v>40</v>
      </c>
      <c r="F160" s="94"/>
      <c r="G160" s="94"/>
      <c r="H160" s="95"/>
      <c r="I160" s="96">
        <v>38.016</v>
      </c>
      <c r="J160" s="93" t="s">
        <v>31</v>
      </c>
      <c r="K160" s="97"/>
      <c r="L160" s="93" t="str">
        <f t="shared" si="1"/>
        <v/>
      </c>
      <c r="M160" s="98">
        <f t="shared" si="2"/>
        <v>0</v>
      </c>
      <c r="N160" s="77"/>
      <c r="O160" s="90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</row>
    <row r="161" ht="18.0" customHeight="1">
      <c r="A161" s="81"/>
      <c r="B161" s="91" t="str">
        <f t="shared" ref="B161:B162" si="4">"41018"</f>
        <v>41018</v>
      </c>
      <c r="C161" s="91" t="str">
        <f>"693102410183"</f>
        <v>693102410183</v>
      </c>
      <c r="D161" s="92" t="s">
        <v>111</v>
      </c>
      <c r="E161" s="93" t="s">
        <v>129</v>
      </c>
      <c r="F161" s="94"/>
      <c r="G161" s="94"/>
      <c r="H161" s="95"/>
      <c r="I161" s="96">
        <v>11.4048</v>
      </c>
      <c r="J161" s="93" t="s">
        <v>31</v>
      </c>
      <c r="K161" s="97"/>
      <c r="L161" s="93" t="str">
        <f t="shared" si="1"/>
        <v/>
      </c>
      <c r="M161" s="98">
        <f t="shared" si="2"/>
        <v>0</v>
      </c>
      <c r="N161" s="77"/>
      <c r="O161" s="90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</row>
    <row r="162" ht="18.0" customHeight="1">
      <c r="A162" s="81"/>
      <c r="B162" s="91" t="str">
        <f t="shared" si="4"/>
        <v>41018</v>
      </c>
      <c r="C162" s="91" t="str">
        <f>"693102410186"</f>
        <v>693102410186</v>
      </c>
      <c r="D162" s="92" t="s">
        <v>110</v>
      </c>
      <c r="E162" s="93" t="s">
        <v>129</v>
      </c>
      <c r="F162" s="94"/>
      <c r="G162" s="94"/>
      <c r="H162" s="95"/>
      <c r="I162" s="96">
        <v>11.4048</v>
      </c>
      <c r="J162" s="93" t="s">
        <v>31</v>
      </c>
      <c r="K162" s="97"/>
      <c r="L162" s="93" t="str">
        <f t="shared" si="1"/>
        <v/>
      </c>
      <c r="M162" s="98">
        <f t="shared" si="2"/>
        <v>0</v>
      </c>
      <c r="N162" s="77"/>
      <c r="O162" s="90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</row>
    <row r="163" ht="18.0" customHeight="1">
      <c r="A163" s="81"/>
      <c r="B163" s="91" t="str">
        <f>"41023"</f>
        <v>41023</v>
      </c>
      <c r="C163" s="91" t="str">
        <f>"693102410237"</f>
        <v>693102410237</v>
      </c>
      <c r="D163" s="92" t="s">
        <v>151</v>
      </c>
      <c r="E163" s="93" t="s">
        <v>129</v>
      </c>
      <c r="F163" s="94"/>
      <c r="G163" s="94"/>
      <c r="H163" s="95"/>
      <c r="I163" s="96">
        <v>11.4048</v>
      </c>
      <c r="J163" s="93" t="s">
        <v>31</v>
      </c>
      <c r="K163" s="97"/>
      <c r="L163" s="93" t="str">
        <f t="shared" si="1"/>
        <v/>
      </c>
      <c r="M163" s="98">
        <f t="shared" si="2"/>
        <v>0</v>
      </c>
      <c r="N163" s="77"/>
      <c r="O163" s="90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</row>
    <row r="164" ht="18.0" customHeight="1">
      <c r="A164" s="81"/>
      <c r="B164" s="91" t="str">
        <f>"80914"</f>
        <v>80914</v>
      </c>
      <c r="C164" s="91" t="str">
        <f>"693102809147"</f>
        <v>693102809147</v>
      </c>
      <c r="D164" s="92" t="s">
        <v>112</v>
      </c>
      <c r="E164" s="93" t="s">
        <v>150</v>
      </c>
      <c r="F164" s="94"/>
      <c r="G164" s="94"/>
      <c r="H164" s="95"/>
      <c r="I164" s="96">
        <v>39.9168</v>
      </c>
      <c r="J164" s="93" t="s">
        <v>31</v>
      </c>
      <c r="K164" s="97"/>
      <c r="L164" s="93" t="str">
        <f t="shared" si="1"/>
        <v/>
      </c>
      <c r="M164" s="98">
        <f t="shared" si="2"/>
        <v>0</v>
      </c>
      <c r="N164" s="77"/>
      <c r="O164" s="90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</row>
    <row r="165" ht="18.0" customHeight="1">
      <c r="A165" s="81"/>
      <c r="B165" s="91" t="str">
        <f>"80-93-20"</f>
        <v>80-93-20</v>
      </c>
      <c r="C165" s="91" t="str">
        <f>"693102093201"</f>
        <v>693102093201</v>
      </c>
      <c r="D165" s="92" t="s">
        <v>152</v>
      </c>
      <c r="E165" s="93" t="s">
        <v>153</v>
      </c>
      <c r="F165" s="94">
        <v>99.0</v>
      </c>
      <c r="G165" s="94">
        <v>49.5</v>
      </c>
      <c r="H165" s="95">
        <v>0.604</v>
      </c>
      <c r="I165" s="96">
        <v>47.0448</v>
      </c>
      <c r="J165" s="93" t="s">
        <v>31</v>
      </c>
      <c r="K165" s="97"/>
      <c r="L165" s="93" t="str">
        <f t="shared" si="1"/>
        <v/>
      </c>
      <c r="M165" s="98">
        <f t="shared" si="2"/>
        <v>0</v>
      </c>
      <c r="N165" s="77"/>
      <c r="O165" s="90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</row>
    <row r="166" ht="18.0" customHeight="1">
      <c r="A166" s="81"/>
      <c r="B166" s="91" t="str">
        <f>"80006"</f>
        <v>80006</v>
      </c>
      <c r="C166" s="91" t="str">
        <f>"693102800069"</f>
        <v>693102800069</v>
      </c>
      <c r="D166" s="92" t="s">
        <v>154</v>
      </c>
      <c r="E166" s="93" t="s">
        <v>95</v>
      </c>
      <c r="F166" s="94">
        <v>99.0</v>
      </c>
      <c r="G166" s="94">
        <v>49.5</v>
      </c>
      <c r="H166" s="95">
        <v>0.5564</v>
      </c>
      <c r="I166" s="96">
        <v>52.69968</v>
      </c>
      <c r="J166" s="93" t="s">
        <v>31</v>
      </c>
      <c r="K166" s="97"/>
      <c r="L166" s="93" t="str">
        <f t="shared" si="1"/>
        <v/>
      </c>
      <c r="M166" s="98">
        <f t="shared" si="2"/>
        <v>0</v>
      </c>
      <c r="N166" s="77"/>
      <c r="O166" s="90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</row>
    <row r="167" ht="18.0" customHeight="1">
      <c r="A167" s="81"/>
      <c r="B167" s="91" t="str">
        <f>"80-93-37"</f>
        <v>80-93-37</v>
      </c>
      <c r="C167" s="91" t="str">
        <f>"693102809338"</f>
        <v>693102809338</v>
      </c>
      <c r="D167" s="92" t="s">
        <v>155</v>
      </c>
      <c r="E167" s="93" t="s">
        <v>156</v>
      </c>
      <c r="F167" s="94">
        <v>99.0</v>
      </c>
      <c r="G167" s="94">
        <v>49.5</v>
      </c>
      <c r="H167" s="95">
        <v>0.604</v>
      </c>
      <c r="I167" s="96">
        <v>47.0448</v>
      </c>
      <c r="J167" s="93" t="s">
        <v>31</v>
      </c>
      <c r="K167" s="97"/>
      <c r="L167" s="93" t="str">
        <f t="shared" si="1"/>
        <v/>
      </c>
      <c r="M167" s="98">
        <f t="shared" si="2"/>
        <v>0</v>
      </c>
      <c r="N167" s="77"/>
      <c r="O167" s="90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</row>
    <row r="168" ht="18.0" customHeight="1">
      <c r="A168" s="81"/>
      <c r="B168" s="91" t="str">
        <f>"80-93-21"</f>
        <v>80-93-21</v>
      </c>
      <c r="C168" s="91" t="str">
        <f>"693102093218"</f>
        <v>693102093218</v>
      </c>
      <c r="D168" s="92" t="s">
        <v>157</v>
      </c>
      <c r="E168" s="93" t="s">
        <v>158</v>
      </c>
      <c r="F168" s="94">
        <v>99.0</v>
      </c>
      <c r="G168" s="94">
        <v>49.5</v>
      </c>
      <c r="H168" s="95">
        <v>0.604</v>
      </c>
      <c r="I168" s="96">
        <v>47.0448</v>
      </c>
      <c r="J168" s="93" t="s">
        <v>31</v>
      </c>
      <c r="K168" s="97"/>
      <c r="L168" s="93" t="str">
        <f t="shared" si="1"/>
        <v/>
      </c>
      <c r="M168" s="98">
        <f t="shared" si="2"/>
        <v>0</v>
      </c>
      <c r="N168" s="77"/>
      <c r="O168" s="90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</row>
    <row r="169" ht="18.0" customHeight="1">
      <c r="A169" s="81"/>
      <c r="B169" s="91" t="str">
        <f>"80-93-16"</f>
        <v>80-93-16</v>
      </c>
      <c r="C169" s="91" t="str">
        <f>"693102093164"</f>
        <v>693102093164</v>
      </c>
      <c r="D169" s="92" t="s">
        <v>159</v>
      </c>
      <c r="E169" s="93" t="s">
        <v>160</v>
      </c>
      <c r="F169" s="94">
        <v>99.0</v>
      </c>
      <c r="G169" s="94">
        <v>49.5</v>
      </c>
      <c r="H169" s="95">
        <v>0.604</v>
      </c>
      <c r="I169" s="96">
        <v>47.0448</v>
      </c>
      <c r="J169" s="93" t="s">
        <v>31</v>
      </c>
      <c r="K169" s="97"/>
      <c r="L169" s="93" t="str">
        <f t="shared" si="1"/>
        <v/>
      </c>
      <c r="M169" s="98">
        <f t="shared" si="2"/>
        <v>0</v>
      </c>
      <c r="N169" s="77"/>
      <c r="O169" s="90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</row>
    <row r="170" ht="18.0" customHeight="1">
      <c r="A170" s="81"/>
      <c r="B170" s="91" t="str">
        <f>"80-93-18"</f>
        <v>80-93-18</v>
      </c>
      <c r="C170" s="91" t="str">
        <f>"693102093188"</f>
        <v>693102093188</v>
      </c>
      <c r="D170" s="92" t="s">
        <v>161</v>
      </c>
      <c r="E170" s="93" t="s">
        <v>158</v>
      </c>
      <c r="F170" s="94">
        <v>99.0</v>
      </c>
      <c r="G170" s="94">
        <v>49.5</v>
      </c>
      <c r="H170" s="95">
        <v>0.604</v>
      </c>
      <c r="I170" s="96">
        <v>47.0448</v>
      </c>
      <c r="J170" s="93" t="s">
        <v>31</v>
      </c>
      <c r="K170" s="97"/>
      <c r="L170" s="93" t="str">
        <f t="shared" si="1"/>
        <v/>
      </c>
      <c r="M170" s="98">
        <f t="shared" si="2"/>
        <v>0</v>
      </c>
      <c r="N170" s="77"/>
      <c r="O170" s="90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</row>
    <row r="171" ht="18.0" customHeight="1">
      <c r="A171" s="81"/>
      <c r="B171" s="91" t="str">
        <f>"53044"</f>
        <v>53044</v>
      </c>
      <c r="C171" s="91" t="str">
        <f>"693102530447"</f>
        <v>693102530447</v>
      </c>
      <c r="D171" s="92" t="s">
        <v>162</v>
      </c>
      <c r="E171" s="93" t="s">
        <v>95</v>
      </c>
      <c r="F171" s="94">
        <v>99.0</v>
      </c>
      <c r="G171" s="94">
        <v>49.5</v>
      </c>
      <c r="H171" s="95">
        <v>0.5564</v>
      </c>
      <c r="I171" s="96">
        <v>52.69968</v>
      </c>
      <c r="J171" s="93" t="s">
        <v>31</v>
      </c>
      <c r="K171" s="97"/>
      <c r="L171" s="93" t="str">
        <f t="shared" si="1"/>
        <v/>
      </c>
      <c r="M171" s="98">
        <f t="shared" si="2"/>
        <v>0</v>
      </c>
      <c r="N171" s="77"/>
      <c r="O171" s="90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</row>
    <row r="172" ht="18.0" customHeight="1">
      <c r="A172" s="81"/>
      <c r="B172" s="91" t="str">
        <f>"80002"</f>
        <v>80002</v>
      </c>
      <c r="C172" s="91" t="str">
        <f>"693102800021"</f>
        <v>693102800021</v>
      </c>
      <c r="D172" s="92" t="s">
        <v>163</v>
      </c>
      <c r="E172" s="93" t="s">
        <v>164</v>
      </c>
      <c r="F172" s="94">
        <v>99.0</v>
      </c>
      <c r="G172" s="94">
        <v>49.5</v>
      </c>
      <c r="H172" s="95">
        <v>0.604</v>
      </c>
      <c r="I172" s="96">
        <v>47.0448</v>
      </c>
      <c r="J172" s="93" t="s">
        <v>31</v>
      </c>
      <c r="K172" s="97"/>
      <c r="L172" s="93" t="str">
        <f t="shared" si="1"/>
        <v/>
      </c>
      <c r="M172" s="98">
        <f t="shared" si="2"/>
        <v>0</v>
      </c>
      <c r="N172" s="77"/>
      <c r="O172" s="90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</row>
    <row r="173" ht="18.0" customHeight="1">
      <c r="A173" s="81"/>
      <c r="B173" s="91" t="str">
        <f>"80-93-17"</f>
        <v>80-93-17</v>
      </c>
      <c r="C173" s="91" t="str">
        <f>"693102093171"</f>
        <v>693102093171</v>
      </c>
      <c r="D173" s="92" t="s">
        <v>165</v>
      </c>
      <c r="E173" s="93" t="s">
        <v>164</v>
      </c>
      <c r="F173" s="94">
        <v>99.0</v>
      </c>
      <c r="G173" s="94">
        <v>49.5</v>
      </c>
      <c r="H173" s="95">
        <v>0.604</v>
      </c>
      <c r="I173" s="96">
        <v>47.0448</v>
      </c>
      <c r="J173" s="93" t="s">
        <v>31</v>
      </c>
      <c r="K173" s="97"/>
      <c r="L173" s="93" t="str">
        <f t="shared" si="1"/>
        <v/>
      </c>
      <c r="M173" s="98">
        <f t="shared" si="2"/>
        <v>0</v>
      </c>
      <c r="N173" s="77"/>
      <c r="O173" s="90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</row>
    <row r="174" ht="18.0" customHeight="1">
      <c r="A174" s="81"/>
      <c r="B174" s="91" t="str">
        <f>"80-93-15"</f>
        <v>80-93-15</v>
      </c>
      <c r="C174" s="91" t="str">
        <f>"693102093157"</f>
        <v>693102093157</v>
      </c>
      <c r="D174" s="92" t="s">
        <v>166</v>
      </c>
      <c r="E174" s="93" t="s">
        <v>167</v>
      </c>
      <c r="F174" s="94">
        <v>99.0</v>
      </c>
      <c r="G174" s="94">
        <v>49.5</v>
      </c>
      <c r="H174" s="95">
        <v>0.604</v>
      </c>
      <c r="I174" s="96">
        <v>47.0448</v>
      </c>
      <c r="J174" s="93" t="s">
        <v>31</v>
      </c>
      <c r="K174" s="97"/>
      <c r="L174" s="93" t="str">
        <f t="shared" si="1"/>
        <v/>
      </c>
      <c r="M174" s="98">
        <f t="shared" si="2"/>
        <v>0</v>
      </c>
      <c r="N174" s="77"/>
      <c r="O174" s="90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</row>
    <row r="175" ht="18.0" customHeight="1">
      <c r="A175" s="81"/>
      <c r="B175" s="91" t="str">
        <f>"80000"</f>
        <v>80000</v>
      </c>
      <c r="C175" s="91" t="str">
        <f>"693102800007"</f>
        <v>693102800007</v>
      </c>
      <c r="D175" s="92" t="s">
        <v>168</v>
      </c>
      <c r="E175" s="93" t="s">
        <v>95</v>
      </c>
      <c r="F175" s="94">
        <v>99.0</v>
      </c>
      <c r="G175" s="94">
        <v>49.5</v>
      </c>
      <c r="H175" s="95">
        <v>0.604</v>
      </c>
      <c r="I175" s="96">
        <v>47.0448</v>
      </c>
      <c r="J175" s="93" t="s">
        <v>31</v>
      </c>
      <c r="K175" s="97"/>
      <c r="L175" s="93" t="str">
        <f t="shared" si="1"/>
        <v/>
      </c>
      <c r="M175" s="98">
        <f t="shared" si="2"/>
        <v>0</v>
      </c>
      <c r="N175" s="77"/>
      <c r="O175" s="90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</row>
    <row r="176" ht="18.0" customHeight="1">
      <c r="A176" s="81"/>
      <c r="B176" s="91" t="str">
        <f>"80-93-58"</f>
        <v>80-93-58</v>
      </c>
      <c r="C176" s="91" t="str">
        <f>"693102093584"</f>
        <v>693102093584</v>
      </c>
      <c r="D176" s="92" t="s">
        <v>169</v>
      </c>
      <c r="E176" s="93" t="s">
        <v>153</v>
      </c>
      <c r="F176" s="94">
        <v>149.0</v>
      </c>
      <c r="G176" s="94">
        <v>74.5</v>
      </c>
      <c r="H176" s="95">
        <v>0.6040000000000001</v>
      </c>
      <c r="I176" s="96">
        <v>70.8048</v>
      </c>
      <c r="J176" s="93" t="s">
        <v>31</v>
      </c>
      <c r="K176" s="97"/>
      <c r="L176" s="93" t="str">
        <f t="shared" si="1"/>
        <v/>
      </c>
      <c r="M176" s="98">
        <f t="shared" si="2"/>
        <v>0</v>
      </c>
      <c r="N176" s="77"/>
      <c r="O176" s="90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</row>
    <row r="177" ht="18.0" customHeight="1">
      <c r="A177" s="81"/>
      <c r="B177" s="91" t="str">
        <f>"19359"</f>
        <v>19359</v>
      </c>
      <c r="C177" s="91" t="str">
        <f>"693102193598"</f>
        <v>693102193598</v>
      </c>
      <c r="D177" s="92" t="s">
        <v>170</v>
      </c>
      <c r="E177" s="93" t="s">
        <v>95</v>
      </c>
      <c r="F177" s="94">
        <v>149.0</v>
      </c>
      <c r="G177" s="94">
        <v>74.5</v>
      </c>
      <c r="H177" s="95">
        <v>0.6040000000000001</v>
      </c>
      <c r="I177" s="96">
        <v>70.8048</v>
      </c>
      <c r="J177" s="93" t="s">
        <v>31</v>
      </c>
      <c r="K177" s="97"/>
      <c r="L177" s="93" t="str">
        <f t="shared" si="1"/>
        <v/>
      </c>
      <c r="M177" s="98">
        <f t="shared" si="2"/>
        <v>0</v>
      </c>
      <c r="N177" s="77"/>
      <c r="O177" s="90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</row>
    <row r="178" ht="18.0" customHeight="1">
      <c r="A178" s="81"/>
      <c r="B178" s="91" t="str">
        <f>"16074"</f>
        <v>16074</v>
      </c>
      <c r="C178" s="91" t="str">
        <f>"693102160743"</f>
        <v>693102160743</v>
      </c>
      <c r="D178" s="92" t="s">
        <v>171</v>
      </c>
      <c r="E178" s="93" t="s">
        <v>95</v>
      </c>
      <c r="F178" s="94">
        <v>99.0</v>
      </c>
      <c r="G178" s="94">
        <v>49.5</v>
      </c>
      <c r="H178" s="95">
        <v>0.5564</v>
      </c>
      <c r="I178" s="96">
        <v>52.69968</v>
      </c>
      <c r="J178" s="93" t="s">
        <v>31</v>
      </c>
      <c r="K178" s="97"/>
      <c r="L178" s="93" t="str">
        <f t="shared" si="1"/>
        <v/>
      </c>
      <c r="M178" s="98">
        <f t="shared" si="2"/>
        <v>0</v>
      </c>
      <c r="N178" s="77"/>
      <c r="O178" s="90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</row>
    <row r="179" ht="18.0" customHeight="1">
      <c r="A179" s="81"/>
      <c r="B179" s="91" t="str">
        <f>"80011"</f>
        <v>80011</v>
      </c>
      <c r="C179" s="91" t="str">
        <f>"693102800113"</f>
        <v>693102800113</v>
      </c>
      <c r="D179" s="92" t="s">
        <v>172</v>
      </c>
      <c r="E179" s="93" t="s">
        <v>95</v>
      </c>
      <c r="F179" s="94">
        <v>99.0</v>
      </c>
      <c r="G179" s="94">
        <v>49.5</v>
      </c>
      <c r="H179" s="95">
        <v>0.5564</v>
      </c>
      <c r="I179" s="96">
        <v>52.69968</v>
      </c>
      <c r="J179" s="93" t="s">
        <v>31</v>
      </c>
      <c r="K179" s="97"/>
      <c r="L179" s="93" t="str">
        <f t="shared" si="1"/>
        <v/>
      </c>
      <c r="M179" s="98">
        <f t="shared" si="2"/>
        <v>0</v>
      </c>
      <c r="N179" s="77"/>
      <c r="O179" s="90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</row>
    <row r="180" ht="18.0" customHeight="1">
      <c r="A180" s="81"/>
      <c r="B180" s="91" t="str">
        <f>"80024"</f>
        <v>80024</v>
      </c>
      <c r="C180" s="91" t="str">
        <f>"693102800243"</f>
        <v>693102800243</v>
      </c>
      <c r="D180" s="92" t="s">
        <v>173</v>
      </c>
      <c r="E180" s="93" t="s">
        <v>95</v>
      </c>
      <c r="F180" s="94">
        <v>99.0</v>
      </c>
      <c r="G180" s="94">
        <v>49.5</v>
      </c>
      <c r="H180" s="95">
        <v>0.604</v>
      </c>
      <c r="I180" s="96">
        <v>47.0448</v>
      </c>
      <c r="J180" s="93" t="s">
        <v>31</v>
      </c>
      <c r="K180" s="97"/>
      <c r="L180" s="93" t="str">
        <f t="shared" si="1"/>
        <v/>
      </c>
      <c r="M180" s="98">
        <f t="shared" si="2"/>
        <v>0</v>
      </c>
      <c r="N180" s="77"/>
      <c r="O180" s="90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</row>
    <row r="181" ht="18.0" customHeight="1">
      <c r="A181" s="81"/>
      <c r="B181" s="91" t="str">
        <f>"80031"</f>
        <v>80031</v>
      </c>
      <c r="C181" s="91" t="str">
        <f>"693102800311"</f>
        <v>693102800311</v>
      </c>
      <c r="D181" s="92" t="s">
        <v>174</v>
      </c>
      <c r="E181" s="93" t="s">
        <v>95</v>
      </c>
      <c r="F181" s="94">
        <v>99.0</v>
      </c>
      <c r="G181" s="94">
        <v>49.5</v>
      </c>
      <c r="H181" s="95">
        <v>0.604</v>
      </c>
      <c r="I181" s="96">
        <v>47.0448</v>
      </c>
      <c r="J181" s="93" t="s">
        <v>31</v>
      </c>
      <c r="K181" s="97"/>
      <c r="L181" s="93" t="str">
        <f t="shared" si="1"/>
        <v/>
      </c>
      <c r="M181" s="98">
        <f t="shared" si="2"/>
        <v>0</v>
      </c>
      <c r="N181" s="77"/>
      <c r="O181" s="90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</row>
    <row r="182" ht="18.0" customHeight="1">
      <c r="A182" s="81"/>
      <c r="B182" s="91" t="str">
        <f>"80022"</f>
        <v>80022</v>
      </c>
      <c r="C182" s="91" t="str">
        <f>"693102800229"</f>
        <v>693102800229</v>
      </c>
      <c r="D182" s="92" t="s">
        <v>175</v>
      </c>
      <c r="E182" s="93" t="s">
        <v>95</v>
      </c>
      <c r="F182" s="94">
        <v>29.0</v>
      </c>
      <c r="G182" s="94">
        <v>14.5</v>
      </c>
      <c r="H182" s="95">
        <v>0.604</v>
      </c>
      <c r="I182" s="96">
        <v>13.7808</v>
      </c>
      <c r="J182" s="93" t="s">
        <v>31</v>
      </c>
      <c r="K182" s="97"/>
      <c r="L182" s="93" t="str">
        <f t="shared" si="1"/>
        <v/>
      </c>
      <c r="M182" s="98">
        <f t="shared" si="2"/>
        <v>0</v>
      </c>
      <c r="N182" s="77"/>
      <c r="O182" s="90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</row>
    <row r="183" ht="18.0" customHeight="1">
      <c r="A183" s="81"/>
      <c r="B183" s="91" t="str">
        <f>"80008"</f>
        <v>80008</v>
      </c>
      <c r="C183" s="91" t="str">
        <f>"693102800083"</f>
        <v>693102800083</v>
      </c>
      <c r="D183" s="92" t="s">
        <v>176</v>
      </c>
      <c r="E183" s="93" t="s">
        <v>95</v>
      </c>
      <c r="F183" s="94">
        <v>49.0</v>
      </c>
      <c r="G183" s="94">
        <v>24.5</v>
      </c>
      <c r="H183" s="95">
        <v>0.604</v>
      </c>
      <c r="I183" s="96">
        <v>23.2848</v>
      </c>
      <c r="J183" s="93" t="s">
        <v>31</v>
      </c>
      <c r="K183" s="97"/>
      <c r="L183" s="93" t="str">
        <f t="shared" si="1"/>
        <v/>
      </c>
      <c r="M183" s="98">
        <f t="shared" si="2"/>
        <v>0</v>
      </c>
      <c r="N183" s="77"/>
      <c r="O183" s="90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</row>
    <row r="184" ht="18.0" customHeight="1">
      <c r="A184" s="81"/>
      <c r="B184" s="91" t="str">
        <f>"80041"</f>
        <v>80041</v>
      </c>
      <c r="C184" s="91" t="str">
        <f>"693102800410"</f>
        <v>693102800410</v>
      </c>
      <c r="D184" s="92" t="s">
        <v>177</v>
      </c>
      <c r="E184" s="93" t="s">
        <v>95</v>
      </c>
      <c r="F184" s="94">
        <v>39.0</v>
      </c>
      <c r="G184" s="94">
        <v>19.5</v>
      </c>
      <c r="H184" s="95">
        <v>0.604</v>
      </c>
      <c r="I184" s="96">
        <v>18.532799999999998</v>
      </c>
      <c r="J184" s="93" t="s">
        <v>31</v>
      </c>
      <c r="K184" s="97"/>
      <c r="L184" s="93" t="str">
        <f t="shared" si="1"/>
        <v/>
      </c>
      <c r="M184" s="98">
        <f t="shared" si="2"/>
        <v>0</v>
      </c>
      <c r="N184" s="77"/>
      <c r="O184" s="90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</row>
    <row r="185" ht="18.0" customHeight="1">
      <c r="A185" s="81"/>
      <c r="B185" s="91" t="str">
        <f>"80007"</f>
        <v>80007</v>
      </c>
      <c r="C185" s="91" t="str">
        <f>"693102800076"</f>
        <v>693102800076</v>
      </c>
      <c r="D185" s="92" t="s">
        <v>178</v>
      </c>
      <c r="E185" s="93" t="s">
        <v>95</v>
      </c>
      <c r="F185" s="94">
        <v>59.0</v>
      </c>
      <c r="G185" s="94">
        <v>29.5</v>
      </c>
      <c r="H185" s="95">
        <v>0.604</v>
      </c>
      <c r="I185" s="96">
        <v>28.036800000000003</v>
      </c>
      <c r="J185" s="93" t="s">
        <v>31</v>
      </c>
      <c r="K185" s="97"/>
      <c r="L185" s="93" t="str">
        <f t="shared" si="1"/>
        <v/>
      </c>
      <c r="M185" s="98">
        <f t="shared" si="2"/>
        <v>0</v>
      </c>
      <c r="N185" s="77"/>
      <c r="O185" s="90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</row>
    <row r="186" ht="18.0" customHeight="1">
      <c r="A186" s="81"/>
      <c r="B186" s="91" t="str">
        <f>"80053"</f>
        <v>80053</v>
      </c>
      <c r="C186" s="91" t="str">
        <f>"693102800533"</f>
        <v>693102800533</v>
      </c>
      <c r="D186" s="92" t="s">
        <v>179</v>
      </c>
      <c r="E186" s="93" t="s">
        <v>95</v>
      </c>
      <c r="F186" s="94">
        <v>42.0</v>
      </c>
      <c r="G186" s="94">
        <v>21.0</v>
      </c>
      <c r="H186" s="95">
        <v>0.604</v>
      </c>
      <c r="I186" s="96">
        <v>19.9584</v>
      </c>
      <c r="J186" s="93" t="s">
        <v>31</v>
      </c>
      <c r="K186" s="97"/>
      <c r="L186" s="93" t="str">
        <f t="shared" si="1"/>
        <v/>
      </c>
      <c r="M186" s="98">
        <f t="shared" si="2"/>
        <v>0</v>
      </c>
      <c r="N186" s="77"/>
      <c r="O186" s="90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ht="18.0" customHeight="1">
      <c r="A187" s="81"/>
      <c r="B187" s="91" t="str">
        <f>"80040"</f>
        <v>80040</v>
      </c>
      <c r="C187" s="91" t="str">
        <f>"693102800403"</f>
        <v>693102800403</v>
      </c>
      <c r="D187" s="92" t="s">
        <v>180</v>
      </c>
      <c r="E187" s="93" t="s">
        <v>95</v>
      </c>
      <c r="F187" s="94">
        <v>39.0</v>
      </c>
      <c r="G187" s="94">
        <v>19.5</v>
      </c>
      <c r="H187" s="95">
        <v>0.604</v>
      </c>
      <c r="I187" s="96">
        <v>18.532799999999998</v>
      </c>
      <c r="J187" s="93" t="s">
        <v>31</v>
      </c>
      <c r="K187" s="97"/>
      <c r="L187" s="93" t="str">
        <f t="shared" si="1"/>
        <v/>
      </c>
      <c r="M187" s="98">
        <f t="shared" si="2"/>
        <v>0</v>
      </c>
      <c r="N187" s="77"/>
      <c r="O187" s="90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ht="18.0" customHeight="1">
      <c r="A188" s="81"/>
      <c r="B188" s="91" t="str">
        <f>"16075"</f>
        <v>16075</v>
      </c>
      <c r="C188" s="91" t="str">
        <f>"693102160750"</f>
        <v>693102160750</v>
      </c>
      <c r="D188" s="92" t="s">
        <v>181</v>
      </c>
      <c r="E188" s="93" t="s">
        <v>95</v>
      </c>
      <c r="F188" s="94">
        <v>39.0</v>
      </c>
      <c r="G188" s="94">
        <v>19.5</v>
      </c>
      <c r="H188" s="95">
        <v>0.604</v>
      </c>
      <c r="I188" s="96">
        <v>18.532799999999998</v>
      </c>
      <c r="J188" s="93" t="s">
        <v>31</v>
      </c>
      <c r="K188" s="97"/>
      <c r="L188" s="93" t="str">
        <f t="shared" si="1"/>
        <v/>
      </c>
      <c r="M188" s="98">
        <f t="shared" si="2"/>
        <v>0</v>
      </c>
      <c r="N188" s="77"/>
      <c r="O188" s="90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</row>
    <row r="189" ht="18.0" customHeight="1">
      <c r="A189" s="81"/>
      <c r="B189" s="91" t="str">
        <f>"80059"</f>
        <v>80059</v>
      </c>
      <c r="C189" s="91" t="str">
        <f>"693102800595"</f>
        <v>693102800595</v>
      </c>
      <c r="D189" s="92" t="s">
        <v>182</v>
      </c>
      <c r="E189" s="93" t="s">
        <v>95</v>
      </c>
      <c r="F189" s="94">
        <v>42.0</v>
      </c>
      <c r="G189" s="94">
        <v>21.0</v>
      </c>
      <c r="H189" s="95">
        <v>0.604</v>
      </c>
      <c r="I189" s="96">
        <v>19.9584</v>
      </c>
      <c r="J189" s="93" t="s">
        <v>31</v>
      </c>
      <c r="K189" s="97"/>
      <c r="L189" s="93" t="str">
        <f t="shared" si="1"/>
        <v/>
      </c>
      <c r="M189" s="98">
        <f t="shared" si="2"/>
        <v>0</v>
      </c>
      <c r="N189" s="77"/>
      <c r="O189" s="90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</row>
    <row r="190" ht="18.0" customHeight="1">
      <c r="A190" s="81"/>
      <c r="B190" s="91" t="str">
        <f>"16062"</f>
        <v>16062</v>
      </c>
      <c r="C190" s="91" t="str">
        <f>"693102160620"</f>
        <v>693102160620</v>
      </c>
      <c r="D190" s="92" t="s">
        <v>183</v>
      </c>
      <c r="E190" s="93" t="s">
        <v>95</v>
      </c>
      <c r="F190" s="94">
        <v>39.0</v>
      </c>
      <c r="G190" s="94">
        <v>19.5</v>
      </c>
      <c r="H190" s="95">
        <v>0.604</v>
      </c>
      <c r="I190" s="96">
        <v>18.532799999999998</v>
      </c>
      <c r="J190" s="93" t="s">
        <v>31</v>
      </c>
      <c r="K190" s="97"/>
      <c r="L190" s="93" t="str">
        <f t="shared" si="1"/>
        <v/>
      </c>
      <c r="M190" s="98">
        <f t="shared" si="2"/>
        <v>0</v>
      </c>
      <c r="N190" s="77"/>
      <c r="O190" s="90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</row>
    <row r="191" ht="18.0" customHeight="1">
      <c r="A191" s="81"/>
      <c r="B191" s="91" t="str">
        <f>"35028"</f>
        <v>35028</v>
      </c>
      <c r="C191" s="91" t="str">
        <f>"693102350281"</f>
        <v>693102350281</v>
      </c>
      <c r="D191" s="92" t="s">
        <v>184</v>
      </c>
      <c r="E191" s="93" t="s">
        <v>95</v>
      </c>
      <c r="F191" s="94">
        <v>39.0</v>
      </c>
      <c r="G191" s="94">
        <v>19.5</v>
      </c>
      <c r="H191" s="95">
        <v>0.604</v>
      </c>
      <c r="I191" s="96">
        <v>18.532800000000005</v>
      </c>
      <c r="J191" s="93" t="s">
        <v>31</v>
      </c>
      <c r="K191" s="97"/>
      <c r="L191" s="93" t="str">
        <f t="shared" si="1"/>
        <v/>
      </c>
      <c r="M191" s="98">
        <f t="shared" si="2"/>
        <v>0</v>
      </c>
      <c r="N191" s="77"/>
      <c r="O191" s="90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</row>
    <row r="192" ht="18.0" customHeight="1">
      <c r="A192" s="81"/>
      <c r="B192" s="91" t="str">
        <f>"80025"</f>
        <v>80025</v>
      </c>
      <c r="C192" s="91" t="str">
        <f>"693102800250"</f>
        <v>693102800250</v>
      </c>
      <c r="D192" s="92" t="s">
        <v>185</v>
      </c>
      <c r="E192" s="93" t="s">
        <v>95</v>
      </c>
      <c r="F192" s="94">
        <v>39.0</v>
      </c>
      <c r="G192" s="94">
        <v>19.5</v>
      </c>
      <c r="H192" s="95">
        <v>0.604</v>
      </c>
      <c r="I192" s="96">
        <v>18.532799999999998</v>
      </c>
      <c r="J192" s="93" t="s">
        <v>31</v>
      </c>
      <c r="K192" s="97"/>
      <c r="L192" s="93" t="str">
        <f t="shared" si="1"/>
        <v/>
      </c>
      <c r="M192" s="98">
        <f t="shared" si="2"/>
        <v>0</v>
      </c>
      <c r="N192" s="77"/>
      <c r="O192" s="90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</row>
    <row r="193" ht="18.0" customHeight="1">
      <c r="A193" s="81"/>
      <c r="B193" s="91" t="str">
        <f>"80057"</f>
        <v>80057</v>
      </c>
      <c r="C193" s="91" t="str">
        <f>"693102800571"</f>
        <v>693102800571</v>
      </c>
      <c r="D193" s="92" t="s">
        <v>186</v>
      </c>
      <c r="E193" s="93" t="s">
        <v>95</v>
      </c>
      <c r="F193" s="94">
        <v>39.0</v>
      </c>
      <c r="G193" s="94">
        <v>19.5</v>
      </c>
      <c r="H193" s="95">
        <v>0.604</v>
      </c>
      <c r="I193" s="96">
        <v>18.532799999999998</v>
      </c>
      <c r="J193" s="93" t="s">
        <v>31</v>
      </c>
      <c r="K193" s="97"/>
      <c r="L193" s="93" t="str">
        <f t="shared" si="1"/>
        <v/>
      </c>
      <c r="M193" s="98">
        <f t="shared" si="2"/>
        <v>0</v>
      </c>
      <c r="N193" s="77"/>
      <c r="O193" s="90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</row>
    <row r="194" ht="18.0" customHeight="1">
      <c r="A194" s="81"/>
      <c r="B194" s="91" t="str">
        <f>"81-20-09"</f>
        <v>81-20-09</v>
      </c>
      <c r="C194" s="91" t="str">
        <f>"693102120099"</f>
        <v>693102120099</v>
      </c>
      <c r="D194" s="92" t="s">
        <v>187</v>
      </c>
      <c r="E194" s="93" t="s">
        <v>188</v>
      </c>
      <c r="F194" s="94">
        <v>21.0</v>
      </c>
      <c r="G194" s="94">
        <v>10.5</v>
      </c>
      <c r="H194" s="95">
        <v>0.604</v>
      </c>
      <c r="I194" s="96">
        <v>9.9792</v>
      </c>
      <c r="J194" s="93" t="s">
        <v>31</v>
      </c>
      <c r="K194" s="97"/>
      <c r="L194" s="93" t="str">
        <f t="shared" si="1"/>
        <v/>
      </c>
      <c r="M194" s="98">
        <f t="shared" si="2"/>
        <v>0</v>
      </c>
      <c r="N194" s="77"/>
      <c r="O194" s="90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</row>
    <row r="195" ht="18.0" customHeight="1">
      <c r="A195" s="81"/>
      <c r="B195" s="91" t="str">
        <f>"81-21-06"</f>
        <v>81-21-06</v>
      </c>
      <c r="C195" s="91" t="str">
        <f>"693102121065"</f>
        <v>693102121065</v>
      </c>
      <c r="D195" s="92" t="s">
        <v>189</v>
      </c>
      <c r="E195" s="93" t="s">
        <v>190</v>
      </c>
      <c r="F195" s="94">
        <v>15.0</v>
      </c>
      <c r="G195" s="94">
        <v>7.5</v>
      </c>
      <c r="H195" s="95">
        <v>0.6039999999999999</v>
      </c>
      <c r="I195" s="96">
        <v>7.128</v>
      </c>
      <c r="J195" s="93" t="s">
        <v>31</v>
      </c>
      <c r="K195" s="97"/>
      <c r="L195" s="93" t="str">
        <f t="shared" si="1"/>
        <v/>
      </c>
      <c r="M195" s="98">
        <f t="shared" si="2"/>
        <v>0</v>
      </c>
      <c r="N195" s="77"/>
      <c r="O195" s="90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</row>
    <row r="196" ht="18.0" customHeight="1">
      <c r="A196" s="81"/>
      <c r="B196" s="91" t="str">
        <f>"81-21-08"</f>
        <v>81-21-08</v>
      </c>
      <c r="C196" s="91" t="str">
        <f>"693102121089"</f>
        <v>693102121089</v>
      </c>
      <c r="D196" s="92" t="s">
        <v>191</v>
      </c>
      <c r="E196" s="93" t="s">
        <v>192</v>
      </c>
      <c r="F196" s="94">
        <v>30.0</v>
      </c>
      <c r="G196" s="94">
        <v>15.0</v>
      </c>
      <c r="H196" s="95">
        <v>0.6039999999999999</v>
      </c>
      <c r="I196" s="96">
        <v>14.256</v>
      </c>
      <c r="J196" s="93" t="s">
        <v>31</v>
      </c>
      <c r="K196" s="97"/>
      <c r="L196" s="93" t="str">
        <f t="shared" si="1"/>
        <v/>
      </c>
      <c r="M196" s="98">
        <f t="shared" si="2"/>
        <v>0</v>
      </c>
      <c r="N196" s="77"/>
      <c r="O196" s="90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</row>
    <row r="197" ht="18.0" customHeight="1">
      <c r="A197" s="81"/>
      <c r="B197" s="91" t="str">
        <f>"53124"</f>
        <v>53124</v>
      </c>
      <c r="C197" s="91" t="str">
        <f>"693102531246"</f>
        <v>693102531246</v>
      </c>
      <c r="D197" s="92" t="s">
        <v>193</v>
      </c>
      <c r="E197" s="93" t="s">
        <v>194</v>
      </c>
      <c r="F197" s="94">
        <v>35.0</v>
      </c>
      <c r="G197" s="94">
        <v>17.5</v>
      </c>
      <c r="H197" s="95">
        <v>0.604</v>
      </c>
      <c r="I197" s="96">
        <v>16.631999999999998</v>
      </c>
      <c r="J197" s="93" t="s">
        <v>31</v>
      </c>
      <c r="K197" s="97"/>
      <c r="L197" s="93" t="str">
        <f t="shared" si="1"/>
        <v/>
      </c>
      <c r="M197" s="98">
        <f t="shared" si="2"/>
        <v>0</v>
      </c>
      <c r="N197" s="77"/>
      <c r="O197" s="90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</row>
    <row r="198" ht="18.0" customHeight="1">
      <c r="A198" s="81"/>
      <c r="B198" s="91" t="str">
        <f>"53116"</f>
        <v>53116</v>
      </c>
      <c r="C198" s="91" t="str">
        <f>"693102531161"</f>
        <v>693102531161</v>
      </c>
      <c r="D198" s="92" t="s">
        <v>195</v>
      </c>
      <c r="E198" s="93" t="s">
        <v>194</v>
      </c>
      <c r="F198" s="94">
        <v>35.0</v>
      </c>
      <c r="G198" s="94">
        <v>17.5</v>
      </c>
      <c r="H198" s="95">
        <v>0.604</v>
      </c>
      <c r="I198" s="96">
        <v>16.631999999999998</v>
      </c>
      <c r="J198" s="93" t="s">
        <v>31</v>
      </c>
      <c r="K198" s="97"/>
      <c r="L198" s="93" t="str">
        <f t="shared" si="1"/>
        <v/>
      </c>
      <c r="M198" s="98">
        <f t="shared" si="2"/>
        <v>0</v>
      </c>
      <c r="N198" s="77"/>
      <c r="O198" s="90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</row>
    <row r="199" ht="18.0" customHeight="1">
      <c r="A199" s="81"/>
      <c r="B199" s="91" t="str">
        <f>"53117"</f>
        <v>53117</v>
      </c>
      <c r="C199" s="91" t="str">
        <f>"693102531178"</f>
        <v>693102531178</v>
      </c>
      <c r="D199" s="92" t="s">
        <v>196</v>
      </c>
      <c r="E199" s="93" t="s">
        <v>194</v>
      </c>
      <c r="F199" s="94">
        <v>35.0</v>
      </c>
      <c r="G199" s="94">
        <v>17.5</v>
      </c>
      <c r="H199" s="95">
        <v>0.604</v>
      </c>
      <c r="I199" s="96">
        <v>16.631999999999998</v>
      </c>
      <c r="J199" s="93" t="s">
        <v>31</v>
      </c>
      <c r="K199" s="97"/>
      <c r="L199" s="93" t="str">
        <f t="shared" si="1"/>
        <v/>
      </c>
      <c r="M199" s="98">
        <f t="shared" si="2"/>
        <v>0</v>
      </c>
      <c r="N199" s="77"/>
      <c r="O199" s="90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</row>
    <row r="200" ht="18.0" customHeight="1">
      <c r="A200" s="81"/>
      <c r="B200" s="91" t="str">
        <f>"53118"</f>
        <v>53118</v>
      </c>
      <c r="C200" s="91" t="str">
        <f>"693102531185"</f>
        <v>693102531185</v>
      </c>
      <c r="D200" s="92" t="s">
        <v>197</v>
      </c>
      <c r="E200" s="93" t="s">
        <v>194</v>
      </c>
      <c r="F200" s="94">
        <v>35.0</v>
      </c>
      <c r="G200" s="94">
        <v>17.5</v>
      </c>
      <c r="H200" s="95">
        <v>0.604</v>
      </c>
      <c r="I200" s="96">
        <v>16.631999999999998</v>
      </c>
      <c r="J200" s="93" t="s">
        <v>31</v>
      </c>
      <c r="K200" s="97"/>
      <c r="L200" s="93" t="str">
        <f t="shared" si="1"/>
        <v/>
      </c>
      <c r="M200" s="98">
        <f t="shared" si="2"/>
        <v>0</v>
      </c>
      <c r="N200" s="77"/>
      <c r="O200" s="90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</row>
    <row r="201" ht="18.0" customHeight="1">
      <c r="A201" s="81"/>
      <c r="B201" s="91" t="str">
        <f>"80004"</f>
        <v>80004</v>
      </c>
      <c r="C201" s="91" t="str">
        <f>"693102800045"</f>
        <v>693102800045</v>
      </c>
      <c r="D201" s="92" t="s">
        <v>198</v>
      </c>
      <c r="E201" s="93" t="s">
        <v>194</v>
      </c>
      <c r="F201" s="94">
        <v>35.0</v>
      </c>
      <c r="G201" s="94">
        <v>17.5</v>
      </c>
      <c r="H201" s="95">
        <v>0.604</v>
      </c>
      <c r="I201" s="96">
        <v>16.631999999999998</v>
      </c>
      <c r="J201" s="93" t="s">
        <v>31</v>
      </c>
      <c r="K201" s="97"/>
      <c r="L201" s="93" t="str">
        <f t="shared" si="1"/>
        <v/>
      </c>
      <c r="M201" s="98">
        <f t="shared" si="2"/>
        <v>0</v>
      </c>
      <c r="N201" s="77"/>
      <c r="O201" s="90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</row>
    <row r="202" ht="18.0" customHeight="1">
      <c r="A202" s="81"/>
      <c r="B202" s="91" t="str">
        <f>"53065"</f>
        <v>53065</v>
      </c>
      <c r="C202" s="91" t="str">
        <f>"693102530652"</f>
        <v>693102530652</v>
      </c>
      <c r="D202" s="92" t="s">
        <v>199</v>
      </c>
      <c r="E202" s="93" t="s">
        <v>194</v>
      </c>
      <c r="F202" s="94">
        <v>35.0</v>
      </c>
      <c r="G202" s="94">
        <v>17.5</v>
      </c>
      <c r="H202" s="95">
        <v>0.604</v>
      </c>
      <c r="I202" s="96">
        <v>16.631999999999998</v>
      </c>
      <c r="J202" s="93" t="s">
        <v>31</v>
      </c>
      <c r="K202" s="97"/>
      <c r="L202" s="93" t="str">
        <f t="shared" si="1"/>
        <v/>
      </c>
      <c r="M202" s="98">
        <f t="shared" si="2"/>
        <v>0</v>
      </c>
      <c r="N202" s="77"/>
      <c r="O202" s="90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</row>
    <row r="203" ht="18.0" customHeight="1">
      <c r="A203" s="81"/>
      <c r="B203" s="91" t="str">
        <f>"53119"</f>
        <v>53119</v>
      </c>
      <c r="C203" s="91" t="str">
        <f>"693102531192"</f>
        <v>693102531192</v>
      </c>
      <c r="D203" s="92" t="s">
        <v>200</v>
      </c>
      <c r="E203" s="93" t="s">
        <v>194</v>
      </c>
      <c r="F203" s="94">
        <v>35.0</v>
      </c>
      <c r="G203" s="94">
        <v>17.5</v>
      </c>
      <c r="H203" s="95">
        <v>0.604</v>
      </c>
      <c r="I203" s="96">
        <v>16.631999999999998</v>
      </c>
      <c r="J203" s="93" t="s">
        <v>31</v>
      </c>
      <c r="K203" s="97"/>
      <c r="L203" s="93" t="str">
        <f t="shared" si="1"/>
        <v/>
      </c>
      <c r="M203" s="98">
        <f t="shared" si="2"/>
        <v>0</v>
      </c>
      <c r="N203" s="77"/>
      <c r="O203" s="90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</row>
    <row r="204" ht="18.0" customHeight="1">
      <c r="A204" s="81"/>
      <c r="B204" s="91" t="str">
        <f>"53125"</f>
        <v>53125</v>
      </c>
      <c r="C204" s="91" t="str">
        <f>"693102531253"</f>
        <v>693102531253</v>
      </c>
      <c r="D204" s="92" t="s">
        <v>201</v>
      </c>
      <c r="E204" s="93" t="s">
        <v>194</v>
      </c>
      <c r="F204" s="94">
        <v>35.0</v>
      </c>
      <c r="G204" s="94">
        <v>17.5</v>
      </c>
      <c r="H204" s="95">
        <v>0.604</v>
      </c>
      <c r="I204" s="96">
        <v>16.631999999999998</v>
      </c>
      <c r="J204" s="93" t="s">
        <v>31</v>
      </c>
      <c r="K204" s="97"/>
      <c r="L204" s="93" t="str">
        <f t="shared" si="1"/>
        <v/>
      </c>
      <c r="M204" s="98">
        <f t="shared" si="2"/>
        <v>0</v>
      </c>
      <c r="N204" s="77"/>
      <c r="O204" s="90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</row>
    <row r="205" ht="18.0" customHeight="1">
      <c r="A205" s="81"/>
      <c r="B205" s="91" t="str">
        <f>"53112"</f>
        <v>53112</v>
      </c>
      <c r="C205" s="91" t="str">
        <f>"693102531123"</f>
        <v>693102531123</v>
      </c>
      <c r="D205" s="92" t="s">
        <v>202</v>
      </c>
      <c r="E205" s="93" t="s">
        <v>194</v>
      </c>
      <c r="F205" s="94">
        <v>35.0</v>
      </c>
      <c r="G205" s="94">
        <v>17.5</v>
      </c>
      <c r="H205" s="95">
        <v>0.604</v>
      </c>
      <c r="I205" s="96">
        <v>16.631999999999998</v>
      </c>
      <c r="J205" s="93" t="s">
        <v>31</v>
      </c>
      <c r="K205" s="97"/>
      <c r="L205" s="93" t="str">
        <f t="shared" si="1"/>
        <v/>
      </c>
      <c r="M205" s="98">
        <f t="shared" si="2"/>
        <v>0</v>
      </c>
      <c r="N205" s="77"/>
      <c r="O205" s="90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</row>
    <row r="206" ht="18.0" customHeight="1">
      <c r="A206" s="81"/>
      <c r="B206" s="91" t="str">
        <f>"53049"</f>
        <v>53049</v>
      </c>
      <c r="C206" s="91" t="str">
        <f>"693102530492"</f>
        <v>693102530492</v>
      </c>
      <c r="D206" s="92" t="s">
        <v>203</v>
      </c>
      <c r="E206" s="93" t="s">
        <v>194</v>
      </c>
      <c r="F206" s="94">
        <v>35.0</v>
      </c>
      <c r="G206" s="94">
        <v>17.5</v>
      </c>
      <c r="H206" s="95">
        <v>0.604</v>
      </c>
      <c r="I206" s="96">
        <v>16.631999999999998</v>
      </c>
      <c r="J206" s="93" t="s">
        <v>31</v>
      </c>
      <c r="K206" s="97"/>
      <c r="L206" s="93" t="str">
        <f t="shared" si="1"/>
        <v/>
      </c>
      <c r="M206" s="98">
        <f t="shared" si="2"/>
        <v>0</v>
      </c>
      <c r="N206" s="77"/>
      <c r="O206" s="90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</row>
    <row r="207" ht="18.0" customHeight="1">
      <c r="A207" s="81"/>
      <c r="B207" s="91" t="str">
        <f>"53122"</f>
        <v>53122</v>
      </c>
      <c r="C207" s="91" t="str">
        <f>"693102531222"</f>
        <v>693102531222</v>
      </c>
      <c r="D207" s="92" t="s">
        <v>204</v>
      </c>
      <c r="E207" s="93" t="s">
        <v>95</v>
      </c>
      <c r="F207" s="94">
        <v>89.0</v>
      </c>
      <c r="G207" s="94">
        <v>44.5</v>
      </c>
      <c r="H207" s="95">
        <v>0.49573033707865166</v>
      </c>
      <c r="I207" s="96">
        <v>53.856</v>
      </c>
      <c r="J207" s="93" t="s">
        <v>31</v>
      </c>
      <c r="K207" s="97"/>
      <c r="L207" s="93" t="str">
        <f t="shared" si="1"/>
        <v/>
      </c>
      <c r="M207" s="98">
        <f t="shared" si="2"/>
        <v>0</v>
      </c>
      <c r="N207" s="77"/>
      <c r="O207" s="90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</row>
    <row r="208" ht="18.0" customHeight="1">
      <c r="A208" s="81"/>
      <c r="B208" s="91" t="str">
        <f>"80010"</f>
        <v>80010</v>
      </c>
      <c r="C208" s="91" t="str">
        <f>"693102800106"</f>
        <v>693102800106</v>
      </c>
      <c r="D208" s="92" t="s">
        <v>205</v>
      </c>
      <c r="E208" s="93" t="s">
        <v>206</v>
      </c>
      <c r="F208" s="94">
        <v>37.0</v>
      </c>
      <c r="G208" s="94">
        <v>18.5</v>
      </c>
      <c r="H208" s="95">
        <v>0.604</v>
      </c>
      <c r="I208" s="96">
        <v>17.5824</v>
      </c>
      <c r="J208" s="93" t="s">
        <v>31</v>
      </c>
      <c r="K208" s="97"/>
      <c r="L208" s="93" t="str">
        <f t="shared" si="1"/>
        <v/>
      </c>
      <c r="M208" s="98">
        <f t="shared" si="2"/>
        <v>0</v>
      </c>
      <c r="N208" s="77"/>
      <c r="O208" s="90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</row>
    <row r="209" ht="18.0" customHeight="1">
      <c r="A209" s="81"/>
      <c r="B209" s="91" t="str">
        <f>"80044"</f>
        <v>80044</v>
      </c>
      <c r="C209" s="91" t="str">
        <f>"693102800441"</f>
        <v>693102800441</v>
      </c>
      <c r="D209" s="92" t="s">
        <v>207</v>
      </c>
      <c r="E209" s="93" t="s">
        <v>206</v>
      </c>
      <c r="F209" s="94">
        <v>32.0</v>
      </c>
      <c r="G209" s="94">
        <v>16.0</v>
      </c>
      <c r="H209" s="95">
        <v>0.604</v>
      </c>
      <c r="I209" s="96">
        <v>15.2064</v>
      </c>
      <c r="J209" s="93" t="s">
        <v>31</v>
      </c>
      <c r="K209" s="97"/>
      <c r="L209" s="93" t="str">
        <f t="shared" si="1"/>
        <v/>
      </c>
      <c r="M209" s="98">
        <f t="shared" si="2"/>
        <v>0</v>
      </c>
      <c r="N209" s="77"/>
      <c r="O209" s="90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</row>
    <row r="210" ht="18.0" customHeight="1">
      <c r="A210" s="81"/>
      <c r="B210" s="91" t="str">
        <f>"80017"</f>
        <v>80017</v>
      </c>
      <c r="C210" s="91" t="str">
        <f>"693102800175"</f>
        <v>693102800175</v>
      </c>
      <c r="D210" s="92" t="s">
        <v>208</v>
      </c>
      <c r="E210" s="93" t="s">
        <v>206</v>
      </c>
      <c r="F210" s="94">
        <v>32.0</v>
      </c>
      <c r="G210" s="94">
        <v>16.0</v>
      </c>
      <c r="H210" s="95">
        <v>0.604</v>
      </c>
      <c r="I210" s="96">
        <v>15.2064</v>
      </c>
      <c r="J210" s="93" t="s">
        <v>31</v>
      </c>
      <c r="K210" s="97"/>
      <c r="L210" s="93" t="str">
        <f t="shared" si="1"/>
        <v/>
      </c>
      <c r="M210" s="98">
        <f t="shared" si="2"/>
        <v>0</v>
      </c>
      <c r="N210" s="77"/>
      <c r="O210" s="90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</row>
    <row r="211" ht="18.0" customHeight="1">
      <c r="A211" s="81"/>
      <c r="B211" s="91" t="str">
        <f>"80-93-33"</f>
        <v>80-93-33</v>
      </c>
      <c r="C211" s="91" t="str">
        <f>"693102093331"</f>
        <v>693102093331</v>
      </c>
      <c r="D211" s="92" t="s">
        <v>209</v>
      </c>
      <c r="E211" s="93" t="s">
        <v>206</v>
      </c>
      <c r="F211" s="94">
        <v>31.0</v>
      </c>
      <c r="G211" s="94">
        <v>15.5</v>
      </c>
      <c r="H211" s="95">
        <v>0.604</v>
      </c>
      <c r="I211" s="96">
        <v>14.7312</v>
      </c>
      <c r="J211" s="93" t="s">
        <v>31</v>
      </c>
      <c r="K211" s="97"/>
      <c r="L211" s="93" t="str">
        <f t="shared" si="1"/>
        <v/>
      </c>
      <c r="M211" s="98">
        <f t="shared" si="2"/>
        <v>0</v>
      </c>
      <c r="N211" s="77"/>
      <c r="O211" s="90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</row>
    <row r="212" ht="18.0" customHeight="1">
      <c r="A212" s="81"/>
      <c r="B212" s="91" t="str">
        <f>"80-93-26"</f>
        <v>80-93-26</v>
      </c>
      <c r="C212" s="91" t="str">
        <f>"693102093263"</f>
        <v>693102093263</v>
      </c>
      <c r="D212" s="92" t="s">
        <v>210</v>
      </c>
      <c r="E212" s="93" t="s">
        <v>206</v>
      </c>
      <c r="F212" s="94">
        <v>31.0</v>
      </c>
      <c r="G212" s="94">
        <v>15.5</v>
      </c>
      <c r="H212" s="95">
        <v>0.604</v>
      </c>
      <c r="I212" s="96">
        <v>14.7312</v>
      </c>
      <c r="J212" s="93" t="s">
        <v>31</v>
      </c>
      <c r="K212" s="97"/>
      <c r="L212" s="93" t="str">
        <f t="shared" si="1"/>
        <v/>
      </c>
      <c r="M212" s="98">
        <f t="shared" si="2"/>
        <v>0</v>
      </c>
      <c r="N212" s="77"/>
      <c r="O212" s="90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</row>
    <row r="213" ht="18.0" customHeight="1">
      <c r="A213" s="81"/>
      <c r="B213" s="91" t="str">
        <f>"80-93-22"</f>
        <v>80-93-22</v>
      </c>
      <c r="C213" s="91" t="str">
        <f>"693102093225"</f>
        <v>693102093225</v>
      </c>
      <c r="D213" s="92" t="s">
        <v>211</v>
      </c>
      <c r="E213" s="93" t="s">
        <v>206</v>
      </c>
      <c r="F213" s="94">
        <v>31.0</v>
      </c>
      <c r="G213" s="94">
        <v>15.5</v>
      </c>
      <c r="H213" s="95">
        <v>0.604</v>
      </c>
      <c r="I213" s="96">
        <v>14.7312</v>
      </c>
      <c r="J213" s="93" t="s">
        <v>31</v>
      </c>
      <c r="K213" s="97"/>
      <c r="L213" s="93" t="str">
        <f t="shared" si="1"/>
        <v/>
      </c>
      <c r="M213" s="98">
        <f t="shared" si="2"/>
        <v>0</v>
      </c>
      <c r="N213" s="77"/>
      <c r="O213" s="90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</row>
    <row r="214" ht="18.0" customHeight="1">
      <c r="A214" s="81"/>
      <c r="B214" s="91" t="str">
        <f>"80021"</f>
        <v>80021</v>
      </c>
      <c r="C214" s="91" t="str">
        <f>"693102800212"</f>
        <v>693102800212</v>
      </c>
      <c r="D214" s="92" t="s">
        <v>212</v>
      </c>
      <c r="E214" s="93" t="s">
        <v>206</v>
      </c>
      <c r="F214" s="94">
        <v>32.0</v>
      </c>
      <c r="G214" s="94">
        <v>16.0</v>
      </c>
      <c r="H214" s="95">
        <v>0.604</v>
      </c>
      <c r="I214" s="96">
        <v>15.2064</v>
      </c>
      <c r="J214" s="93" t="s">
        <v>31</v>
      </c>
      <c r="K214" s="97"/>
      <c r="L214" s="93" t="str">
        <f t="shared" si="1"/>
        <v/>
      </c>
      <c r="M214" s="98">
        <f t="shared" si="2"/>
        <v>0</v>
      </c>
      <c r="N214" s="77"/>
      <c r="O214" s="90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</row>
    <row r="215" ht="18.0" customHeight="1">
      <c r="A215" s="81"/>
      <c r="B215" s="91" t="str">
        <f>"80001"</f>
        <v>80001</v>
      </c>
      <c r="C215" s="91" t="str">
        <f>"693102800014"</f>
        <v>693102800014</v>
      </c>
      <c r="D215" s="92" t="s">
        <v>213</v>
      </c>
      <c r="E215" s="93" t="s">
        <v>206</v>
      </c>
      <c r="F215" s="94">
        <v>31.0</v>
      </c>
      <c r="G215" s="94">
        <v>15.5</v>
      </c>
      <c r="H215" s="95">
        <v>0.604</v>
      </c>
      <c r="I215" s="96">
        <v>14.7312</v>
      </c>
      <c r="J215" s="93" t="s">
        <v>31</v>
      </c>
      <c r="K215" s="97"/>
      <c r="L215" s="93" t="str">
        <f t="shared" si="1"/>
        <v/>
      </c>
      <c r="M215" s="98">
        <f t="shared" si="2"/>
        <v>0</v>
      </c>
      <c r="N215" s="77"/>
      <c r="O215" s="90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</row>
    <row r="216" ht="18.0" customHeight="1">
      <c r="A216" s="81"/>
      <c r="B216" s="91" t="str">
        <f>"80-93-35"</f>
        <v>80-93-35</v>
      </c>
      <c r="C216" s="91" t="str">
        <f>"693102093355"</f>
        <v>693102093355</v>
      </c>
      <c r="D216" s="92" t="s">
        <v>214</v>
      </c>
      <c r="E216" s="93" t="s">
        <v>206</v>
      </c>
      <c r="F216" s="94">
        <v>31.0</v>
      </c>
      <c r="G216" s="94">
        <v>15.5</v>
      </c>
      <c r="H216" s="95">
        <v>0.604</v>
      </c>
      <c r="I216" s="96">
        <v>14.7312</v>
      </c>
      <c r="J216" s="93" t="s">
        <v>31</v>
      </c>
      <c r="K216" s="97"/>
      <c r="L216" s="93" t="str">
        <f t="shared" si="1"/>
        <v/>
      </c>
      <c r="M216" s="98">
        <f t="shared" si="2"/>
        <v>0</v>
      </c>
      <c r="N216" s="77"/>
      <c r="O216" s="90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</row>
    <row r="217" ht="18.0" customHeight="1">
      <c r="A217" s="81"/>
      <c r="B217" s="91" t="str">
        <f>"35084"</f>
        <v>35084</v>
      </c>
      <c r="C217" s="91" t="str">
        <f>"693102350847"</f>
        <v>693102350847</v>
      </c>
      <c r="D217" s="92" t="s">
        <v>215</v>
      </c>
      <c r="E217" s="93" t="s">
        <v>206</v>
      </c>
      <c r="F217" s="94">
        <v>32.0</v>
      </c>
      <c r="G217" s="94">
        <v>16.0</v>
      </c>
      <c r="H217" s="95">
        <v>0.6039999999999999</v>
      </c>
      <c r="I217" s="96">
        <v>15.206400000000002</v>
      </c>
      <c r="J217" s="93" t="s">
        <v>31</v>
      </c>
      <c r="K217" s="97"/>
      <c r="L217" s="93" t="str">
        <f t="shared" si="1"/>
        <v/>
      </c>
      <c r="M217" s="98">
        <f t="shared" si="2"/>
        <v>0</v>
      </c>
      <c r="N217" s="77"/>
      <c r="O217" s="90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</row>
    <row r="218" ht="18.0" customHeight="1">
      <c r="A218" s="81"/>
      <c r="B218" s="91" t="str">
        <f>"80016"</f>
        <v>80016</v>
      </c>
      <c r="C218" s="91" t="str">
        <f>"693102800168"</f>
        <v>693102800168</v>
      </c>
      <c r="D218" s="92" t="s">
        <v>216</v>
      </c>
      <c r="E218" s="93" t="s">
        <v>206</v>
      </c>
      <c r="F218" s="94">
        <v>32.0</v>
      </c>
      <c r="G218" s="94">
        <v>16.0</v>
      </c>
      <c r="H218" s="95">
        <v>0.604</v>
      </c>
      <c r="I218" s="96">
        <v>15.2064</v>
      </c>
      <c r="J218" s="93" t="s">
        <v>31</v>
      </c>
      <c r="K218" s="97"/>
      <c r="L218" s="93" t="str">
        <f t="shared" si="1"/>
        <v/>
      </c>
      <c r="M218" s="98">
        <f t="shared" si="2"/>
        <v>0</v>
      </c>
      <c r="N218" s="77"/>
      <c r="O218" s="90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</row>
    <row r="219" ht="18.0" customHeight="1">
      <c r="A219" s="81"/>
      <c r="B219" s="91" t="str">
        <f>"80018"</f>
        <v>80018</v>
      </c>
      <c r="C219" s="91" t="str">
        <f>"693102800182"</f>
        <v>693102800182</v>
      </c>
      <c r="D219" s="92" t="s">
        <v>217</v>
      </c>
      <c r="E219" s="93" t="s">
        <v>206</v>
      </c>
      <c r="F219" s="94">
        <v>32.0</v>
      </c>
      <c r="G219" s="94">
        <v>16.0</v>
      </c>
      <c r="H219" s="95">
        <v>0.604</v>
      </c>
      <c r="I219" s="96">
        <v>15.2064</v>
      </c>
      <c r="J219" s="93" t="s">
        <v>31</v>
      </c>
      <c r="K219" s="97"/>
      <c r="L219" s="93" t="str">
        <f t="shared" si="1"/>
        <v/>
      </c>
      <c r="M219" s="98">
        <f t="shared" si="2"/>
        <v>0</v>
      </c>
      <c r="N219" s="77"/>
      <c r="O219" s="90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</row>
    <row r="220" ht="18.0" customHeight="1">
      <c r="A220" s="81"/>
      <c r="B220" s="91" t="str">
        <f>"80-93-38"</f>
        <v>80-93-38</v>
      </c>
      <c r="C220" s="91" t="str">
        <f>"693102093386"</f>
        <v>693102093386</v>
      </c>
      <c r="D220" s="92" t="s">
        <v>218</v>
      </c>
      <c r="E220" s="93" t="s">
        <v>206</v>
      </c>
      <c r="F220" s="94">
        <v>31.0</v>
      </c>
      <c r="G220" s="94">
        <v>15.5</v>
      </c>
      <c r="H220" s="95">
        <v>0.604</v>
      </c>
      <c r="I220" s="96">
        <v>14.7312</v>
      </c>
      <c r="J220" s="93" t="s">
        <v>31</v>
      </c>
      <c r="K220" s="97"/>
      <c r="L220" s="93" t="str">
        <f t="shared" si="1"/>
        <v/>
      </c>
      <c r="M220" s="98">
        <f t="shared" si="2"/>
        <v>0</v>
      </c>
      <c r="N220" s="77"/>
      <c r="O220" s="90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</row>
    <row r="221" ht="18.0" customHeight="1">
      <c r="A221" s="81"/>
      <c r="B221" s="91" t="str">
        <f>"80045"</f>
        <v>80045</v>
      </c>
      <c r="C221" s="91" t="str">
        <f>"693102800458"</f>
        <v>693102800458</v>
      </c>
      <c r="D221" s="92" t="s">
        <v>219</v>
      </c>
      <c r="E221" s="93" t="s">
        <v>206</v>
      </c>
      <c r="F221" s="94">
        <v>32.0</v>
      </c>
      <c r="G221" s="94">
        <v>16.0</v>
      </c>
      <c r="H221" s="95">
        <v>0.6039999999999999</v>
      </c>
      <c r="I221" s="96">
        <v>15.206400000000002</v>
      </c>
      <c r="J221" s="93" t="s">
        <v>31</v>
      </c>
      <c r="K221" s="97"/>
      <c r="L221" s="93" t="str">
        <f t="shared" si="1"/>
        <v/>
      </c>
      <c r="M221" s="98">
        <f t="shared" si="2"/>
        <v>0</v>
      </c>
      <c r="N221" s="77"/>
      <c r="O221" s="90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</row>
    <row r="222" ht="18.0" customHeight="1">
      <c r="A222" s="81"/>
      <c r="B222" s="91" t="str">
        <f>"80-93-31"</f>
        <v>80-93-31</v>
      </c>
      <c r="C222" s="91" t="str">
        <f>"693102093317"</f>
        <v>693102093317</v>
      </c>
      <c r="D222" s="92" t="s">
        <v>220</v>
      </c>
      <c r="E222" s="93" t="s">
        <v>206</v>
      </c>
      <c r="F222" s="94">
        <v>31.0</v>
      </c>
      <c r="G222" s="94">
        <v>15.5</v>
      </c>
      <c r="H222" s="95">
        <v>0.604</v>
      </c>
      <c r="I222" s="96">
        <v>14.7312</v>
      </c>
      <c r="J222" s="93" t="s">
        <v>31</v>
      </c>
      <c r="K222" s="97"/>
      <c r="L222" s="93" t="str">
        <f t="shared" si="1"/>
        <v/>
      </c>
      <c r="M222" s="98">
        <f t="shared" si="2"/>
        <v>0</v>
      </c>
      <c r="N222" s="77"/>
      <c r="O222" s="90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</row>
    <row r="223" ht="18.0" customHeight="1">
      <c r="A223" s="81"/>
      <c r="B223" s="91" t="str">
        <f>"80-93-32"</f>
        <v>80-93-32</v>
      </c>
      <c r="C223" s="91" t="str">
        <f>"693102093324"</f>
        <v>693102093324</v>
      </c>
      <c r="D223" s="92" t="s">
        <v>221</v>
      </c>
      <c r="E223" s="93" t="s">
        <v>206</v>
      </c>
      <c r="F223" s="94">
        <v>31.0</v>
      </c>
      <c r="G223" s="94">
        <v>15.5</v>
      </c>
      <c r="H223" s="95">
        <v>0.604</v>
      </c>
      <c r="I223" s="96">
        <v>14.7312</v>
      </c>
      <c r="J223" s="93" t="s">
        <v>31</v>
      </c>
      <c r="K223" s="97"/>
      <c r="L223" s="93" t="str">
        <f t="shared" si="1"/>
        <v/>
      </c>
      <c r="M223" s="98">
        <f t="shared" si="2"/>
        <v>0</v>
      </c>
      <c r="N223" s="77"/>
      <c r="O223" s="90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</row>
    <row r="224" ht="18.0" customHeight="1">
      <c r="A224" s="81"/>
      <c r="B224" s="91" t="str">
        <f>"80019"</f>
        <v>80019</v>
      </c>
      <c r="C224" s="91" t="str">
        <f>"693102800199"</f>
        <v>693102800199</v>
      </c>
      <c r="D224" s="92" t="s">
        <v>222</v>
      </c>
      <c r="E224" s="93" t="s">
        <v>206</v>
      </c>
      <c r="F224" s="94">
        <v>32.0</v>
      </c>
      <c r="G224" s="94">
        <v>16.0</v>
      </c>
      <c r="H224" s="95">
        <v>0.604</v>
      </c>
      <c r="I224" s="96">
        <v>15.2064</v>
      </c>
      <c r="J224" s="93" t="s">
        <v>31</v>
      </c>
      <c r="K224" s="97"/>
      <c r="L224" s="93" t="str">
        <f t="shared" si="1"/>
        <v/>
      </c>
      <c r="M224" s="98">
        <f t="shared" si="2"/>
        <v>0</v>
      </c>
      <c r="N224" s="77"/>
      <c r="O224" s="90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</row>
    <row r="225" ht="18.0" customHeight="1">
      <c r="A225" s="81"/>
      <c r="B225" s="91" t="str">
        <f>"80-93-24"</f>
        <v>80-93-24</v>
      </c>
      <c r="C225" s="91" t="str">
        <f>"693102093249"</f>
        <v>693102093249</v>
      </c>
      <c r="D225" s="92" t="s">
        <v>223</v>
      </c>
      <c r="E225" s="93" t="s">
        <v>206</v>
      </c>
      <c r="F225" s="94">
        <v>31.0</v>
      </c>
      <c r="G225" s="94">
        <v>15.5</v>
      </c>
      <c r="H225" s="95">
        <v>0.604</v>
      </c>
      <c r="I225" s="96">
        <v>14.7312</v>
      </c>
      <c r="J225" s="93" t="s">
        <v>31</v>
      </c>
      <c r="K225" s="97"/>
      <c r="L225" s="93" t="str">
        <f t="shared" si="1"/>
        <v/>
      </c>
      <c r="M225" s="98">
        <f t="shared" si="2"/>
        <v>0</v>
      </c>
      <c r="N225" s="77"/>
      <c r="O225" s="90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</row>
    <row r="226" ht="18.0" customHeight="1">
      <c r="A226" s="81"/>
      <c r="B226" s="91" t="str">
        <f>"47021"</f>
        <v>47021</v>
      </c>
      <c r="C226" s="91" t="str">
        <f>"693102470217"</f>
        <v>693102470217</v>
      </c>
      <c r="D226" s="92" t="s">
        <v>224</v>
      </c>
      <c r="E226" s="93" t="s">
        <v>206</v>
      </c>
      <c r="F226" s="94">
        <v>32.0</v>
      </c>
      <c r="G226" s="94">
        <v>16.0</v>
      </c>
      <c r="H226" s="95">
        <v>0.604</v>
      </c>
      <c r="I226" s="96">
        <v>15.2064</v>
      </c>
      <c r="J226" s="93" t="s">
        <v>31</v>
      </c>
      <c r="K226" s="97"/>
      <c r="L226" s="93" t="str">
        <f t="shared" si="1"/>
        <v/>
      </c>
      <c r="M226" s="98">
        <f t="shared" si="2"/>
        <v>0</v>
      </c>
      <c r="N226" s="77"/>
      <c r="O226" s="90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</row>
    <row r="227" ht="18.0" customHeight="1">
      <c r="A227" s="81"/>
      <c r="B227" s="91" t="str">
        <f>"80-93-25"</f>
        <v>80-93-25</v>
      </c>
      <c r="C227" s="91" t="str">
        <f>"693102093256"</f>
        <v>693102093256</v>
      </c>
      <c r="D227" s="92" t="s">
        <v>225</v>
      </c>
      <c r="E227" s="93" t="s">
        <v>206</v>
      </c>
      <c r="F227" s="94">
        <v>31.0</v>
      </c>
      <c r="G227" s="94">
        <v>15.5</v>
      </c>
      <c r="H227" s="95">
        <v>0.604</v>
      </c>
      <c r="I227" s="96">
        <v>14.7312</v>
      </c>
      <c r="J227" s="93" t="s">
        <v>31</v>
      </c>
      <c r="K227" s="97"/>
      <c r="L227" s="93" t="str">
        <f t="shared" si="1"/>
        <v/>
      </c>
      <c r="M227" s="98">
        <f t="shared" si="2"/>
        <v>0</v>
      </c>
      <c r="N227" s="77"/>
      <c r="O227" s="90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</row>
    <row r="228" ht="18.0" customHeight="1">
      <c r="A228" s="81"/>
      <c r="B228" s="91" t="str">
        <f>"35103"</f>
        <v>35103</v>
      </c>
      <c r="C228" s="91" t="str">
        <f>"693102351035"</f>
        <v>693102351035</v>
      </c>
      <c r="D228" s="92" t="s">
        <v>226</v>
      </c>
      <c r="E228" s="93" t="s">
        <v>206</v>
      </c>
      <c r="F228" s="94">
        <v>32.0</v>
      </c>
      <c r="G228" s="94">
        <v>16.0</v>
      </c>
      <c r="H228" s="95">
        <v>0.604</v>
      </c>
      <c r="I228" s="96">
        <v>15.2064</v>
      </c>
      <c r="J228" s="93" t="s">
        <v>31</v>
      </c>
      <c r="K228" s="97"/>
      <c r="L228" s="93" t="str">
        <f t="shared" si="1"/>
        <v/>
      </c>
      <c r="M228" s="98">
        <f t="shared" si="2"/>
        <v>0</v>
      </c>
      <c r="N228" s="77"/>
      <c r="O228" s="90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</row>
    <row r="229" ht="18.0" customHeight="1">
      <c r="A229" s="81"/>
      <c r="B229" s="91" t="str">
        <f>"80015"</f>
        <v>80015</v>
      </c>
      <c r="C229" s="91" t="str">
        <f>"693102800151"</f>
        <v>693102800151</v>
      </c>
      <c r="D229" s="92" t="s">
        <v>227</v>
      </c>
      <c r="E229" s="93" t="s">
        <v>206</v>
      </c>
      <c r="F229" s="94">
        <v>32.0</v>
      </c>
      <c r="G229" s="94">
        <v>16.0</v>
      </c>
      <c r="H229" s="95">
        <v>0.604</v>
      </c>
      <c r="I229" s="96">
        <v>15.2064</v>
      </c>
      <c r="J229" s="93" t="s">
        <v>31</v>
      </c>
      <c r="K229" s="97"/>
      <c r="L229" s="93" t="str">
        <f t="shared" si="1"/>
        <v/>
      </c>
      <c r="M229" s="98">
        <f t="shared" si="2"/>
        <v>0</v>
      </c>
      <c r="N229" s="77"/>
      <c r="O229" s="90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</row>
    <row r="230" ht="18.0" customHeight="1">
      <c r="A230" s="81"/>
      <c r="B230" s="91" t="str">
        <f>"80020"</f>
        <v>80020</v>
      </c>
      <c r="C230" s="91" t="str">
        <f>"693102800205"</f>
        <v>693102800205</v>
      </c>
      <c r="D230" s="92" t="s">
        <v>228</v>
      </c>
      <c r="E230" s="93" t="s">
        <v>206</v>
      </c>
      <c r="F230" s="94">
        <v>32.0</v>
      </c>
      <c r="G230" s="94">
        <v>16.0</v>
      </c>
      <c r="H230" s="95">
        <v>0.604</v>
      </c>
      <c r="I230" s="96">
        <v>15.2064</v>
      </c>
      <c r="J230" s="93" t="s">
        <v>31</v>
      </c>
      <c r="K230" s="97"/>
      <c r="L230" s="93" t="str">
        <f t="shared" si="1"/>
        <v/>
      </c>
      <c r="M230" s="98">
        <f t="shared" si="2"/>
        <v>0</v>
      </c>
      <c r="N230" s="77"/>
      <c r="O230" s="90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</row>
    <row r="231" ht="18.0" customHeight="1">
      <c r="A231" s="81"/>
      <c r="B231" s="91" t="str">
        <f>"80-93-34"</f>
        <v>80-93-34</v>
      </c>
      <c r="C231" s="91" t="str">
        <f>"693102093348"</f>
        <v>693102093348</v>
      </c>
      <c r="D231" s="92" t="s">
        <v>229</v>
      </c>
      <c r="E231" s="93" t="s">
        <v>206</v>
      </c>
      <c r="F231" s="94">
        <v>31.0</v>
      </c>
      <c r="G231" s="94">
        <v>15.5</v>
      </c>
      <c r="H231" s="95">
        <v>0.604</v>
      </c>
      <c r="I231" s="96">
        <v>14.7312</v>
      </c>
      <c r="J231" s="93" t="s">
        <v>31</v>
      </c>
      <c r="K231" s="97"/>
      <c r="L231" s="93" t="str">
        <f t="shared" si="1"/>
        <v/>
      </c>
      <c r="M231" s="98">
        <f t="shared" si="2"/>
        <v>0</v>
      </c>
      <c r="N231" s="77"/>
      <c r="O231" s="90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</row>
    <row r="232" ht="18.0" customHeight="1">
      <c r="A232" s="81"/>
      <c r="B232" s="91" t="str">
        <f>"22-00-19"</f>
        <v>22-00-19</v>
      </c>
      <c r="C232" s="91" t="str">
        <f>"693102200197"</f>
        <v>693102200197</v>
      </c>
      <c r="D232" s="92" t="s">
        <v>230</v>
      </c>
      <c r="E232" s="93" t="s">
        <v>231</v>
      </c>
      <c r="F232" s="94">
        <v>19.0</v>
      </c>
      <c r="G232" s="94">
        <v>9.5</v>
      </c>
      <c r="H232" s="95">
        <v>0.604</v>
      </c>
      <c r="I232" s="96">
        <v>9.0288</v>
      </c>
      <c r="J232" s="93" t="s">
        <v>31</v>
      </c>
      <c r="K232" s="97"/>
      <c r="L232" s="93" t="str">
        <f t="shared" si="1"/>
        <v/>
      </c>
      <c r="M232" s="98">
        <f t="shared" si="2"/>
        <v>0</v>
      </c>
      <c r="N232" s="77"/>
      <c r="O232" s="90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</row>
    <row r="233" ht="18.0" customHeight="1">
      <c r="A233" s="81"/>
      <c r="B233" s="91" t="str">
        <f>"22-00-99"</f>
        <v>22-00-99</v>
      </c>
      <c r="C233" s="91" t="str">
        <f>"693102200999"</f>
        <v>693102200999</v>
      </c>
      <c r="D233" s="92" t="s">
        <v>232</v>
      </c>
      <c r="E233" s="93" t="s">
        <v>231</v>
      </c>
      <c r="F233" s="94">
        <v>19.0</v>
      </c>
      <c r="G233" s="94">
        <v>9.5</v>
      </c>
      <c r="H233" s="95">
        <v>0.604</v>
      </c>
      <c r="I233" s="96">
        <v>9.0288</v>
      </c>
      <c r="J233" s="93" t="s">
        <v>31</v>
      </c>
      <c r="K233" s="97"/>
      <c r="L233" s="93" t="str">
        <f t="shared" si="1"/>
        <v/>
      </c>
      <c r="M233" s="98">
        <f t="shared" si="2"/>
        <v>0</v>
      </c>
      <c r="N233" s="77"/>
      <c r="O233" s="90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</row>
    <row r="234" ht="18.0" customHeight="1">
      <c r="A234" s="81"/>
      <c r="B234" s="91" t="str">
        <f>"22-00-25"</f>
        <v>22-00-25</v>
      </c>
      <c r="C234" s="91" t="str">
        <f>"693102200258"</f>
        <v>693102200258</v>
      </c>
      <c r="D234" s="92" t="s">
        <v>233</v>
      </c>
      <c r="E234" s="93" t="s">
        <v>231</v>
      </c>
      <c r="F234" s="94">
        <v>19.0</v>
      </c>
      <c r="G234" s="94">
        <v>9.5</v>
      </c>
      <c r="H234" s="95">
        <v>0.604</v>
      </c>
      <c r="I234" s="96">
        <v>9.0288</v>
      </c>
      <c r="J234" s="93" t="s">
        <v>31</v>
      </c>
      <c r="K234" s="97"/>
      <c r="L234" s="93" t="str">
        <f t="shared" si="1"/>
        <v/>
      </c>
      <c r="M234" s="98">
        <f t="shared" si="2"/>
        <v>0</v>
      </c>
      <c r="N234" s="77"/>
      <c r="O234" s="90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</row>
    <row r="235" ht="18.0" customHeight="1">
      <c r="A235" s="81"/>
      <c r="B235" s="91" t="str">
        <f>"22-00-13"</f>
        <v>22-00-13</v>
      </c>
      <c r="C235" s="91" t="str">
        <f>"693102200135"</f>
        <v>693102200135</v>
      </c>
      <c r="D235" s="92" t="s">
        <v>234</v>
      </c>
      <c r="E235" s="93" t="s">
        <v>231</v>
      </c>
      <c r="F235" s="94">
        <v>19.0</v>
      </c>
      <c r="G235" s="94">
        <v>9.5</v>
      </c>
      <c r="H235" s="95">
        <v>0.604</v>
      </c>
      <c r="I235" s="96">
        <v>9.0288</v>
      </c>
      <c r="J235" s="93" t="s">
        <v>31</v>
      </c>
      <c r="K235" s="97"/>
      <c r="L235" s="93" t="str">
        <f t="shared" si="1"/>
        <v/>
      </c>
      <c r="M235" s="98">
        <f t="shared" si="2"/>
        <v>0</v>
      </c>
      <c r="N235" s="77"/>
      <c r="O235" s="90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</row>
    <row r="236" ht="18.0" customHeight="1">
      <c r="A236" s="81"/>
      <c r="B236" s="91" t="str">
        <f>"22-00-88"</f>
        <v>22-00-88</v>
      </c>
      <c r="C236" s="91" t="str">
        <f>"693102200883"</f>
        <v>693102200883</v>
      </c>
      <c r="D236" s="92" t="s">
        <v>235</v>
      </c>
      <c r="E236" s="93" t="s">
        <v>231</v>
      </c>
      <c r="F236" s="94">
        <v>19.0</v>
      </c>
      <c r="G236" s="94">
        <v>9.5</v>
      </c>
      <c r="H236" s="95">
        <v>0.604</v>
      </c>
      <c r="I236" s="96">
        <v>9.0288</v>
      </c>
      <c r="J236" s="93" t="s">
        <v>31</v>
      </c>
      <c r="K236" s="97"/>
      <c r="L236" s="93" t="str">
        <f t="shared" si="1"/>
        <v/>
      </c>
      <c r="M236" s="98">
        <f t="shared" si="2"/>
        <v>0</v>
      </c>
      <c r="N236" s="77"/>
      <c r="O236" s="90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</row>
    <row r="237" ht="18.0" customHeight="1">
      <c r="A237" s="81"/>
      <c r="B237" s="91" t="str">
        <f>"22-00-22"</f>
        <v>22-00-22</v>
      </c>
      <c r="C237" s="91" t="str">
        <f>"693102200227"</f>
        <v>693102200227</v>
      </c>
      <c r="D237" s="92" t="s">
        <v>236</v>
      </c>
      <c r="E237" s="93" t="s">
        <v>231</v>
      </c>
      <c r="F237" s="94">
        <v>19.0</v>
      </c>
      <c r="G237" s="94">
        <v>9.5</v>
      </c>
      <c r="H237" s="95">
        <v>0.604</v>
      </c>
      <c r="I237" s="96">
        <v>9.0288</v>
      </c>
      <c r="J237" s="93" t="s">
        <v>31</v>
      </c>
      <c r="K237" s="97"/>
      <c r="L237" s="93" t="str">
        <f t="shared" si="1"/>
        <v/>
      </c>
      <c r="M237" s="98">
        <f t="shared" si="2"/>
        <v>0</v>
      </c>
      <c r="N237" s="77"/>
      <c r="O237" s="90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</row>
    <row r="238" ht="18.0" customHeight="1">
      <c r="A238" s="81"/>
      <c r="B238" s="91" t="str">
        <f>"22-00-24"</f>
        <v>22-00-24</v>
      </c>
      <c r="C238" s="91" t="str">
        <f>"693102200241"</f>
        <v>693102200241</v>
      </c>
      <c r="D238" s="92" t="s">
        <v>237</v>
      </c>
      <c r="E238" s="93" t="s">
        <v>231</v>
      </c>
      <c r="F238" s="94">
        <v>19.0</v>
      </c>
      <c r="G238" s="94">
        <v>9.5</v>
      </c>
      <c r="H238" s="95">
        <v>0.604</v>
      </c>
      <c r="I238" s="96">
        <v>9.0288</v>
      </c>
      <c r="J238" s="93" t="s">
        <v>31</v>
      </c>
      <c r="K238" s="97"/>
      <c r="L238" s="93" t="str">
        <f t="shared" si="1"/>
        <v/>
      </c>
      <c r="M238" s="98">
        <f t="shared" si="2"/>
        <v>0</v>
      </c>
      <c r="N238" s="77"/>
      <c r="O238" s="90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</row>
    <row r="239" ht="18.0" customHeight="1">
      <c r="A239" s="81"/>
      <c r="B239" s="91" t="str">
        <f>"22-00-00"</f>
        <v>22-00-00</v>
      </c>
      <c r="C239" s="91" t="str">
        <f>"693102200005"</f>
        <v>693102200005</v>
      </c>
      <c r="D239" s="92" t="s">
        <v>238</v>
      </c>
      <c r="E239" s="93" t="s">
        <v>231</v>
      </c>
      <c r="F239" s="94">
        <v>16.0</v>
      </c>
      <c r="G239" s="94">
        <v>8.0</v>
      </c>
      <c r="H239" s="95">
        <v>0.604</v>
      </c>
      <c r="I239" s="96">
        <v>7.6032</v>
      </c>
      <c r="J239" s="93" t="s">
        <v>31</v>
      </c>
      <c r="K239" s="97"/>
      <c r="L239" s="93" t="str">
        <f t="shared" si="1"/>
        <v/>
      </c>
      <c r="M239" s="98">
        <f t="shared" si="2"/>
        <v>0</v>
      </c>
      <c r="N239" s="77"/>
      <c r="O239" s="90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</row>
    <row r="240" ht="18.0" customHeight="1">
      <c r="A240" s="81"/>
      <c r="B240" s="91" t="str">
        <f>"22-00-04"</f>
        <v>22-00-04</v>
      </c>
      <c r="C240" s="91" t="str">
        <f>"693102200043"</f>
        <v>693102200043</v>
      </c>
      <c r="D240" s="92" t="s">
        <v>239</v>
      </c>
      <c r="E240" s="93" t="s">
        <v>231</v>
      </c>
      <c r="F240" s="94">
        <v>16.0</v>
      </c>
      <c r="G240" s="94">
        <v>8.0</v>
      </c>
      <c r="H240" s="95">
        <v>0.604</v>
      </c>
      <c r="I240" s="96">
        <v>7.6032</v>
      </c>
      <c r="J240" s="93" t="s">
        <v>31</v>
      </c>
      <c r="K240" s="97"/>
      <c r="L240" s="93" t="str">
        <f t="shared" si="1"/>
        <v/>
      </c>
      <c r="M240" s="98">
        <f t="shared" si="2"/>
        <v>0</v>
      </c>
      <c r="N240" s="77"/>
      <c r="O240" s="90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</row>
    <row r="241" ht="18.0" customHeight="1">
      <c r="A241" s="81"/>
      <c r="B241" s="91" t="str">
        <f>"22-00-11"</f>
        <v>22-00-11</v>
      </c>
      <c r="C241" s="91" t="str">
        <f>"693102200111"</f>
        <v>693102200111</v>
      </c>
      <c r="D241" s="92" t="s">
        <v>240</v>
      </c>
      <c r="E241" s="93" t="s">
        <v>231</v>
      </c>
      <c r="F241" s="94">
        <v>16.0</v>
      </c>
      <c r="G241" s="94">
        <v>8.0</v>
      </c>
      <c r="H241" s="95">
        <v>0.604</v>
      </c>
      <c r="I241" s="96">
        <v>7.6032</v>
      </c>
      <c r="J241" s="93" t="s">
        <v>31</v>
      </c>
      <c r="K241" s="97"/>
      <c r="L241" s="93" t="str">
        <f t="shared" si="1"/>
        <v/>
      </c>
      <c r="M241" s="98">
        <f t="shared" si="2"/>
        <v>0</v>
      </c>
      <c r="N241" s="77"/>
      <c r="O241" s="90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</row>
    <row r="242" ht="18.0" customHeight="1">
      <c r="A242" s="81"/>
      <c r="B242" s="91" t="str">
        <f>"22-00-09"</f>
        <v>22-00-09</v>
      </c>
      <c r="C242" s="91" t="str">
        <f>"693102200098"</f>
        <v>693102200098</v>
      </c>
      <c r="D242" s="92" t="s">
        <v>241</v>
      </c>
      <c r="E242" s="93" t="s">
        <v>231</v>
      </c>
      <c r="F242" s="94">
        <v>16.0</v>
      </c>
      <c r="G242" s="94">
        <v>8.0</v>
      </c>
      <c r="H242" s="95">
        <v>0.604</v>
      </c>
      <c r="I242" s="96">
        <v>7.6032</v>
      </c>
      <c r="J242" s="93" t="s">
        <v>31</v>
      </c>
      <c r="K242" s="97"/>
      <c r="L242" s="93" t="str">
        <f t="shared" si="1"/>
        <v/>
      </c>
      <c r="M242" s="98">
        <f t="shared" si="2"/>
        <v>0</v>
      </c>
      <c r="N242" s="77"/>
      <c r="O242" s="90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</row>
    <row r="243" ht="18.0" customHeight="1">
      <c r="A243" s="81"/>
      <c r="B243" s="91" t="str">
        <f>"22-00-01"</f>
        <v>22-00-01</v>
      </c>
      <c r="C243" s="91" t="str">
        <f>"693102200012"</f>
        <v>693102200012</v>
      </c>
      <c r="D243" s="92" t="s">
        <v>242</v>
      </c>
      <c r="E243" s="93" t="s">
        <v>231</v>
      </c>
      <c r="F243" s="94">
        <v>16.0</v>
      </c>
      <c r="G243" s="94">
        <v>8.0</v>
      </c>
      <c r="H243" s="95">
        <v>0.604</v>
      </c>
      <c r="I243" s="96">
        <v>7.6032</v>
      </c>
      <c r="J243" s="93" t="s">
        <v>31</v>
      </c>
      <c r="K243" s="97"/>
      <c r="L243" s="93" t="str">
        <f t="shared" si="1"/>
        <v/>
      </c>
      <c r="M243" s="98">
        <f t="shared" si="2"/>
        <v>0</v>
      </c>
      <c r="N243" s="77"/>
      <c r="O243" s="90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</row>
    <row r="244" ht="18.0" customHeight="1">
      <c r="A244" s="81"/>
      <c r="B244" s="91" t="str">
        <f>"22-00-12"</f>
        <v>22-00-12</v>
      </c>
      <c r="C244" s="91" t="str">
        <f>"693102220126"</f>
        <v>693102220126</v>
      </c>
      <c r="D244" s="92" t="s">
        <v>243</v>
      </c>
      <c r="E244" s="93" t="s">
        <v>231</v>
      </c>
      <c r="F244" s="94">
        <v>16.0</v>
      </c>
      <c r="G244" s="94">
        <v>8.0</v>
      </c>
      <c r="H244" s="95">
        <v>0.604</v>
      </c>
      <c r="I244" s="96">
        <v>7.6032</v>
      </c>
      <c r="J244" s="93" t="s">
        <v>31</v>
      </c>
      <c r="K244" s="97"/>
      <c r="L244" s="93" t="str">
        <f t="shared" si="1"/>
        <v/>
      </c>
      <c r="M244" s="98">
        <f t="shared" si="2"/>
        <v>0</v>
      </c>
      <c r="N244" s="77"/>
      <c r="O244" s="90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</row>
    <row r="245" ht="18.0" customHeight="1">
      <c r="A245" s="81"/>
      <c r="B245" s="91" t="str">
        <f>"22-00-15"</f>
        <v>22-00-15</v>
      </c>
      <c r="C245" s="91" t="str">
        <f>"693102200159"</f>
        <v>693102200159</v>
      </c>
      <c r="D245" s="92" t="s">
        <v>244</v>
      </c>
      <c r="E245" s="93" t="s">
        <v>245</v>
      </c>
      <c r="F245" s="94">
        <v>16.0</v>
      </c>
      <c r="G245" s="94">
        <v>8.0</v>
      </c>
      <c r="H245" s="95">
        <v>0.604</v>
      </c>
      <c r="I245" s="96">
        <v>7.6032</v>
      </c>
      <c r="J245" s="93" t="s">
        <v>31</v>
      </c>
      <c r="K245" s="97"/>
      <c r="L245" s="93" t="str">
        <f t="shared" si="1"/>
        <v/>
      </c>
      <c r="M245" s="98">
        <f t="shared" si="2"/>
        <v>0</v>
      </c>
      <c r="N245" s="77"/>
      <c r="O245" s="90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</row>
    <row r="246" ht="18.0" customHeight="1">
      <c r="A246" s="81"/>
      <c r="B246" s="91" t="str">
        <f>"22-00-16"</f>
        <v>22-00-16</v>
      </c>
      <c r="C246" s="91" t="str">
        <f>"693102200166"</f>
        <v>693102200166</v>
      </c>
      <c r="D246" s="92" t="s">
        <v>246</v>
      </c>
      <c r="E246" s="93" t="s">
        <v>245</v>
      </c>
      <c r="F246" s="94">
        <v>16.0</v>
      </c>
      <c r="G246" s="94">
        <v>8.0</v>
      </c>
      <c r="H246" s="95">
        <v>0.604</v>
      </c>
      <c r="I246" s="96">
        <v>7.6032</v>
      </c>
      <c r="J246" s="93" t="s">
        <v>31</v>
      </c>
      <c r="K246" s="97"/>
      <c r="L246" s="93" t="str">
        <f t="shared" si="1"/>
        <v/>
      </c>
      <c r="M246" s="98">
        <f t="shared" si="2"/>
        <v>0</v>
      </c>
      <c r="N246" s="77"/>
      <c r="O246" s="90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</row>
    <row r="247" ht="18.0" customHeight="1">
      <c r="A247" s="81"/>
      <c r="B247" s="91" t="str">
        <f>"20010"</f>
        <v>20010</v>
      </c>
      <c r="C247" s="91" t="str">
        <f>"693102200104"</f>
        <v>693102200104</v>
      </c>
      <c r="D247" s="92" t="s">
        <v>247</v>
      </c>
      <c r="E247" s="93" t="s">
        <v>248</v>
      </c>
      <c r="F247" s="94">
        <v>29.0</v>
      </c>
      <c r="G247" s="94">
        <v>14.5</v>
      </c>
      <c r="H247" s="95">
        <v>0.604</v>
      </c>
      <c r="I247" s="96">
        <v>13.7808</v>
      </c>
      <c r="J247" s="93" t="s">
        <v>31</v>
      </c>
      <c r="K247" s="97"/>
      <c r="L247" s="93" t="str">
        <f t="shared" si="1"/>
        <v/>
      </c>
      <c r="M247" s="98">
        <f t="shared" si="2"/>
        <v>0</v>
      </c>
      <c r="N247" s="77"/>
      <c r="O247" s="90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</row>
    <row r="248" ht="18.0" customHeight="1">
      <c r="A248" s="81"/>
      <c r="B248" s="91" t="str">
        <f>"22010"</f>
        <v>22010</v>
      </c>
      <c r="C248" s="91" t="str">
        <f>"693102220102"</f>
        <v>693102220102</v>
      </c>
      <c r="D248" s="92" t="s">
        <v>249</v>
      </c>
      <c r="E248" s="93" t="s">
        <v>248</v>
      </c>
      <c r="F248" s="94">
        <v>29.0</v>
      </c>
      <c r="G248" s="94">
        <v>14.5</v>
      </c>
      <c r="H248" s="95">
        <v>0.604</v>
      </c>
      <c r="I248" s="96">
        <v>13.7808</v>
      </c>
      <c r="J248" s="93" t="s">
        <v>31</v>
      </c>
      <c r="K248" s="97"/>
      <c r="L248" s="93" t="str">
        <f t="shared" si="1"/>
        <v/>
      </c>
      <c r="M248" s="98">
        <f t="shared" si="2"/>
        <v>0</v>
      </c>
      <c r="N248" s="77"/>
      <c r="O248" s="90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</row>
    <row r="249" ht="18.0" customHeight="1">
      <c r="A249" s="81"/>
      <c r="B249" s="91" t="str">
        <f>"20006"</f>
        <v>20006</v>
      </c>
      <c r="C249" s="91" t="str">
        <f>"693102200067"</f>
        <v>693102200067</v>
      </c>
      <c r="D249" s="92" t="s">
        <v>250</v>
      </c>
      <c r="E249" s="93" t="s">
        <v>248</v>
      </c>
      <c r="F249" s="94">
        <v>29.0</v>
      </c>
      <c r="G249" s="94">
        <v>14.5</v>
      </c>
      <c r="H249" s="95">
        <v>0.604</v>
      </c>
      <c r="I249" s="96">
        <v>13.7808</v>
      </c>
      <c r="J249" s="93" t="s">
        <v>31</v>
      </c>
      <c r="K249" s="97"/>
      <c r="L249" s="93" t="str">
        <f t="shared" si="1"/>
        <v/>
      </c>
      <c r="M249" s="98">
        <f t="shared" si="2"/>
        <v>0</v>
      </c>
      <c r="N249" s="77"/>
      <c r="O249" s="90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</row>
    <row r="250" ht="18.0" customHeight="1">
      <c r="A250" s="81"/>
      <c r="B250" s="91" t="str">
        <f>"23-00-01"</f>
        <v>23-00-01</v>
      </c>
      <c r="C250" s="91" t="str">
        <f>"693102300019"</f>
        <v>693102300019</v>
      </c>
      <c r="D250" s="92" t="s">
        <v>251</v>
      </c>
      <c r="E250" s="93" t="s">
        <v>252</v>
      </c>
      <c r="F250" s="94">
        <v>16.0</v>
      </c>
      <c r="G250" s="94">
        <v>8.0</v>
      </c>
      <c r="H250" s="95">
        <v>0.604</v>
      </c>
      <c r="I250" s="96">
        <v>7.6032</v>
      </c>
      <c r="J250" s="93" t="s">
        <v>31</v>
      </c>
      <c r="K250" s="97"/>
      <c r="L250" s="93" t="str">
        <f t="shared" si="1"/>
        <v/>
      </c>
      <c r="M250" s="98">
        <f t="shared" si="2"/>
        <v>0</v>
      </c>
      <c r="N250" s="77"/>
      <c r="O250" s="90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</row>
    <row r="251" ht="18.0" customHeight="1">
      <c r="A251" s="81"/>
      <c r="B251" s="91" t="str">
        <f>"23-00-02"</f>
        <v>23-00-02</v>
      </c>
      <c r="C251" s="91" t="str">
        <f>"693102300026"</f>
        <v>693102300026</v>
      </c>
      <c r="D251" s="92" t="s">
        <v>253</v>
      </c>
      <c r="E251" s="93" t="s">
        <v>252</v>
      </c>
      <c r="F251" s="94">
        <v>16.0</v>
      </c>
      <c r="G251" s="94">
        <v>8.0</v>
      </c>
      <c r="H251" s="95">
        <v>0.604</v>
      </c>
      <c r="I251" s="96">
        <v>7.6032</v>
      </c>
      <c r="J251" s="93" t="s">
        <v>31</v>
      </c>
      <c r="K251" s="97"/>
      <c r="L251" s="93" t="str">
        <f t="shared" si="1"/>
        <v/>
      </c>
      <c r="M251" s="98">
        <f t="shared" si="2"/>
        <v>0</v>
      </c>
      <c r="N251" s="77"/>
      <c r="O251" s="90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</row>
    <row r="252" ht="18.0" customHeight="1">
      <c r="A252" s="81"/>
      <c r="B252" s="91" t="str">
        <f>"23-00-03"</f>
        <v>23-00-03</v>
      </c>
      <c r="C252" s="91" t="str">
        <f>"693102300033"</f>
        <v>693102300033</v>
      </c>
      <c r="D252" s="92" t="s">
        <v>254</v>
      </c>
      <c r="E252" s="93" t="s">
        <v>252</v>
      </c>
      <c r="F252" s="94">
        <v>16.0</v>
      </c>
      <c r="G252" s="94">
        <v>8.0</v>
      </c>
      <c r="H252" s="95">
        <v>0.604</v>
      </c>
      <c r="I252" s="96">
        <v>7.6032</v>
      </c>
      <c r="J252" s="93" t="s">
        <v>31</v>
      </c>
      <c r="K252" s="97"/>
      <c r="L252" s="93" t="str">
        <f t="shared" si="1"/>
        <v/>
      </c>
      <c r="M252" s="98">
        <f t="shared" si="2"/>
        <v>0</v>
      </c>
      <c r="N252" s="77"/>
      <c r="O252" s="90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</row>
    <row r="253" ht="18.0" customHeight="1">
      <c r="A253" s="81"/>
      <c r="B253" s="91" t="str">
        <f>"23-00-04"</f>
        <v>23-00-04</v>
      </c>
      <c r="C253" s="91" t="str">
        <f>"693102300040"</f>
        <v>693102300040</v>
      </c>
      <c r="D253" s="92" t="s">
        <v>255</v>
      </c>
      <c r="E253" s="93" t="s">
        <v>252</v>
      </c>
      <c r="F253" s="94">
        <v>16.0</v>
      </c>
      <c r="G253" s="94">
        <v>8.0</v>
      </c>
      <c r="H253" s="95">
        <v>0.604</v>
      </c>
      <c r="I253" s="96">
        <v>7.6032</v>
      </c>
      <c r="J253" s="93" t="s">
        <v>31</v>
      </c>
      <c r="K253" s="97"/>
      <c r="L253" s="93" t="str">
        <f t="shared" si="1"/>
        <v/>
      </c>
      <c r="M253" s="98">
        <f t="shared" si="2"/>
        <v>0</v>
      </c>
      <c r="N253" s="77"/>
      <c r="O253" s="90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</row>
    <row r="254" ht="18.0" customHeight="1">
      <c r="A254" s="81"/>
      <c r="B254" s="91" t="str">
        <f>"90201"</f>
        <v>90201</v>
      </c>
      <c r="C254" s="91" t="str">
        <f>"693102902015"</f>
        <v>693102902015</v>
      </c>
      <c r="D254" s="92" t="s">
        <v>256</v>
      </c>
      <c r="E254" s="93" t="s">
        <v>119</v>
      </c>
      <c r="F254" s="94">
        <v>22.0</v>
      </c>
      <c r="G254" s="94">
        <v>11.0</v>
      </c>
      <c r="H254" s="95">
        <v>0.604</v>
      </c>
      <c r="I254" s="96">
        <v>10.4544</v>
      </c>
      <c r="J254" s="93" t="s">
        <v>31</v>
      </c>
      <c r="K254" s="97"/>
      <c r="L254" s="93" t="str">
        <f t="shared" si="1"/>
        <v/>
      </c>
      <c r="M254" s="98">
        <f t="shared" si="2"/>
        <v>0</v>
      </c>
      <c r="N254" s="77"/>
      <c r="O254" s="90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</row>
    <row r="255" ht="18.0" customHeight="1">
      <c r="A255" s="81"/>
      <c r="B255" s="91" t="str">
        <f>"90202"</f>
        <v>90202</v>
      </c>
      <c r="C255" s="91" t="str">
        <f>"693102902022"</f>
        <v>693102902022</v>
      </c>
      <c r="D255" s="92" t="s">
        <v>257</v>
      </c>
      <c r="E255" s="93" t="s">
        <v>119</v>
      </c>
      <c r="F255" s="94">
        <v>22.0</v>
      </c>
      <c r="G255" s="94">
        <v>11.0</v>
      </c>
      <c r="H255" s="95">
        <v>0.604</v>
      </c>
      <c r="I255" s="96">
        <v>10.4544</v>
      </c>
      <c r="J255" s="93" t="s">
        <v>31</v>
      </c>
      <c r="K255" s="97"/>
      <c r="L255" s="93" t="str">
        <f t="shared" si="1"/>
        <v/>
      </c>
      <c r="M255" s="98">
        <f t="shared" si="2"/>
        <v>0</v>
      </c>
      <c r="N255" s="77"/>
      <c r="O255" s="90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</row>
    <row r="256" ht="18.0" customHeight="1">
      <c r="A256" s="81"/>
      <c r="B256" s="91" t="str">
        <f>"90203"</f>
        <v>90203</v>
      </c>
      <c r="C256" s="91" t="str">
        <f>"693102902039"</f>
        <v>693102902039</v>
      </c>
      <c r="D256" s="92" t="s">
        <v>258</v>
      </c>
      <c r="E256" s="93" t="s">
        <v>119</v>
      </c>
      <c r="F256" s="94">
        <v>22.0</v>
      </c>
      <c r="G256" s="94">
        <v>11.0</v>
      </c>
      <c r="H256" s="95">
        <v>0.604</v>
      </c>
      <c r="I256" s="96">
        <v>10.4544</v>
      </c>
      <c r="J256" s="93" t="s">
        <v>31</v>
      </c>
      <c r="K256" s="97"/>
      <c r="L256" s="93" t="str">
        <f t="shared" si="1"/>
        <v/>
      </c>
      <c r="M256" s="98">
        <f t="shared" si="2"/>
        <v>0</v>
      </c>
      <c r="N256" s="77"/>
      <c r="O256" s="90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</row>
    <row r="257" ht="18.0" customHeight="1">
      <c r="A257" s="81"/>
      <c r="B257" s="91" t="str">
        <f>"90204"</f>
        <v>90204</v>
      </c>
      <c r="C257" s="91" t="str">
        <f>"693102902046"</f>
        <v>693102902046</v>
      </c>
      <c r="D257" s="92" t="s">
        <v>259</v>
      </c>
      <c r="E257" s="93" t="s">
        <v>119</v>
      </c>
      <c r="F257" s="94">
        <v>22.0</v>
      </c>
      <c r="G257" s="94">
        <v>11.0</v>
      </c>
      <c r="H257" s="95">
        <v>0.604</v>
      </c>
      <c r="I257" s="96">
        <v>10.4544</v>
      </c>
      <c r="J257" s="93" t="s">
        <v>31</v>
      </c>
      <c r="K257" s="97"/>
      <c r="L257" s="93" t="str">
        <f t="shared" si="1"/>
        <v/>
      </c>
      <c r="M257" s="98">
        <f t="shared" si="2"/>
        <v>0</v>
      </c>
      <c r="N257" s="77"/>
      <c r="O257" s="90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</row>
    <row r="258" ht="18.0" customHeight="1">
      <c r="A258" s="81"/>
      <c r="B258" s="91" t="str">
        <f>"90205"</f>
        <v>90205</v>
      </c>
      <c r="C258" s="91" t="str">
        <f>"693102902053"</f>
        <v>693102902053</v>
      </c>
      <c r="D258" s="92" t="s">
        <v>260</v>
      </c>
      <c r="E258" s="93" t="s">
        <v>119</v>
      </c>
      <c r="F258" s="94">
        <v>22.0</v>
      </c>
      <c r="G258" s="94">
        <v>11.0</v>
      </c>
      <c r="H258" s="95">
        <v>0.604</v>
      </c>
      <c r="I258" s="96">
        <v>10.4544</v>
      </c>
      <c r="J258" s="93" t="s">
        <v>31</v>
      </c>
      <c r="K258" s="97"/>
      <c r="L258" s="93" t="str">
        <f t="shared" si="1"/>
        <v/>
      </c>
      <c r="M258" s="98">
        <f t="shared" si="2"/>
        <v>0</v>
      </c>
      <c r="N258" s="77"/>
      <c r="O258" s="90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</row>
    <row r="259" ht="18.0" customHeight="1">
      <c r="A259" s="81"/>
      <c r="B259" s="91" t="str">
        <f>"90206"</f>
        <v>90206</v>
      </c>
      <c r="C259" s="91" t="str">
        <f>"693102902060"</f>
        <v>693102902060</v>
      </c>
      <c r="D259" s="92" t="s">
        <v>261</v>
      </c>
      <c r="E259" s="93" t="s">
        <v>119</v>
      </c>
      <c r="F259" s="94">
        <v>22.0</v>
      </c>
      <c r="G259" s="94">
        <v>11.0</v>
      </c>
      <c r="H259" s="95">
        <v>0.604</v>
      </c>
      <c r="I259" s="96">
        <v>10.4544</v>
      </c>
      <c r="J259" s="93" t="s">
        <v>31</v>
      </c>
      <c r="K259" s="97"/>
      <c r="L259" s="93" t="str">
        <f t="shared" si="1"/>
        <v/>
      </c>
      <c r="M259" s="98">
        <f t="shared" si="2"/>
        <v>0</v>
      </c>
      <c r="N259" s="77"/>
      <c r="O259" s="90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</row>
    <row r="260" ht="18.0" customHeight="1">
      <c r="A260" s="81"/>
      <c r="B260" s="91" t="str">
        <f>"90207"</f>
        <v>90207</v>
      </c>
      <c r="C260" s="91" t="str">
        <f>"693102902077"</f>
        <v>693102902077</v>
      </c>
      <c r="D260" s="92" t="s">
        <v>262</v>
      </c>
      <c r="E260" s="93" t="s">
        <v>119</v>
      </c>
      <c r="F260" s="94">
        <v>22.0</v>
      </c>
      <c r="G260" s="94">
        <v>11.0</v>
      </c>
      <c r="H260" s="95">
        <v>0.604</v>
      </c>
      <c r="I260" s="96">
        <v>10.4544</v>
      </c>
      <c r="J260" s="93" t="s">
        <v>31</v>
      </c>
      <c r="K260" s="97"/>
      <c r="L260" s="93" t="str">
        <f t="shared" si="1"/>
        <v/>
      </c>
      <c r="M260" s="98">
        <f t="shared" si="2"/>
        <v>0</v>
      </c>
      <c r="N260" s="77"/>
      <c r="O260" s="90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</row>
    <row r="261" ht="18.0" customHeight="1">
      <c r="A261" s="81"/>
      <c r="B261" s="91" t="str">
        <f>"90208"</f>
        <v>90208</v>
      </c>
      <c r="C261" s="91" t="str">
        <f>"693102902084"</f>
        <v>693102902084</v>
      </c>
      <c r="D261" s="92" t="s">
        <v>263</v>
      </c>
      <c r="E261" s="93" t="s">
        <v>119</v>
      </c>
      <c r="F261" s="94">
        <v>22.0</v>
      </c>
      <c r="G261" s="94">
        <v>11.0</v>
      </c>
      <c r="H261" s="95">
        <v>0.604</v>
      </c>
      <c r="I261" s="96">
        <v>10.4544</v>
      </c>
      <c r="J261" s="93" t="s">
        <v>31</v>
      </c>
      <c r="K261" s="97"/>
      <c r="L261" s="93" t="str">
        <f t="shared" si="1"/>
        <v/>
      </c>
      <c r="M261" s="98">
        <f t="shared" si="2"/>
        <v>0</v>
      </c>
      <c r="N261" s="77"/>
      <c r="O261" s="90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</row>
    <row r="262" ht="18.0" customHeight="1">
      <c r="A262" s="81"/>
      <c r="B262" s="91" t="str">
        <f>"90209"</f>
        <v>90209</v>
      </c>
      <c r="C262" s="91" t="str">
        <f>"693102902091"</f>
        <v>693102902091</v>
      </c>
      <c r="D262" s="92" t="s">
        <v>264</v>
      </c>
      <c r="E262" s="93" t="s">
        <v>119</v>
      </c>
      <c r="F262" s="94">
        <v>22.0</v>
      </c>
      <c r="G262" s="94">
        <v>11.0</v>
      </c>
      <c r="H262" s="95">
        <v>0.604</v>
      </c>
      <c r="I262" s="96">
        <v>10.4544</v>
      </c>
      <c r="J262" s="93" t="s">
        <v>31</v>
      </c>
      <c r="K262" s="97"/>
      <c r="L262" s="93" t="str">
        <f t="shared" si="1"/>
        <v/>
      </c>
      <c r="M262" s="98">
        <f t="shared" si="2"/>
        <v>0</v>
      </c>
      <c r="N262" s="77"/>
      <c r="O262" s="90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</row>
    <row r="263" ht="18.0" customHeight="1">
      <c r="A263" s="81"/>
      <c r="B263" s="91" t="str">
        <f>"90210"</f>
        <v>90210</v>
      </c>
      <c r="C263" s="91" t="str">
        <f>"693102902107"</f>
        <v>693102902107</v>
      </c>
      <c r="D263" s="92" t="s">
        <v>265</v>
      </c>
      <c r="E263" s="93" t="s">
        <v>119</v>
      </c>
      <c r="F263" s="94">
        <v>22.0</v>
      </c>
      <c r="G263" s="94">
        <v>11.0</v>
      </c>
      <c r="H263" s="95">
        <v>0.604</v>
      </c>
      <c r="I263" s="96">
        <v>10.4544</v>
      </c>
      <c r="J263" s="93" t="s">
        <v>31</v>
      </c>
      <c r="K263" s="97"/>
      <c r="L263" s="93" t="str">
        <f t="shared" si="1"/>
        <v/>
      </c>
      <c r="M263" s="98">
        <f t="shared" si="2"/>
        <v>0</v>
      </c>
      <c r="N263" s="77"/>
      <c r="O263" s="90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</row>
    <row r="264" ht="18.0" customHeight="1">
      <c r="A264" s="81"/>
      <c r="B264" s="91" t="str">
        <f>"90211"</f>
        <v>90211</v>
      </c>
      <c r="C264" s="91" t="str">
        <f>"693102902114"</f>
        <v>693102902114</v>
      </c>
      <c r="D264" s="92" t="s">
        <v>266</v>
      </c>
      <c r="E264" s="93" t="s">
        <v>119</v>
      </c>
      <c r="F264" s="94">
        <v>22.0</v>
      </c>
      <c r="G264" s="94">
        <v>11.0</v>
      </c>
      <c r="H264" s="95">
        <v>0.604</v>
      </c>
      <c r="I264" s="96">
        <v>10.4544</v>
      </c>
      <c r="J264" s="93" t="s">
        <v>31</v>
      </c>
      <c r="K264" s="97"/>
      <c r="L264" s="93" t="str">
        <f t="shared" si="1"/>
        <v/>
      </c>
      <c r="M264" s="98">
        <f t="shared" si="2"/>
        <v>0</v>
      </c>
      <c r="N264" s="77"/>
      <c r="O264" s="90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</row>
    <row r="265" ht="18.0" customHeight="1">
      <c r="A265" s="81"/>
      <c r="B265" s="91" t="str">
        <f>"90212"</f>
        <v>90212</v>
      </c>
      <c r="C265" s="91" t="str">
        <f>"693102902121"</f>
        <v>693102902121</v>
      </c>
      <c r="D265" s="92" t="s">
        <v>267</v>
      </c>
      <c r="E265" s="93" t="s">
        <v>119</v>
      </c>
      <c r="F265" s="94">
        <v>22.0</v>
      </c>
      <c r="G265" s="94">
        <v>11.0</v>
      </c>
      <c r="H265" s="95">
        <v>0.604</v>
      </c>
      <c r="I265" s="96">
        <v>10.4544</v>
      </c>
      <c r="J265" s="93" t="s">
        <v>31</v>
      </c>
      <c r="K265" s="97"/>
      <c r="L265" s="93" t="str">
        <f t="shared" si="1"/>
        <v/>
      </c>
      <c r="M265" s="98">
        <f t="shared" si="2"/>
        <v>0</v>
      </c>
      <c r="N265" s="77"/>
      <c r="O265" s="90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</row>
    <row r="266" ht="18.0" customHeight="1">
      <c r="A266" s="81"/>
      <c r="B266" s="91" t="str">
        <f>"90213"</f>
        <v>90213</v>
      </c>
      <c r="C266" s="91" t="str">
        <f>"693102902138"</f>
        <v>693102902138</v>
      </c>
      <c r="D266" s="92" t="s">
        <v>268</v>
      </c>
      <c r="E266" s="93" t="s">
        <v>119</v>
      </c>
      <c r="F266" s="94">
        <v>22.0</v>
      </c>
      <c r="G266" s="94">
        <v>11.0</v>
      </c>
      <c r="H266" s="95">
        <v>0.604</v>
      </c>
      <c r="I266" s="96">
        <v>10.4544</v>
      </c>
      <c r="J266" s="93" t="s">
        <v>31</v>
      </c>
      <c r="K266" s="97"/>
      <c r="L266" s="93" t="str">
        <f t="shared" si="1"/>
        <v/>
      </c>
      <c r="M266" s="98">
        <f t="shared" si="2"/>
        <v>0</v>
      </c>
      <c r="N266" s="77"/>
      <c r="O266" s="90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</row>
    <row r="267" ht="18.0" customHeight="1">
      <c r="A267" s="81"/>
      <c r="B267" s="91" t="str">
        <f>"90214"</f>
        <v>90214</v>
      </c>
      <c r="C267" s="91" t="str">
        <f>"693102902145"</f>
        <v>693102902145</v>
      </c>
      <c r="D267" s="92" t="s">
        <v>269</v>
      </c>
      <c r="E267" s="93" t="s">
        <v>119</v>
      </c>
      <c r="F267" s="94">
        <v>22.0</v>
      </c>
      <c r="G267" s="94">
        <v>11.0</v>
      </c>
      <c r="H267" s="95">
        <v>0.604</v>
      </c>
      <c r="I267" s="96">
        <v>10.4544</v>
      </c>
      <c r="J267" s="93" t="s">
        <v>31</v>
      </c>
      <c r="K267" s="97"/>
      <c r="L267" s="93" t="str">
        <f t="shared" si="1"/>
        <v/>
      </c>
      <c r="M267" s="98">
        <f t="shared" si="2"/>
        <v>0</v>
      </c>
      <c r="N267" s="77"/>
      <c r="O267" s="90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</row>
    <row r="268" ht="18.0" customHeight="1">
      <c r="A268" s="81"/>
      <c r="B268" s="91" t="str">
        <f>"90093"</f>
        <v>90093</v>
      </c>
      <c r="C268" s="91" t="str">
        <f>"693102900936"</f>
        <v>693102900936</v>
      </c>
      <c r="D268" s="92" t="s">
        <v>270</v>
      </c>
      <c r="E268" s="93" t="s">
        <v>271</v>
      </c>
      <c r="F268" s="94">
        <v>40.0</v>
      </c>
      <c r="G268" s="94">
        <v>20.0</v>
      </c>
      <c r="H268" s="95">
        <v>0.604</v>
      </c>
      <c r="I268" s="96">
        <v>19.008</v>
      </c>
      <c r="J268" s="93" t="s">
        <v>31</v>
      </c>
      <c r="K268" s="97"/>
      <c r="L268" s="93" t="str">
        <f t="shared" si="1"/>
        <v/>
      </c>
      <c r="M268" s="98">
        <f t="shared" si="2"/>
        <v>0</v>
      </c>
      <c r="N268" s="77"/>
      <c r="O268" s="90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</row>
    <row r="269" ht="18.0" customHeight="1">
      <c r="A269" s="81"/>
      <c r="B269" s="91" t="str">
        <f>"90094"</f>
        <v>90094</v>
      </c>
      <c r="C269" s="91" t="str">
        <f>"693102900943"</f>
        <v>693102900943</v>
      </c>
      <c r="D269" s="92" t="s">
        <v>272</v>
      </c>
      <c r="E269" s="93" t="s">
        <v>271</v>
      </c>
      <c r="F269" s="94">
        <v>40.0</v>
      </c>
      <c r="G269" s="94">
        <v>20.0</v>
      </c>
      <c r="H269" s="95">
        <v>0.604</v>
      </c>
      <c r="I269" s="96">
        <v>19.008</v>
      </c>
      <c r="J269" s="93" t="s">
        <v>31</v>
      </c>
      <c r="K269" s="97"/>
      <c r="L269" s="93" t="str">
        <f t="shared" si="1"/>
        <v/>
      </c>
      <c r="M269" s="98">
        <f t="shared" si="2"/>
        <v>0</v>
      </c>
      <c r="N269" s="77"/>
      <c r="O269" s="90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</row>
    <row r="270" ht="18.0" customHeight="1">
      <c r="A270" s="81"/>
      <c r="B270" s="91" t="str">
        <f>"90089"</f>
        <v>90089</v>
      </c>
      <c r="C270" s="91" t="str">
        <f>"693102900899"</f>
        <v>693102900899</v>
      </c>
      <c r="D270" s="92" t="s">
        <v>273</v>
      </c>
      <c r="E270" s="93" t="s">
        <v>271</v>
      </c>
      <c r="F270" s="94">
        <v>40.0</v>
      </c>
      <c r="G270" s="94">
        <v>20.0</v>
      </c>
      <c r="H270" s="95">
        <v>0.604</v>
      </c>
      <c r="I270" s="96">
        <v>19.008</v>
      </c>
      <c r="J270" s="93" t="s">
        <v>31</v>
      </c>
      <c r="K270" s="97"/>
      <c r="L270" s="93" t="str">
        <f t="shared" si="1"/>
        <v/>
      </c>
      <c r="M270" s="98">
        <f t="shared" si="2"/>
        <v>0</v>
      </c>
      <c r="N270" s="77"/>
      <c r="O270" s="90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</row>
    <row r="271" ht="18.0" customHeight="1">
      <c r="A271" s="81"/>
      <c r="B271" s="91" t="str">
        <f>"90095"</f>
        <v>90095</v>
      </c>
      <c r="C271" s="91" t="str">
        <f>"693102900950"</f>
        <v>693102900950</v>
      </c>
      <c r="D271" s="92" t="s">
        <v>274</v>
      </c>
      <c r="E271" s="93" t="s">
        <v>271</v>
      </c>
      <c r="F271" s="94">
        <v>40.0</v>
      </c>
      <c r="G271" s="94">
        <v>20.0</v>
      </c>
      <c r="H271" s="95">
        <v>0.604</v>
      </c>
      <c r="I271" s="96">
        <v>19.008</v>
      </c>
      <c r="J271" s="93" t="s">
        <v>31</v>
      </c>
      <c r="K271" s="97"/>
      <c r="L271" s="93" t="str">
        <f t="shared" si="1"/>
        <v/>
      </c>
      <c r="M271" s="98">
        <f t="shared" si="2"/>
        <v>0</v>
      </c>
      <c r="N271" s="77"/>
      <c r="O271" s="90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</row>
    <row r="272" ht="18.0" customHeight="1">
      <c r="A272" s="81"/>
      <c r="B272" s="91" t="str">
        <f>"29-00-66"</f>
        <v>29-00-66</v>
      </c>
      <c r="C272" s="91" t="str">
        <f>"693102900660"</f>
        <v>693102900660</v>
      </c>
      <c r="D272" s="92" t="s">
        <v>275</v>
      </c>
      <c r="E272" s="93" t="s">
        <v>82</v>
      </c>
      <c r="F272" s="94">
        <v>40.0</v>
      </c>
      <c r="G272" s="94">
        <v>20.0</v>
      </c>
      <c r="H272" s="95">
        <v>0.604</v>
      </c>
      <c r="I272" s="96">
        <v>19.008</v>
      </c>
      <c r="J272" s="93" t="s">
        <v>31</v>
      </c>
      <c r="K272" s="97"/>
      <c r="L272" s="93" t="str">
        <f t="shared" si="1"/>
        <v/>
      </c>
      <c r="M272" s="98">
        <f t="shared" si="2"/>
        <v>0</v>
      </c>
      <c r="N272" s="77"/>
      <c r="O272" s="90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</row>
    <row r="273" ht="18.0" customHeight="1">
      <c r="A273" s="81"/>
      <c r="B273" s="91" t="str">
        <f>"29-00-67"</f>
        <v>29-00-67</v>
      </c>
      <c r="C273" s="91" t="str">
        <f>"693102900677"</f>
        <v>693102900677</v>
      </c>
      <c r="D273" s="92" t="s">
        <v>276</v>
      </c>
      <c r="E273" s="93" t="s">
        <v>82</v>
      </c>
      <c r="F273" s="94">
        <v>40.0</v>
      </c>
      <c r="G273" s="94">
        <v>20.0</v>
      </c>
      <c r="H273" s="95">
        <v>0.604</v>
      </c>
      <c r="I273" s="96">
        <v>19.008</v>
      </c>
      <c r="J273" s="93" t="s">
        <v>31</v>
      </c>
      <c r="K273" s="97"/>
      <c r="L273" s="93" t="str">
        <f t="shared" si="1"/>
        <v/>
      </c>
      <c r="M273" s="98">
        <f t="shared" si="2"/>
        <v>0</v>
      </c>
      <c r="N273" s="77"/>
      <c r="O273" s="90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</row>
    <row r="274" ht="18.0" customHeight="1">
      <c r="A274" s="81"/>
      <c r="B274" s="91" t="str">
        <f>"29-00-69"</f>
        <v>29-00-69</v>
      </c>
      <c r="C274" s="91" t="str">
        <f>"693102900691"</f>
        <v>693102900691</v>
      </c>
      <c r="D274" s="92" t="s">
        <v>277</v>
      </c>
      <c r="E274" s="93" t="s">
        <v>82</v>
      </c>
      <c r="F274" s="94">
        <v>40.0</v>
      </c>
      <c r="G274" s="94">
        <v>20.0</v>
      </c>
      <c r="H274" s="95">
        <v>0.604</v>
      </c>
      <c r="I274" s="96">
        <v>19.008</v>
      </c>
      <c r="J274" s="93" t="s">
        <v>31</v>
      </c>
      <c r="K274" s="97"/>
      <c r="L274" s="93" t="str">
        <f t="shared" si="1"/>
        <v/>
      </c>
      <c r="M274" s="98">
        <f t="shared" si="2"/>
        <v>0</v>
      </c>
      <c r="N274" s="77"/>
      <c r="O274" s="90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</row>
    <row r="275" ht="18.0" customHeight="1">
      <c r="A275" s="81"/>
      <c r="B275" s="91" t="str">
        <f>"29-00-70"</f>
        <v>29-00-70</v>
      </c>
      <c r="C275" s="91" t="str">
        <f>"693102900707"</f>
        <v>693102900707</v>
      </c>
      <c r="D275" s="92" t="s">
        <v>278</v>
      </c>
      <c r="E275" s="93" t="s">
        <v>82</v>
      </c>
      <c r="F275" s="94">
        <v>40.0</v>
      </c>
      <c r="G275" s="94">
        <v>20.0</v>
      </c>
      <c r="H275" s="95">
        <v>0.604</v>
      </c>
      <c r="I275" s="96">
        <v>19.008</v>
      </c>
      <c r="J275" s="93" t="s">
        <v>31</v>
      </c>
      <c r="K275" s="97"/>
      <c r="L275" s="93" t="str">
        <f t="shared" si="1"/>
        <v/>
      </c>
      <c r="M275" s="98">
        <f t="shared" si="2"/>
        <v>0</v>
      </c>
      <c r="N275" s="77"/>
      <c r="O275" s="90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</row>
    <row r="276" ht="18.0" customHeight="1">
      <c r="A276" s="81"/>
      <c r="B276" s="91" t="str">
        <f>"90082"</f>
        <v>90082</v>
      </c>
      <c r="C276" s="91" t="str">
        <f>"693102900820"</f>
        <v>693102900820</v>
      </c>
      <c r="D276" s="92" t="s">
        <v>279</v>
      </c>
      <c r="E276" s="93" t="s">
        <v>82</v>
      </c>
      <c r="F276" s="94">
        <v>40.0</v>
      </c>
      <c r="G276" s="94">
        <v>20.0</v>
      </c>
      <c r="H276" s="95">
        <v>0.604</v>
      </c>
      <c r="I276" s="96">
        <v>19.008</v>
      </c>
      <c r="J276" s="93" t="s">
        <v>31</v>
      </c>
      <c r="K276" s="97"/>
      <c r="L276" s="93" t="str">
        <f t="shared" si="1"/>
        <v/>
      </c>
      <c r="M276" s="98">
        <f t="shared" si="2"/>
        <v>0</v>
      </c>
      <c r="N276" s="77"/>
      <c r="O276" s="90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</row>
    <row r="277" ht="18.0" customHeight="1">
      <c r="A277" s="81"/>
      <c r="B277" s="91" t="str">
        <f>"29-00-71"</f>
        <v>29-00-71</v>
      </c>
      <c r="C277" s="91" t="str">
        <f>"693102900714"</f>
        <v>693102900714</v>
      </c>
      <c r="D277" s="92" t="s">
        <v>280</v>
      </c>
      <c r="E277" s="93" t="s">
        <v>82</v>
      </c>
      <c r="F277" s="94">
        <v>40.0</v>
      </c>
      <c r="G277" s="94">
        <v>20.0</v>
      </c>
      <c r="H277" s="95">
        <v>0.604</v>
      </c>
      <c r="I277" s="96">
        <v>19.008</v>
      </c>
      <c r="J277" s="93" t="s">
        <v>31</v>
      </c>
      <c r="K277" s="97"/>
      <c r="L277" s="93" t="str">
        <f t="shared" si="1"/>
        <v/>
      </c>
      <c r="M277" s="98">
        <f t="shared" si="2"/>
        <v>0</v>
      </c>
      <c r="N277" s="77"/>
      <c r="O277" s="90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</row>
    <row r="278" ht="18.0" customHeight="1">
      <c r="A278" s="81"/>
      <c r="B278" s="91" t="str">
        <f>"29-00-72"</f>
        <v>29-00-72</v>
      </c>
      <c r="C278" s="91" t="str">
        <f>"693102900721"</f>
        <v>693102900721</v>
      </c>
      <c r="D278" s="92" t="s">
        <v>281</v>
      </c>
      <c r="E278" s="93" t="s">
        <v>82</v>
      </c>
      <c r="F278" s="94">
        <v>40.0</v>
      </c>
      <c r="G278" s="94">
        <v>20.0</v>
      </c>
      <c r="H278" s="95">
        <v>0.604</v>
      </c>
      <c r="I278" s="96">
        <v>19.008</v>
      </c>
      <c r="J278" s="93" t="s">
        <v>31</v>
      </c>
      <c r="K278" s="97"/>
      <c r="L278" s="93" t="str">
        <f t="shared" si="1"/>
        <v/>
      </c>
      <c r="M278" s="98">
        <f t="shared" si="2"/>
        <v>0</v>
      </c>
      <c r="N278" s="77"/>
      <c r="O278" s="90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</row>
    <row r="279" ht="18.0" customHeight="1">
      <c r="A279" s="81"/>
      <c r="B279" s="91" t="str">
        <f>"90081"</f>
        <v>90081</v>
      </c>
      <c r="C279" s="91" t="str">
        <f>"693102900813"</f>
        <v>693102900813</v>
      </c>
      <c r="D279" s="92" t="s">
        <v>282</v>
      </c>
      <c r="E279" s="93" t="s">
        <v>82</v>
      </c>
      <c r="F279" s="94">
        <v>40.0</v>
      </c>
      <c r="G279" s="94">
        <v>20.0</v>
      </c>
      <c r="H279" s="95">
        <v>0.604</v>
      </c>
      <c r="I279" s="96">
        <v>19.008</v>
      </c>
      <c r="J279" s="93" t="s">
        <v>31</v>
      </c>
      <c r="K279" s="97"/>
      <c r="L279" s="93" t="str">
        <f t="shared" si="1"/>
        <v/>
      </c>
      <c r="M279" s="98">
        <f t="shared" si="2"/>
        <v>0</v>
      </c>
      <c r="N279" s="77"/>
      <c r="O279" s="90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</row>
    <row r="280" ht="18.0" customHeight="1">
      <c r="A280" s="81"/>
      <c r="B280" s="91" t="str">
        <f>"29-00-86"</f>
        <v>29-00-86</v>
      </c>
      <c r="C280" s="91" t="str">
        <f>"693102900868"</f>
        <v>693102900868</v>
      </c>
      <c r="D280" s="92" t="s">
        <v>283</v>
      </c>
      <c r="E280" s="93" t="s">
        <v>82</v>
      </c>
      <c r="F280" s="94">
        <v>40.0</v>
      </c>
      <c r="G280" s="94">
        <v>20.0</v>
      </c>
      <c r="H280" s="95">
        <v>0.604</v>
      </c>
      <c r="I280" s="96">
        <v>19.008</v>
      </c>
      <c r="J280" s="93" t="s">
        <v>31</v>
      </c>
      <c r="K280" s="97"/>
      <c r="L280" s="93" t="str">
        <f t="shared" si="1"/>
        <v/>
      </c>
      <c r="M280" s="98">
        <f t="shared" si="2"/>
        <v>0</v>
      </c>
      <c r="N280" s="77"/>
      <c r="O280" s="90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</row>
    <row r="281" ht="18.0" customHeight="1">
      <c r="A281" s="81"/>
      <c r="B281" s="91" t="str">
        <f>"90083"</f>
        <v>90083</v>
      </c>
      <c r="C281" s="91" t="str">
        <f>"693102900837"</f>
        <v>693102900837</v>
      </c>
      <c r="D281" s="92" t="s">
        <v>284</v>
      </c>
      <c r="E281" s="93" t="s">
        <v>82</v>
      </c>
      <c r="F281" s="94">
        <v>40.0</v>
      </c>
      <c r="G281" s="94">
        <v>20.0</v>
      </c>
      <c r="H281" s="95">
        <v>0.604</v>
      </c>
      <c r="I281" s="96">
        <v>19.008</v>
      </c>
      <c r="J281" s="93" t="s">
        <v>31</v>
      </c>
      <c r="K281" s="97"/>
      <c r="L281" s="93" t="str">
        <f t="shared" si="1"/>
        <v/>
      </c>
      <c r="M281" s="98">
        <f t="shared" si="2"/>
        <v>0</v>
      </c>
      <c r="N281" s="77"/>
      <c r="O281" s="90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</row>
    <row r="282" ht="18.0" customHeight="1">
      <c r="A282" s="81"/>
      <c r="B282" s="91" t="str">
        <f>"29-00-73"</f>
        <v>29-00-73</v>
      </c>
      <c r="C282" s="91" t="str">
        <f>"693102900738"</f>
        <v>693102900738</v>
      </c>
      <c r="D282" s="92" t="s">
        <v>285</v>
      </c>
      <c r="E282" s="93" t="s">
        <v>82</v>
      </c>
      <c r="F282" s="94">
        <v>40.0</v>
      </c>
      <c r="G282" s="94">
        <v>20.0</v>
      </c>
      <c r="H282" s="95">
        <v>0.604</v>
      </c>
      <c r="I282" s="96">
        <v>19.008</v>
      </c>
      <c r="J282" s="93" t="s">
        <v>31</v>
      </c>
      <c r="K282" s="97"/>
      <c r="L282" s="93" t="str">
        <f t="shared" si="1"/>
        <v/>
      </c>
      <c r="M282" s="98">
        <f t="shared" si="2"/>
        <v>0</v>
      </c>
      <c r="N282" s="77"/>
      <c r="O282" s="90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</row>
    <row r="283" ht="18.0" customHeight="1">
      <c r="A283" s="81"/>
      <c r="B283" s="91" t="str">
        <f>"29-00-74"</f>
        <v>29-00-74</v>
      </c>
      <c r="C283" s="91" t="str">
        <f>"693102900745"</f>
        <v>693102900745</v>
      </c>
      <c r="D283" s="92" t="s">
        <v>286</v>
      </c>
      <c r="E283" s="93" t="s">
        <v>82</v>
      </c>
      <c r="F283" s="94">
        <v>40.0</v>
      </c>
      <c r="G283" s="94">
        <v>20.0</v>
      </c>
      <c r="H283" s="95">
        <v>0.604</v>
      </c>
      <c r="I283" s="96">
        <v>19.008</v>
      </c>
      <c r="J283" s="93" t="s">
        <v>31</v>
      </c>
      <c r="K283" s="97"/>
      <c r="L283" s="93" t="str">
        <f t="shared" si="1"/>
        <v/>
      </c>
      <c r="M283" s="98">
        <f t="shared" si="2"/>
        <v>0</v>
      </c>
      <c r="N283" s="77"/>
      <c r="O283" s="90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</row>
    <row r="284" ht="18.0" customHeight="1">
      <c r="A284" s="81"/>
      <c r="B284" s="91" t="str">
        <f>"29-00-77"</f>
        <v>29-00-77</v>
      </c>
      <c r="C284" s="91" t="str">
        <f>"693102900776"</f>
        <v>693102900776</v>
      </c>
      <c r="D284" s="92" t="s">
        <v>287</v>
      </c>
      <c r="E284" s="93" t="s">
        <v>82</v>
      </c>
      <c r="F284" s="94">
        <v>40.0</v>
      </c>
      <c r="G284" s="94">
        <v>20.0</v>
      </c>
      <c r="H284" s="95">
        <v>0.604</v>
      </c>
      <c r="I284" s="96">
        <v>19.008</v>
      </c>
      <c r="J284" s="93" t="s">
        <v>31</v>
      </c>
      <c r="K284" s="97"/>
      <c r="L284" s="93" t="str">
        <f t="shared" si="1"/>
        <v/>
      </c>
      <c r="M284" s="98">
        <f t="shared" si="2"/>
        <v>0</v>
      </c>
      <c r="N284" s="77"/>
      <c r="O284" s="90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</row>
    <row r="285" ht="18.0" customHeight="1">
      <c r="A285" s="81"/>
      <c r="B285" s="91" t="str">
        <f>"90084"</f>
        <v>90084</v>
      </c>
      <c r="C285" s="91" t="str">
        <f>"693102900844"</f>
        <v>693102900844</v>
      </c>
      <c r="D285" s="92" t="s">
        <v>288</v>
      </c>
      <c r="E285" s="93" t="s">
        <v>82</v>
      </c>
      <c r="F285" s="94">
        <v>40.0</v>
      </c>
      <c r="G285" s="94">
        <v>20.0</v>
      </c>
      <c r="H285" s="95">
        <v>0.604</v>
      </c>
      <c r="I285" s="96">
        <v>19.008</v>
      </c>
      <c r="J285" s="93" t="s">
        <v>31</v>
      </c>
      <c r="K285" s="97"/>
      <c r="L285" s="93" t="str">
        <f t="shared" si="1"/>
        <v/>
      </c>
      <c r="M285" s="98">
        <f t="shared" si="2"/>
        <v>0</v>
      </c>
      <c r="N285" s="77"/>
      <c r="O285" s="90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</row>
    <row r="286" ht="18.0" customHeight="1">
      <c r="A286" s="81"/>
      <c r="B286" s="91" t="str">
        <f>"90088"</f>
        <v>90088</v>
      </c>
      <c r="C286" s="91" t="str">
        <f>"693102900882"</f>
        <v>693102900882</v>
      </c>
      <c r="D286" s="92" t="s">
        <v>289</v>
      </c>
      <c r="E286" s="93" t="s">
        <v>82</v>
      </c>
      <c r="F286" s="94">
        <v>40.0</v>
      </c>
      <c r="G286" s="94">
        <v>20.0</v>
      </c>
      <c r="H286" s="95">
        <v>0.604</v>
      </c>
      <c r="I286" s="96">
        <v>19.008</v>
      </c>
      <c r="J286" s="93" t="s">
        <v>31</v>
      </c>
      <c r="K286" s="97"/>
      <c r="L286" s="93" t="str">
        <f t="shared" si="1"/>
        <v/>
      </c>
      <c r="M286" s="98">
        <f t="shared" si="2"/>
        <v>0</v>
      </c>
      <c r="N286" s="77"/>
      <c r="O286" s="90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</row>
    <row r="287" ht="18.0" customHeight="1">
      <c r="A287" s="81"/>
      <c r="B287" s="91" t="str">
        <f>"90087"</f>
        <v>90087</v>
      </c>
      <c r="C287" s="91" t="str">
        <f>"693102900875"</f>
        <v>693102900875</v>
      </c>
      <c r="D287" s="92" t="s">
        <v>290</v>
      </c>
      <c r="E287" s="93" t="s">
        <v>82</v>
      </c>
      <c r="F287" s="94">
        <v>40.0</v>
      </c>
      <c r="G287" s="94">
        <v>20.0</v>
      </c>
      <c r="H287" s="95">
        <v>0.604</v>
      </c>
      <c r="I287" s="96">
        <v>19.008</v>
      </c>
      <c r="J287" s="93" t="s">
        <v>31</v>
      </c>
      <c r="K287" s="97"/>
      <c r="L287" s="93" t="str">
        <f t="shared" si="1"/>
        <v/>
      </c>
      <c r="M287" s="98">
        <f t="shared" si="2"/>
        <v>0</v>
      </c>
      <c r="N287" s="77"/>
      <c r="O287" s="90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</row>
    <row r="288" ht="18.0" customHeight="1">
      <c r="A288" s="81"/>
      <c r="B288" s="91" t="str">
        <f>"29-00-75"</f>
        <v>29-00-75</v>
      </c>
      <c r="C288" s="91" t="str">
        <f>"693102900752"</f>
        <v>693102900752</v>
      </c>
      <c r="D288" s="92" t="s">
        <v>291</v>
      </c>
      <c r="E288" s="93" t="s">
        <v>82</v>
      </c>
      <c r="F288" s="94">
        <v>40.0</v>
      </c>
      <c r="G288" s="94">
        <v>20.0</v>
      </c>
      <c r="H288" s="95">
        <v>0.604</v>
      </c>
      <c r="I288" s="96">
        <v>19.008</v>
      </c>
      <c r="J288" s="93" t="s">
        <v>31</v>
      </c>
      <c r="K288" s="97"/>
      <c r="L288" s="93" t="str">
        <f t="shared" si="1"/>
        <v/>
      </c>
      <c r="M288" s="98">
        <f t="shared" si="2"/>
        <v>0</v>
      </c>
      <c r="N288" s="77"/>
      <c r="O288" s="90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</row>
    <row r="289" ht="18.0" customHeight="1">
      <c r="A289" s="81"/>
      <c r="B289" s="91" t="str">
        <f>"90090"</f>
        <v>90090</v>
      </c>
      <c r="C289" s="91" t="str">
        <f>"693102900905"</f>
        <v>693102900905</v>
      </c>
      <c r="D289" s="92" t="s">
        <v>292</v>
      </c>
      <c r="E289" s="93" t="s">
        <v>271</v>
      </c>
      <c r="F289" s="94">
        <v>40.0</v>
      </c>
      <c r="G289" s="94">
        <v>20.0</v>
      </c>
      <c r="H289" s="95">
        <v>0.604</v>
      </c>
      <c r="I289" s="96">
        <v>19.008</v>
      </c>
      <c r="J289" s="93" t="s">
        <v>31</v>
      </c>
      <c r="K289" s="97"/>
      <c r="L289" s="93" t="str">
        <f t="shared" si="1"/>
        <v/>
      </c>
      <c r="M289" s="98">
        <f t="shared" si="2"/>
        <v>0</v>
      </c>
      <c r="N289" s="77"/>
      <c r="O289" s="90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</row>
    <row r="290" ht="18.0" customHeight="1">
      <c r="A290" s="81"/>
      <c r="B290" s="91" t="str">
        <f>"29-00-78"</f>
        <v>29-00-78</v>
      </c>
      <c r="C290" s="91" t="str">
        <f>"693102900783"</f>
        <v>693102900783</v>
      </c>
      <c r="D290" s="92" t="s">
        <v>293</v>
      </c>
      <c r="E290" s="93" t="s">
        <v>82</v>
      </c>
      <c r="F290" s="94">
        <v>40.0</v>
      </c>
      <c r="G290" s="94">
        <v>20.0</v>
      </c>
      <c r="H290" s="95">
        <v>0.604</v>
      </c>
      <c r="I290" s="96">
        <v>19.008</v>
      </c>
      <c r="J290" s="93" t="s">
        <v>31</v>
      </c>
      <c r="K290" s="97"/>
      <c r="L290" s="93" t="str">
        <f t="shared" si="1"/>
        <v/>
      </c>
      <c r="M290" s="98">
        <f t="shared" si="2"/>
        <v>0</v>
      </c>
      <c r="N290" s="77"/>
      <c r="O290" s="90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</row>
    <row r="291" ht="18.0" customHeight="1">
      <c r="A291" s="81"/>
      <c r="B291" s="91" t="str">
        <f>"90092"</f>
        <v>90092</v>
      </c>
      <c r="C291" s="91" t="str">
        <f>"693102900929"</f>
        <v>693102900929</v>
      </c>
      <c r="D291" s="92" t="s">
        <v>294</v>
      </c>
      <c r="E291" s="93" t="s">
        <v>271</v>
      </c>
      <c r="F291" s="94">
        <v>40.0</v>
      </c>
      <c r="G291" s="94">
        <v>20.0</v>
      </c>
      <c r="H291" s="95">
        <v>0.604</v>
      </c>
      <c r="I291" s="96">
        <v>19.008</v>
      </c>
      <c r="J291" s="93" t="s">
        <v>31</v>
      </c>
      <c r="K291" s="97"/>
      <c r="L291" s="93" t="str">
        <f t="shared" si="1"/>
        <v/>
      </c>
      <c r="M291" s="98">
        <f t="shared" si="2"/>
        <v>0</v>
      </c>
      <c r="N291" s="77"/>
      <c r="O291" s="90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</row>
    <row r="292" ht="18.0" customHeight="1">
      <c r="A292" s="81"/>
      <c r="B292" s="91" t="str">
        <f>"29-00-85"</f>
        <v>29-00-85</v>
      </c>
      <c r="C292" s="91" t="str">
        <f>"693102900851"</f>
        <v>693102900851</v>
      </c>
      <c r="D292" s="92" t="s">
        <v>295</v>
      </c>
      <c r="E292" s="93" t="s">
        <v>82</v>
      </c>
      <c r="F292" s="94">
        <v>40.0</v>
      </c>
      <c r="G292" s="94">
        <v>20.0</v>
      </c>
      <c r="H292" s="95">
        <v>0.604</v>
      </c>
      <c r="I292" s="96">
        <v>19.008</v>
      </c>
      <c r="J292" s="93" t="s">
        <v>31</v>
      </c>
      <c r="K292" s="97"/>
      <c r="L292" s="93" t="str">
        <f t="shared" si="1"/>
        <v/>
      </c>
      <c r="M292" s="98">
        <f t="shared" si="2"/>
        <v>0</v>
      </c>
      <c r="N292" s="77"/>
      <c r="O292" s="90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</row>
    <row r="293" ht="18.0" customHeight="1">
      <c r="A293" s="81"/>
      <c r="B293" s="91" t="str">
        <f>"29-00-79"</f>
        <v>29-00-79</v>
      </c>
      <c r="C293" s="91" t="str">
        <f>"693102900790"</f>
        <v>693102900790</v>
      </c>
      <c r="D293" s="92" t="s">
        <v>296</v>
      </c>
      <c r="E293" s="93" t="s">
        <v>82</v>
      </c>
      <c r="F293" s="94">
        <v>40.0</v>
      </c>
      <c r="G293" s="94">
        <v>20.0</v>
      </c>
      <c r="H293" s="95">
        <v>0.604</v>
      </c>
      <c r="I293" s="96">
        <v>19.008</v>
      </c>
      <c r="J293" s="93" t="s">
        <v>31</v>
      </c>
      <c r="K293" s="97"/>
      <c r="L293" s="93" t="str">
        <f t="shared" si="1"/>
        <v/>
      </c>
      <c r="M293" s="98">
        <f t="shared" si="2"/>
        <v>0</v>
      </c>
      <c r="N293" s="77"/>
      <c r="O293" s="90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</row>
    <row r="294" ht="18.0" customHeight="1">
      <c r="A294" s="81"/>
      <c r="B294" s="91" t="str">
        <f>"90096"</f>
        <v>90096</v>
      </c>
      <c r="C294" s="91" t="str">
        <f>"693102900967"</f>
        <v>693102900967</v>
      </c>
      <c r="D294" s="92" t="s">
        <v>297</v>
      </c>
      <c r="E294" s="93" t="s">
        <v>271</v>
      </c>
      <c r="F294" s="94">
        <v>40.0</v>
      </c>
      <c r="G294" s="94">
        <v>20.0</v>
      </c>
      <c r="H294" s="95">
        <v>0.604</v>
      </c>
      <c r="I294" s="96">
        <v>19.008</v>
      </c>
      <c r="J294" s="93" t="s">
        <v>31</v>
      </c>
      <c r="K294" s="97"/>
      <c r="L294" s="93" t="str">
        <f t="shared" si="1"/>
        <v/>
      </c>
      <c r="M294" s="98">
        <f t="shared" si="2"/>
        <v>0</v>
      </c>
      <c r="N294" s="77"/>
      <c r="O294" s="90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</row>
    <row r="295" ht="18.0" customHeight="1">
      <c r="A295" s="81"/>
      <c r="B295" s="91" t="str">
        <f>"29-00-80"</f>
        <v>29-00-80</v>
      </c>
      <c r="C295" s="91" t="str">
        <f>"693102900806"</f>
        <v>693102900806</v>
      </c>
      <c r="D295" s="92" t="s">
        <v>298</v>
      </c>
      <c r="E295" s="93" t="s">
        <v>82</v>
      </c>
      <c r="F295" s="94">
        <v>40.0</v>
      </c>
      <c r="G295" s="94">
        <v>20.0</v>
      </c>
      <c r="H295" s="95">
        <v>0.604</v>
      </c>
      <c r="I295" s="96">
        <v>19.008</v>
      </c>
      <c r="J295" s="93" t="s">
        <v>31</v>
      </c>
      <c r="K295" s="97"/>
      <c r="L295" s="93" t="str">
        <f t="shared" si="1"/>
        <v/>
      </c>
      <c r="M295" s="98">
        <f t="shared" si="2"/>
        <v>0</v>
      </c>
      <c r="N295" s="77"/>
      <c r="O295" s="90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</row>
    <row r="296" ht="18.0" customHeight="1">
      <c r="A296" s="81"/>
      <c r="B296" s="91" t="str">
        <f>"90091"</f>
        <v>90091</v>
      </c>
      <c r="C296" s="91" t="str">
        <f>"693102900912"</f>
        <v>693102900912</v>
      </c>
      <c r="D296" s="92" t="s">
        <v>299</v>
      </c>
      <c r="E296" s="93" t="s">
        <v>271</v>
      </c>
      <c r="F296" s="94">
        <v>40.0</v>
      </c>
      <c r="G296" s="94">
        <v>20.0</v>
      </c>
      <c r="H296" s="95">
        <v>0.604</v>
      </c>
      <c r="I296" s="96">
        <v>19.008</v>
      </c>
      <c r="J296" s="93" t="s">
        <v>31</v>
      </c>
      <c r="K296" s="97"/>
      <c r="L296" s="93" t="str">
        <f t="shared" si="1"/>
        <v/>
      </c>
      <c r="M296" s="98">
        <f t="shared" si="2"/>
        <v>0</v>
      </c>
      <c r="N296" s="77"/>
      <c r="O296" s="90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</row>
    <row r="297" ht="18.0" customHeight="1">
      <c r="A297" s="81"/>
      <c r="B297" s="91" t="str">
        <f>"90097"</f>
        <v>90097</v>
      </c>
      <c r="C297" s="91" t="str">
        <f>"693102900974"</f>
        <v>693102900974</v>
      </c>
      <c r="D297" s="92" t="s">
        <v>300</v>
      </c>
      <c r="E297" s="93" t="s">
        <v>271</v>
      </c>
      <c r="F297" s="94">
        <v>40.0</v>
      </c>
      <c r="G297" s="94">
        <v>20.0</v>
      </c>
      <c r="H297" s="95">
        <v>0.604</v>
      </c>
      <c r="I297" s="96">
        <v>19.008</v>
      </c>
      <c r="J297" s="93" t="s">
        <v>31</v>
      </c>
      <c r="K297" s="97"/>
      <c r="L297" s="93" t="str">
        <f t="shared" si="1"/>
        <v/>
      </c>
      <c r="M297" s="98">
        <f t="shared" si="2"/>
        <v>0</v>
      </c>
      <c r="N297" s="77"/>
      <c r="O297" s="90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</row>
    <row r="298" ht="18.0" customHeight="1">
      <c r="A298" s="81"/>
      <c r="B298" s="91" t="str">
        <f>"40009"</f>
        <v>40009</v>
      </c>
      <c r="C298" s="91" t="str">
        <f>"693102400092"</f>
        <v>693102400092</v>
      </c>
      <c r="D298" s="92" t="s">
        <v>301</v>
      </c>
      <c r="E298" s="93" t="s">
        <v>82</v>
      </c>
      <c r="F298" s="94">
        <v>25.0</v>
      </c>
      <c r="G298" s="94">
        <v>12.5</v>
      </c>
      <c r="H298" s="95">
        <v>0.604</v>
      </c>
      <c r="I298" s="96">
        <v>11.88</v>
      </c>
      <c r="J298" s="93" t="s">
        <v>31</v>
      </c>
      <c r="K298" s="97"/>
      <c r="L298" s="93" t="str">
        <f t="shared" si="1"/>
        <v/>
      </c>
      <c r="M298" s="98">
        <f t="shared" si="2"/>
        <v>0</v>
      </c>
      <c r="N298" s="77"/>
      <c r="O298" s="90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</row>
    <row r="299" ht="18.0" customHeight="1">
      <c r="A299" s="81"/>
      <c r="B299" s="91" t="str">
        <f>"40008"</f>
        <v>40008</v>
      </c>
      <c r="C299" s="91" t="str">
        <f>"693102400085"</f>
        <v>693102400085</v>
      </c>
      <c r="D299" s="92" t="s">
        <v>302</v>
      </c>
      <c r="E299" s="93" t="s">
        <v>82</v>
      </c>
      <c r="F299" s="94">
        <v>20.0</v>
      </c>
      <c r="G299" s="94">
        <v>10.0</v>
      </c>
      <c r="H299" s="95">
        <v>0.604</v>
      </c>
      <c r="I299" s="96">
        <v>9.504</v>
      </c>
      <c r="J299" s="93" t="s">
        <v>31</v>
      </c>
      <c r="K299" s="97"/>
      <c r="L299" s="93" t="str">
        <f t="shared" si="1"/>
        <v/>
      </c>
      <c r="M299" s="98">
        <f t="shared" si="2"/>
        <v>0</v>
      </c>
      <c r="N299" s="77"/>
      <c r="O299" s="90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</row>
    <row r="300" ht="18.0" customHeight="1">
      <c r="A300" s="81"/>
      <c r="B300" s="91" t="str">
        <f>"40010"</f>
        <v>40010</v>
      </c>
      <c r="C300" s="91" t="str">
        <f>"693102400108"</f>
        <v>693102400108</v>
      </c>
      <c r="D300" s="92" t="s">
        <v>303</v>
      </c>
      <c r="E300" s="93" t="s">
        <v>304</v>
      </c>
      <c r="F300" s="94">
        <v>20.0</v>
      </c>
      <c r="G300" s="94">
        <v>10.0</v>
      </c>
      <c r="H300" s="95">
        <v>0.604</v>
      </c>
      <c r="I300" s="96">
        <v>9.504</v>
      </c>
      <c r="J300" s="93" t="s">
        <v>31</v>
      </c>
      <c r="K300" s="97"/>
      <c r="L300" s="93" t="str">
        <f t="shared" si="1"/>
        <v/>
      </c>
      <c r="M300" s="98">
        <f t="shared" si="2"/>
        <v>0</v>
      </c>
      <c r="N300" s="77"/>
      <c r="O300" s="90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</row>
    <row r="301" ht="18.0" customHeight="1">
      <c r="A301" s="81"/>
      <c r="B301" s="91" t="str">
        <f>"35096"</f>
        <v>35096</v>
      </c>
      <c r="C301" s="91" t="str">
        <f>"693102350960"</f>
        <v>693102350960</v>
      </c>
      <c r="D301" s="92" t="s">
        <v>305</v>
      </c>
      <c r="E301" s="93" t="s">
        <v>95</v>
      </c>
      <c r="F301" s="94">
        <v>29.0</v>
      </c>
      <c r="G301" s="94">
        <v>14.5</v>
      </c>
      <c r="H301" s="95">
        <v>0.604</v>
      </c>
      <c r="I301" s="96">
        <v>13.7808</v>
      </c>
      <c r="J301" s="93" t="s">
        <v>31</v>
      </c>
      <c r="K301" s="97"/>
      <c r="L301" s="93" t="str">
        <f t="shared" si="1"/>
        <v/>
      </c>
      <c r="M301" s="98">
        <f t="shared" si="2"/>
        <v>0</v>
      </c>
      <c r="N301" s="77"/>
      <c r="O301" s="90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</row>
    <row r="302" ht="18.0" customHeight="1">
      <c r="A302" s="81"/>
      <c r="B302" s="91" t="str">
        <f>"40012"</f>
        <v>40012</v>
      </c>
      <c r="C302" s="91" t="str">
        <f>"693102400122"</f>
        <v>693102400122</v>
      </c>
      <c r="D302" s="92" t="s">
        <v>306</v>
      </c>
      <c r="E302" s="93" t="s">
        <v>82</v>
      </c>
      <c r="F302" s="94">
        <v>20.0</v>
      </c>
      <c r="G302" s="94">
        <v>10.0</v>
      </c>
      <c r="H302" s="95">
        <v>0.604</v>
      </c>
      <c r="I302" s="96">
        <v>9.504</v>
      </c>
      <c r="J302" s="93" t="s">
        <v>31</v>
      </c>
      <c r="K302" s="97"/>
      <c r="L302" s="93" t="str">
        <f t="shared" si="1"/>
        <v/>
      </c>
      <c r="M302" s="98">
        <f t="shared" si="2"/>
        <v>0</v>
      </c>
      <c r="N302" s="77"/>
      <c r="O302" s="90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</row>
    <row r="303" ht="18.0" customHeight="1">
      <c r="A303" s="81"/>
      <c r="B303" s="91" t="str">
        <f>"40011"</f>
        <v>40011</v>
      </c>
      <c r="C303" s="91" t="str">
        <f>"693102400115"</f>
        <v>693102400115</v>
      </c>
      <c r="D303" s="92" t="s">
        <v>307</v>
      </c>
      <c r="E303" s="93" t="s">
        <v>82</v>
      </c>
      <c r="F303" s="94">
        <v>20.0</v>
      </c>
      <c r="G303" s="94">
        <v>10.0</v>
      </c>
      <c r="H303" s="95">
        <v>0.604</v>
      </c>
      <c r="I303" s="96">
        <v>9.504</v>
      </c>
      <c r="J303" s="93" t="s">
        <v>31</v>
      </c>
      <c r="K303" s="97"/>
      <c r="L303" s="93" t="str">
        <f t="shared" si="1"/>
        <v/>
      </c>
      <c r="M303" s="98">
        <f t="shared" si="2"/>
        <v>0</v>
      </c>
      <c r="N303" s="77"/>
      <c r="O303" s="90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</row>
    <row r="304" ht="18.0" customHeight="1">
      <c r="A304" s="81"/>
      <c r="B304" s="91" t="str">
        <f>"10604"</f>
        <v>10604</v>
      </c>
      <c r="C304" s="91" t="str">
        <f>"693102106048"</f>
        <v>693102106048</v>
      </c>
      <c r="D304" s="92" t="s">
        <v>308</v>
      </c>
      <c r="E304" s="93" t="s">
        <v>82</v>
      </c>
      <c r="F304" s="94">
        <v>20.0</v>
      </c>
      <c r="G304" s="94">
        <v>10.0</v>
      </c>
      <c r="H304" s="95">
        <v>0.604</v>
      </c>
      <c r="I304" s="96">
        <v>9.504</v>
      </c>
      <c r="J304" s="93" t="s">
        <v>31</v>
      </c>
      <c r="K304" s="97"/>
      <c r="L304" s="93" t="str">
        <f t="shared" si="1"/>
        <v/>
      </c>
      <c r="M304" s="98">
        <f t="shared" si="2"/>
        <v>0</v>
      </c>
      <c r="N304" s="77"/>
      <c r="O304" s="90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</row>
    <row r="305" ht="18.0" customHeight="1">
      <c r="A305" s="81"/>
      <c r="B305" s="91" t="str">
        <f>"40007"</f>
        <v>40007</v>
      </c>
      <c r="C305" s="91" t="str">
        <f>"693102400078"</f>
        <v>693102400078</v>
      </c>
      <c r="D305" s="92" t="s">
        <v>309</v>
      </c>
      <c r="E305" s="93" t="s">
        <v>82</v>
      </c>
      <c r="F305" s="94">
        <v>20.0</v>
      </c>
      <c r="G305" s="94">
        <v>10.0</v>
      </c>
      <c r="H305" s="95">
        <v>0.604</v>
      </c>
      <c r="I305" s="96">
        <v>9.504</v>
      </c>
      <c r="J305" s="93" t="s">
        <v>31</v>
      </c>
      <c r="K305" s="97"/>
      <c r="L305" s="93" t="str">
        <f t="shared" si="1"/>
        <v/>
      </c>
      <c r="M305" s="98">
        <f t="shared" si="2"/>
        <v>0</v>
      </c>
      <c r="N305" s="77"/>
      <c r="O305" s="90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</row>
    <row r="306" ht="18.0" customHeight="1">
      <c r="A306" s="81"/>
      <c r="B306" s="91" t="str">
        <f>"4132"</f>
        <v>4132</v>
      </c>
      <c r="C306" s="91" t="str">
        <f>"693102041325"</f>
        <v>693102041325</v>
      </c>
      <c r="D306" s="92" t="s">
        <v>310</v>
      </c>
      <c r="E306" s="93" t="s">
        <v>311</v>
      </c>
      <c r="F306" s="94">
        <v>20.0</v>
      </c>
      <c r="G306" s="94">
        <v>10.0</v>
      </c>
      <c r="H306" s="95">
        <v>0.604</v>
      </c>
      <c r="I306" s="96">
        <v>9.504</v>
      </c>
      <c r="J306" s="93" t="s">
        <v>31</v>
      </c>
      <c r="K306" s="97"/>
      <c r="L306" s="93" t="str">
        <f t="shared" si="1"/>
        <v/>
      </c>
      <c r="M306" s="98">
        <f t="shared" si="2"/>
        <v>0</v>
      </c>
      <c r="N306" s="77"/>
      <c r="O306" s="90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</row>
    <row r="307" ht="18.0" customHeight="1">
      <c r="A307" s="81"/>
      <c r="B307" s="91" t="str">
        <f>"40016"</f>
        <v>40016</v>
      </c>
      <c r="C307" s="91" t="str">
        <f>"693102400160"</f>
        <v>693102400160</v>
      </c>
      <c r="D307" s="92" t="s">
        <v>312</v>
      </c>
      <c r="E307" s="93" t="s">
        <v>311</v>
      </c>
      <c r="F307" s="94">
        <v>20.0</v>
      </c>
      <c r="G307" s="94">
        <v>10.0</v>
      </c>
      <c r="H307" s="95">
        <v>0.604</v>
      </c>
      <c r="I307" s="96">
        <v>9.504</v>
      </c>
      <c r="J307" s="93" t="s">
        <v>31</v>
      </c>
      <c r="K307" s="97"/>
      <c r="L307" s="93" t="str">
        <f t="shared" si="1"/>
        <v/>
      </c>
      <c r="M307" s="98">
        <f t="shared" si="2"/>
        <v>0</v>
      </c>
      <c r="N307" s="77"/>
      <c r="O307" s="90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</row>
    <row r="308" ht="18.0" customHeight="1">
      <c r="A308" s="81"/>
      <c r="B308" s="91" t="str">
        <f>"53062"</f>
        <v>53062</v>
      </c>
      <c r="C308" s="91" t="str">
        <f>"693102530621"</f>
        <v>693102530621</v>
      </c>
      <c r="D308" s="92" t="s">
        <v>313</v>
      </c>
      <c r="E308" s="93" t="s">
        <v>311</v>
      </c>
      <c r="F308" s="94">
        <v>20.0</v>
      </c>
      <c r="G308" s="94">
        <v>10.0</v>
      </c>
      <c r="H308" s="95">
        <v>0.604</v>
      </c>
      <c r="I308" s="96">
        <v>9.504</v>
      </c>
      <c r="J308" s="93" t="s">
        <v>31</v>
      </c>
      <c r="K308" s="97"/>
      <c r="L308" s="93" t="str">
        <f t="shared" si="1"/>
        <v/>
      </c>
      <c r="M308" s="98">
        <f t="shared" si="2"/>
        <v>0</v>
      </c>
      <c r="N308" s="77"/>
      <c r="O308" s="90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</row>
    <row r="309" ht="18.0" customHeight="1">
      <c r="A309" s="81"/>
      <c r="B309" s="91" t="str">
        <f>"40003"</f>
        <v>40003</v>
      </c>
      <c r="C309" s="91" t="str">
        <f>"693102400030"</f>
        <v>693102400030</v>
      </c>
      <c r="D309" s="92" t="s">
        <v>314</v>
      </c>
      <c r="E309" s="93" t="s">
        <v>315</v>
      </c>
      <c r="F309" s="94">
        <v>10.0</v>
      </c>
      <c r="G309" s="94">
        <v>5.0</v>
      </c>
      <c r="H309" s="95">
        <v>0.604</v>
      </c>
      <c r="I309" s="96">
        <v>4.752</v>
      </c>
      <c r="J309" s="93" t="s">
        <v>31</v>
      </c>
      <c r="K309" s="97"/>
      <c r="L309" s="93" t="str">
        <f t="shared" si="1"/>
        <v/>
      </c>
      <c r="M309" s="98">
        <f t="shared" si="2"/>
        <v>0</v>
      </c>
      <c r="N309" s="77"/>
      <c r="O309" s="90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</row>
    <row r="310" ht="18.0" customHeight="1">
      <c r="A310" s="81"/>
      <c r="B310" s="91" t="str">
        <f>"40022"</f>
        <v>40022</v>
      </c>
      <c r="C310" s="91" t="str">
        <f>"693102400221"</f>
        <v>693102400221</v>
      </c>
      <c r="D310" s="92" t="s">
        <v>316</v>
      </c>
      <c r="E310" s="93" t="s">
        <v>315</v>
      </c>
      <c r="F310" s="94">
        <v>10.0</v>
      </c>
      <c r="G310" s="94">
        <v>5.0</v>
      </c>
      <c r="H310" s="95">
        <v>0.604</v>
      </c>
      <c r="I310" s="96">
        <v>4.752</v>
      </c>
      <c r="J310" s="93" t="s">
        <v>31</v>
      </c>
      <c r="K310" s="97"/>
      <c r="L310" s="93" t="str">
        <f t="shared" si="1"/>
        <v/>
      </c>
      <c r="M310" s="98">
        <f t="shared" si="2"/>
        <v>0</v>
      </c>
      <c r="N310" s="77"/>
      <c r="O310" s="90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</row>
    <row r="311" ht="18.0" customHeight="1">
      <c r="A311" s="81"/>
      <c r="B311" s="91" t="str">
        <f>"10602"</f>
        <v>10602</v>
      </c>
      <c r="C311" s="91" t="str">
        <f>"693102106024"</f>
        <v>693102106024</v>
      </c>
      <c r="D311" s="92" t="s">
        <v>317</v>
      </c>
      <c r="E311" s="93" t="s">
        <v>315</v>
      </c>
      <c r="F311" s="94">
        <v>15.0</v>
      </c>
      <c r="G311" s="94">
        <v>7.5</v>
      </c>
      <c r="H311" s="95">
        <v>0.6039999999999999</v>
      </c>
      <c r="I311" s="96">
        <v>7.128</v>
      </c>
      <c r="J311" s="93" t="s">
        <v>31</v>
      </c>
      <c r="K311" s="97"/>
      <c r="L311" s="93" t="str">
        <f t="shared" si="1"/>
        <v/>
      </c>
      <c r="M311" s="98">
        <f t="shared" si="2"/>
        <v>0</v>
      </c>
      <c r="N311" s="77"/>
      <c r="O311" s="90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</row>
    <row r="312" ht="18.0" customHeight="1">
      <c r="A312" s="81"/>
      <c r="B312" s="91" t="str">
        <f>"40019"</f>
        <v>40019</v>
      </c>
      <c r="C312" s="91" t="str">
        <f>"693102400191"</f>
        <v>693102400191</v>
      </c>
      <c r="D312" s="92" t="s">
        <v>318</v>
      </c>
      <c r="E312" s="93" t="s">
        <v>315</v>
      </c>
      <c r="F312" s="94">
        <v>10.0</v>
      </c>
      <c r="G312" s="94">
        <v>5.0</v>
      </c>
      <c r="H312" s="95">
        <v>0.604</v>
      </c>
      <c r="I312" s="96">
        <v>4.752</v>
      </c>
      <c r="J312" s="93" t="s">
        <v>31</v>
      </c>
      <c r="K312" s="97"/>
      <c r="L312" s="93" t="str">
        <f t="shared" si="1"/>
        <v/>
      </c>
      <c r="M312" s="98">
        <f t="shared" si="2"/>
        <v>0</v>
      </c>
      <c r="N312" s="77"/>
      <c r="O312" s="90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</row>
    <row r="313" ht="18.0" customHeight="1">
      <c r="A313" s="81"/>
      <c r="B313" s="91" t="str">
        <f>"40025"</f>
        <v>40025</v>
      </c>
      <c r="C313" s="91" t="str">
        <f>"693102400252"</f>
        <v>693102400252</v>
      </c>
      <c r="D313" s="92" t="s">
        <v>319</v>
      </c>
      <c r="E313" s="93" t="s">
        <v>315</v>
      </c>
      <c r="F313" s="94">
        <v>10.0</v>
      </c>
      <c r="G313" s="94">
        <v>5.0</v>
      </c>
      <c r="H313" s="95">
        <v>0.604</v>
      </c>
      <c r="I313" s="96">
        <v>4.752</v>
      </c>
      <c r="J313" s="93" t="s">
        <v>31</v>
      </c>
      <c r="K313" s="97"/>
      <c r="L313" s="93" t="str">
        <f t="shared" si="1"/>
        <v/>
      </c>
      <c r="M313" s="98">
        <f t="shared" si="2"/>
        <v>0</v>
      </c>
      <c r="N313" s="77"/>
      <c r="O313" s="90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</row>
    <row r="314" ht="18.0" customHeight="1">
      <c r="A314" s="81"/>
      <c r="B314" s="91" t="str">
        <f>"40015"</f>
        <v>40015</v>
      </c>
      <c r="C314" s="91" t="str">
        <f>"693102400153"</f>
        <v>693102400153</v>
      </c>
      <c r="D314" s="92" t="s">
        <v>320</v>
      </c>
      <c r="E314" s="93" t="s">
        <v>321</v>
      </c>
      <c r="F314" s="94">
        <v>29.0</v>
      </c>
      <c r="G314" s="94">
        <v>14.5</v>
      </c>
      <c r="H314" s="95">
        <v>0.604</v>
      </c>
      <c r="I314" s="96">
        <v>13.7808</v>
      </c>
      <c r="J314" s="93" t="s">
        <v>31</v>
      </c>
      <c r="K314" s="97"/>
      <c r="L314" s="93" t="str">
        <f t="shared" si="1"/>
        <v/>
      </c>
      <c r="M314" s="98">
        <f t="shared" si="2"/>
        <v>0</v>
      </c>
      <c r="N314" s="77"/>
      <c r="O314" s="90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</row>
    <row r="315" ht="18.0" customHeight="1">
      <c r="A315" s="81"/>
      <c r="B315" s="91" t="str">
        <f>"37-11-45"</f>
        <v>37-11-45</v>
      </c>
      <c r="C315" s="91" t="str">
        <f>"693102711457"</f>
        <v>693102711457</v>
      </c>
      <c r="D315" s="92" t="s">
        <v>322</v>
      </c>
      <c r="E315" s="93" t="s">
        <v>252</v>
      </c>
      <c r="F315" s="94">
        <v>24.0</v>
      </c>
      <c r="G315" s="94">
        <v>12.0</v>
      </c>
      <c r="H315" s="95">
        <v>0.6039999999999999</v>
      </c>
      <c r="I315" s="96">
        <v>11.404800000000003</v>
      </c>
      <c r="J315" s="93" t="s">
        <v>31</v>
      </c>
      <c r="K315" s="97"/>
      <c r="L315" s="93" t="str">
        <f t="shared" si="1"/>
        <v/>
      </c>
      <c r="M315" s="98">
        <f t="shared" si="2"/>
        <v>0</v>
      </c>
      <c r="N315" s="77"/>
      <c r="O315" s="90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</row>
    <row r="316" ht="18.0" customHeight="1">
      <c r="A316" s="81"/>
      <c r="B316" s="91" t="str">
        <f>"37-11-46"</f>
        <v>37-11-46</v>
      </c>
      <c r="C316" s="91" t="str">
        <f>"693102711464"</f>
        <v>693102711464</v>
      </c>
      <c r="D316" s="92" t="s">
        <v>323</v>
      </c>
      <c r="E316" s="93" t="s">
        <v>252</v>
      </c>
      <c r="F316" s="94">
        <v>24.0</v>
      </c>
      <c r="G316" s="94">
        <v>12.0</v>
      </c>
      <c r="H316" s="95">
        <v>0.6039999999999999</v>
      </c>
      <c r="I316" s="96">
        <v>11.404800000000003</v>
      </c>
      <c r="J316" s="93" t="s">
        <v>31</v>
      </c>
      <c r="K316" s="97"/>
      <c r="L316" s="93" t="str">
        <f t="shared" si="1"/>
        <v/>
      </c>
      <c r="M316" s="98">
        <f t="shared" si="2"/>
        <v>0</v>
      </c>
      <c r="N316" s="77"/>
      <c r="O316" s="90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</row>
    <row r="317" ht="18.0" customHeight="1">
      <c r="A317" s="81"/>
      <c r="B317" s="91" t="str">
        <f>"37-11-47"</f>
        <v>37-11-47</v>
      </c>
      <c r="C317" s="91" t="str">
        <f>"693102711471"</f>
        <v>693102711471</v>
      </c>
      <c r="D317" s="92" t="s">
        <v>324</v>
      </c>
      <c r="E317" s="93" t="s">
        <v>252</v>
      </c>
      <c r="F317" s="94">
        <v>24.0</v>
      </c>
      <c r="G317" s="94">
        <v>12.0</v>
      </c>
      <c r="H317" s="95">
        <v>0.6039999999999999</v>
      </c>
      <c r="I317" s="96">
        <v>11.404800000000003</v>
      </c>
      <c r="J317" s="93" t="s">
        <v>31</v>
      </c>
      <c r="K317" s="97"/>
      <c r="L317" s="93" t="str">
        <f t="shared" si="1"/>
        <v/>
      </c>
      <c r="M317" s="98">
        <f t="shared" si="2"/>
        <v>0</v>
      </c>
      <c r="N317" s="77"/>
      <c r="O317" s="90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</row>
    <row r="318" ht="18.0" customHeight="1">
      <c r="A318" s="81"/>
      <c r="B318" s="91" t="str">
        <f>"47-10-13"</f>
        <v>47-10-13</v>
      </c>
      <c r="C318" s="91" t="str">
        <f>"693102710139"</f>
        <v>693102710139</v>
      </c>
      <c r="D318" s="92" t="s">
        <v>325</v>
      </c>
      <c r="E318" s="93" t="s">
        <v>252</v>
      </c>
      <c r="F318" s="94">
        <v>24.0</v>
      </c>
      <c r="G318" s="94">
        <v>12.0</v>
      </c>
      <c r="H318" s="95">
        <v>0.6039999999999999</v>
      </c>
      <c r="I318" s="96">
        <v>11.404800000000003</v>
      </c>
      <c r="J318" s="93" t="s">
        <v>31</v>
      </c>
      <c r="K318" s="97"/>
      <c r="L318" s="93" t="str">
        <f t="shared" si="1"/>
        <v/>
      </c>
      <c r="M318" s="98">
        <f t="shared" si="2"/>
        <v>0</v>
      </c>
      <c r="N318" s="77"/>
      <c r="O318" s="90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</row>
    <row r="319" ht="18.0" customHeight="1">
      <c r="A319" s="81"/>
      <c r="B319" s="91" t="str">
        <f>"54-00-02"</f>
        <v>54-00-02</v>
      </c>
      <c r="C319" s="91" t="str">
        <f>"693102400023"</f>
        <v>693102400023</v>
      </c>
      <c r="D319" s="92" t="s">
        <v>326</v>
      </c>
      <c r="E319" s="93" t="s">
        <v>252</v>
      </c>
      <c r="F319" s="94">
        <v>24.0</v>
      </c>
      <c r="G319" s="94">
        <v>12.0</v>
      </c>
      <c r="H319" s="95">
        <v>0.6039999999999999</v>
      </c>
      <c r="I319" s="96">
        <v>11.404800000000003</v>
      </c>
      <c r="J319" s="93" t="s">
        <v>31</v>
      </c>
      <c r="K319" s="97"/>
      <c r="L319" s="93" t="str">
        <f t="shared" si="1"/>
        <v/>
      </c>
      <c r="M319" s="98">
        <f t="shared" si="2"/>
        <v>0</v>
      </c>
      <c r="N319" s="77"/>
      <c r="O319" s="90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</row>
    <row r="320" ht="18.0" customHeight="1">
      <c r="A320" s="81"/>
      <c r="B320" s="91" t="str">
        <f>"71152"</f>
        <v>71152</v>
      </c>
      <c r="C320" s="91" t="str">
        <f>"693102711525"</f>
        <v>693102711525</v>
      </c>
      <c r="D320" s="92" t="s">
        <v>327</v>
      </c>
      <c r="E320" s="93" t="s">
        <v>252</v>
      </c>
      <c r="F320" s="94">
        <v>24.0</v>
      </c>
      <c r="G320" s="94">
        <v>12.0</v>
      </c>
      <c r="H320" s="95">
        <v>0.6039999999999999</v>
      </c>
      <c r="I320" s="96">
        <v>11.404800000000003</v>
      </c>
      <c r="J320" s="93" t="s">
        <v>31</v>
      </c>
      <c r="K320" s="97"/>
      <c r="L320" s="93" t="str">
        <f t="shared" si="1"/>
        <v/>
      </c>
      <c r="M320" s="98">
        <f t="shared" si="2"/>
        <v>0</v>
      </c>
      <c r="N320" s="77"/>
      <c r="O320" s="90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</row>
    <row r="321" ht="18.0" customHeight="1">
      <c r="A321" s="81"/>
      <c r="B321" s="91" t="str">
        <f>"71153"</f>
        <v>71153</v>
      </c>
      <c r="C321" s="91" t="str">
        <f>"693102711532"</f>
        <v>693102711532</v>
      </c>
      <c r="D321" s="92" t="s">
        <v>328</v>
      </c>
      <c r="E321" s="93" t="s">
        <v>252</v>
      </c>
      <c r="F321" s="94">
        <v>24.0</v>
      </c>
      <c r="G321" s="94">
        <v>12.0</v>
      </c>
      <c r="H321" s="95">
        <v>0.6039999999999999</v>
      </c>
      <c r="I321" s="96">
        <v>11.404800000000003</v>
      </c>
      <c r="J321" s="93" t="s">
        <v>31</v>
      </c>
      <c r="K321" s="97"/>
      <c r="L321" s="93" t="str">
        <f t="shared" si="1"/>
        <v/>
      </c>
      <c r="M321" s="98">
        <f t="shared" si="2"/>
        <v>0</v>
      </c>
      <c r="N321" s="77"/>
      <c r="O321" s="90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</row>
    <row r="322" ht="18.0" customHeight="1">
      <c r="A322" s="81"/>
      <c r="B322" s="91" t="str">
        <f>"35095"</f>
        <v>35095</v>
      </c>
      <c r="C322" s="91" t="str">
        <f>"693102350953"</f>
        <v>693102350953</v>
      </c>
      <c r="D322" s="92" t="s">
        <v>329</v>
      </c>
      <c r="E322" s="93" t="s">
        <v>248</v>
      </c>
      <c r="F322" s="94">
        <v>29.0</v>
      </c>
      <c r="G322" s="94">
        <v>14.5</v>
      </c>
      <c r="H322" s="95">
        <v>0.604</v>
      </c>
      <c r="I322" s="96">
        <v>13.7808</v>
      </c>
      <c r="J322" s="93" t="s">
        <v>31</v>
      </c>
      <c r="K322" s="97"/>
      <c r="L322" s="93" t="str">
        <f t="shared" si="1"/>
        <v/>
      </c>
      <c r="M322" s="98">
        <f t="shared" si="2"/>
        <v>0</v>
      </c>
      <c r="N322" s="77"/>
      <c r="O322" s="90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</row>
    <row r="323" ht="18.0" customHeight="1">
      <c r="A323" s="81"/>
      <c r="B323" s="91" t="str">
        <f>"71149"</f>
        <v>71149</v>
      </c>
      <c r="C323" s="91" t="str">
        <f>"693102711495"</f>
        <v>693102711495</v>
      </c>
      <c r="D323" s="92" t="s">
        <v>330</v>
      </c>
      <c r="E323" s="93" t="s">
        <v>248</v>
      </c>
      <c r="F323" s="94">
        <v>35.0</v>
      </c>
      <c r="G323" s="94">
        <v>17.5</v>
      </c>
      <c r="H323" s="95">
        <v>0.604</v>
      </c>
      <c r="I323" s="96">
        <v>16.631999999999998</v>
      </c>
      <c r="J323" s="93" t="s">
        <v>31</v>
      </c>
      <c r="K323" s="97"/>
      <c r="L323" s="93" t="str">
        <f t="shared" si="1"/>
        <v/>
      </c>
      <c r="M323" s="98">
        <f t="shared" si="2"/>
        <v>0</v>
      </c>
      <c r="N323" s="77"/>
      <c r="O323" s="90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</row>
    <row r="324" ht="18.0" customHeight="1">
      <c r="A324" s="81"/>
      <c r="B324" s="91" t="str">
        <f>"71150"</f>
        <v>71150</v>
      </c>
      <c r="C324" s="91" t="str">
        <f>"693102711501"</f>
        <v>693102711501</v>
      </c>
      <c r="D324" s="92" t="s">
        <v>331</v>
      </c>
      <c r="E324" s="93" t="s">
        <v>248</v>
      </c>
      <c r="F324" s="94">
        <v>35.0</v>
      </c>
      <c r="G324" s="94">
        <v>17.5</v>
      </c>
      <c r="H324" s="95">
        <v>0.604</v>
      </c>
      <c r="I324" s="96">
        <v>16.631999999999998</v>
      </c>
      <c r="J324" s="93" t="s">
        <v>31</v>
      </c>
      <c r="K324" s="97"/>
      <c r="L324" s="93" t="str">
        <f t="shared" si="1"/>
        <v/>
      </c>
      <c r="M324" s="98">
        <f t="shared" si="2"/>
        <v>0</v>
      </c>
      <c r="N324" s="77"/>
      <c r="O324" s="90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</row>
    <row r="325" ht="18.0" customHeight="1">
      <c r="A325" s="81"/>
      <c r="B325" s="91" t="str">
        <f>"71151"</f>
        <v>71151</v>
      </c>
      <c r="C325" s="91" t="str">
        <f>"693102711518"</f>
        <v>693102711518</v>
      </c>
      <c r="D325" s="92" t="s">
        <v>332</v>
      </c>
      <c r="E325" s="93" t="s">
        <v>248</v>
      </c>
      <c r="F325" s="94">
        <v>35.0</v>
      </c>
      <c r="G325" s="94">
        <v>17.5</v>
      </c>
      <c r="H325" s="95">
        <v>0.604</v>
      </c>
      <c r="I325" s="96">
        <v>16.631999999999998</v>
      </c>
      <c r="J325" s="93" t="s">
        <v>31</v>
      </c>
      <c r="K325" s="97"/>
      <c r="L325" s="93" t="str">
        <f t="shared" si="1"/>
        <v/>
      </c>
      <c r="M325" s="98">
        <f t="shared" si="2"/>
        <v>0</v>
      </c>
      <c r="N325" s="77"/>
      <c r="O325" s="90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</row>
    <row r="326" ht="18.0" customHeight="1">
      <c r="A326" s="81"/>
      <c r="B326" s="91" t="str">
        <f>"35011"</f>
        <v>35011</v>
      </c>
      <c r="C326" s="91" t="str">
        <f>"693102350113"</f>
        <v>693102350113</v>
      </c>
      <c r="D326" s="92" t="s">
        <v>333</v>
      </c>
      <c r="E326" s="93" t="s">
        <v>248</v>
      </c>
      <c r="F326" s="94">
        <v>35.0</v>
      </c>
      <c r="G326" s="94">
        <v>17.5</v>
      </c>
      <c r="H326" s="95">
        <v>0.604</v>
      </c>
      <c r="I326" s="96">
        <v>16.631999999999998</v>
      </c>
      <c r="J326" s="93" t="s">
        <v>31</v>
      </c>
      <c r="K326" s="97"/>
      <c r="L326" s="93" t="str">
        <f t="shared" si="1"/>
        <v/>
      </c>
      <c r="M326" s="98">
        <f t="shared" si="2"/>
        <v>0</v>
      </c>
      <c r="N326" s="77"/>
      <c r="O326" s="90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</row>
    <row r="327" ht="18.0" customHeight="1">
      <c r="A327" s="81"/>
      <c r="B327" s="91" t="str">
        <f>"35000"</f>
        <v>35000</v>
      </c>
      <c r="C327" s="91" t="str">
        <f>"693102350007"</f>
        <v>693102350007</v>
      </c>
      <c r="D327" s="92" t="s">
        <v>334</v>
      </c>
      <c r="E327" s="93" t="s">
        <v>248</v>
      </c>
      <c r="F327" s="94">
        <v>35.0</v>
      </c>
      <c r="G327" s="94">
        <v>17.5</v>
      </c>
      <c r="H327" s="95">
        <v>0.604</v>
      </c>
      <c r="I327" s="96">
        <v>16.631999999999998</v>
      </c>
      <c r="J327" s="93" t="s">
        <v>31</v>
      </c>
      <c r="K327" s="97"/>
      <c r="L327" s="93" t="str">
        <f t="shared" si="1"/>
        <v/>
      </c>
      <c r="M327" s="98">
        <f t="shared" si="2"/>
        <v>0</v>
      </c>
      <c r="N327" s="77"/>
      <c r="O327" s="90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</row>
    <row r="328" ht="18.0" customHeight="1">
      <c r="A328" s="81"/>
      <c r="B328" s="91" t="str">
        <f>"35-10-14"</f>
        <v>35-10-14</v>
      </c>
      <c r="C328" s="91" t="str">
        <f>"693102510142"</f>
        <v>693102510142</v>
      </c>
      <c r="D328" s="92" t="s">
        <v>335</v>
      </c>
      <c r="E328" s="93" t="s">
        <v>248</v>
      </c>
      <c r="F328" s="94">
        <v>40.0</v>
      </c>
      <c r="G328" s="94">
        <v>20.0</v>
      </c>
      <c r="H328" s="95">
        <v>0.604</v>
      </c>
      <c r="I328" s="96">
        <v>19.008</v>
      </c>
      <c r="J328" s="93" t="s">
        <v>31</v>
      </c>
      <c r="K328" s="97"/>
      <c r="L328" s="93" t="str">
        <f t="shared" si="1"/>
        <v/>
      </c>
      <c r="M328" s="98">
        <f t="shared" si="2"/>
        <v>0</v>
      </c>
      <c r="N328" s="77"/>
      <c r="O328" s="90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</row>
    <row r="329" ht="18.0" customHeight="1">
      <c r="A329" s="81"/>
      <c r="B329" s="91" t="str">
        <f>"35097"</f>
        <v>35097</v>
      </c>
      <c r="C329" s="91" t="str">
        <f>"693102350977"</f>
        <v>693102350977</v>
      </c>
      <c r="D329" s="92" t="s">
        <v>336</v>
      </c>
      <c r="E329" s="93" t="s">
        <v>248</v>
      </c>
      <c r="F329" s="94">
        <v>35.0</v>
      </c>
      <c r="G329" s="94">
        <v>17.5</v>
      </c>
      <c r="H329" s="95">
        <v>0.604</v>
      </c>
      <c r="I329" s="96">
        <v>16.631999999999998</v>
      </c>
      <c r="J329" s="93" t="s">
        <v>31</v>
      </c>
      <c r="K329" s="97"/>
      <c r="L329" s="93" t="str">
        <f t="shared" si="1"/>
        <v/>
      </c>
      <c r="M329" s="98">
        <f t="shared" si="2"/>
        <v>0</v>
      </c>
      <c r="N329" s="77"/>
      <c r="O329" s="90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</row>
    <row r="330" ht="18.0" customHeight="1">
      <c r="A330" s="81"/>
      <c r="B330" s="91" t="str">
        <f>"35003"</f>
        <v>35003</v>
      </c>
      <c r="C330" s="91" t="str">
        <f>"693102350038"</f>
        <v>693102350038</v>
      </c>
      <c r="D330" s="92" t="s">
        <v>337</v>
      </c>
      <c r="E330" s="93" t="s">
        <v>248</v>
      </c>
      <c r="F330" s="94">
        <v>35.0</v>
      </c>
      <c r="G330" s="94">
        <v>17.5</v>
      </c>
      <c r="H330" s="95">
        <v>0.604</v>
      </c>
      <c r="I330" s="96">
        <v>16.631999999999998</v>
      </c>
      <c r="J330" s="93" t="s">
        <v>31</v>
      </c>
      <c r="K330" s="97"/>
      <c r="L330" s="93" t="str">
        <f t="shared" si="1"/>
        <v/>
      </c>
      <c r="M330" s="98">
        <f t="shared" si="2"/>
        <v>0</v>
      </c>
      <c r="N330" s="77"/>
      <c r="O330" s="90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</row>
    <row r="331" ht="18.0" customHeight="1">
      <c r="A331" s="81"/>
      <c r="B331" s="91" t="str">
        <f>"35-10-16"</f>
        <v>35-10-16</v>
      </c>
      <c r="C331" s="91" t="str">
        <f>"693102510166"</f>
        <v>693102510166</v>
      </c>
      <c r="D331" s="92" t="s">
        <v>338</v>
      </c>
      <c r="E331" s="93" t="s">
        <v>248</v>
      </c>
      <c r="F331" s="94">
        <v>35.0</v>
      </c>
      <c r="G331" s="94">
        <v>17.5</v>
      </c>
      <c r="H331" s="95">
        <v>0.604</v>
      </c>
      <c r="I331" s="96">
        <v>16.631999999999998</v>
      </c>
      <c r="J331" s="93" t="s">
        <v>31</v>
      </c>
      <c r="K331" s="97"/>
      <c r="L331" s="93" t="str">
        <f t="shared" si="1"/>
        <v/>
      </c>
      <c r="M331" s="98">
        <f t="shared" si="2"/>
        <v>0</v>
      </c>
      <c r="N331" s="77"/>
      <c r="O331" s="90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</row>
    <row r="332" ht="18.0" customHeight="1">
      <c r="A332" s="81"/>
      <c r="B332" s="91" t="str">
        <f>"35072"</f>
        <v>35072</v>
      </c>
      <c r="C332" s="91" t="str">
        <f>"693102350724"</f>
        <v>693102350724</v>
      </c>
      <c r="D332" s="92" t="s">
        <v>339</v>
      </c>
      <c r="E332" s="93" t="s">
        <v>248</v>
      </c>
      <c r="F332" s="94">
        <v>35.0</v>
      </c>
      <c r="G332" s="94">
        <v>17.5</v>
      </c>
      <c r="H332" s="95">
        <v>0.604</v>
      </c>
      <c r="I332" s="96">
        <v>16.631999999999998</v>
      </c>
      <c r="J332" s="93" t="s">
        <v>31</v>
      </c>
      <c r="K332" s="97"/>
      <c r="L332" s="93" t="str">
        <f t="shared" si="1"/>
        <v/>
      </c>
      <c r="M332" s="98">
        <f t="shared" si="2"/>
        <v>0</v>
      </c>
      <c r="N332" s="77"/>
      <c r="O332" s="90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</row>
    <row r="333" ht="18.0" customHeight="1">
      <c r="A333" s="81"/>
      <c r="B333" s="91" t="str">
        <f>"35070"</f>
        <v>35070</v>
      </c>
      <c r="C333" s="91" t="str">
        <f>"693102350700"</f>
        <v>693102350700</v>
      </c>
      <c r="D333" s="92" t="s">
        <v>340</v>
      </c>
      <c r="E333" s="93" t="s">
        <v>248</v>
      </c>
      <c r="F333" s="94">
        <v>35.0</v>
      </c>
      <c r="G333" s="94">
        <v>17.5</v>
      </c>
      <c r="H333" s="95">
        <v>0.604</v>
      </c>
      <c r="I333" s="96">
        <v>16.631999999999998</v>
      </c>
      <c r="J333" s="93" t="s">
        <v>31</v>
      </c>
      <c r="K333" s="97"/>
      <c r="L333" s="93" t="str">
        <f t="shared" si="1"/>
        <v/>
      </c>
      <c r="M333" s="98">
        <f t="shared" si="2"/>
        <v>0</v>
      </c>
      <c r="N333" s="77"/>
      <c r="O333" s="90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</row>
    <row r="334" ht="18.0" customHeight="1">
      <c r="A334" s="81"/>
      <c r="B334" s="91" t="str">
        <f>"35009"</f>
        <v>35009</v>
      </c>
      <c r="C334" s="91" t="str">
        <f>"693102350090"</f>
        <v>693102350090</v>
      </c>
      <c r="D334" s="92" t="s">
        <v>341</v>
      </c>
      <c r="E334" s="93" t="s">
        <v>248</v>
      </c>
      <c r="F334" s="94">
        <v>35.0</v>
      </c>
      <c r="G334" s="94">
        <v>17.5</v>
      </c>
      <c r="H334" s="95">
        <v>0.604</v>
      </c>
      <c r="I334" s="96">
        <v>16.631999999999998</v>
      </c>
      <c r="J334" s="93" t="s">
        <v>31</v>
      </c>
      <c r="K334" s="97"/>
      <c r="L334" s="93" t="str">
        <f t="shared" si="1"/>
        <v/>
      </c>
      <c r="M334" s="98">
        <f t="shared" si="2"/>
        <v>0</v>
      </c>
      <c r="N334" s="77"/>
      <c r="O334" s="90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</row>
    <row r="335" ht="18.0" customHeight="1">
      <c r="A335" s="81"/>
      <c r="B335" s="91" t="str">
        <f>"51018"</f>
        <v>51018</v>
      </c>
      <c r="C335" s="91" t="str">
        <f>"693102510180"</f>
        <v>693102510180</v>
      </c>
      <c r="D335" s="92" t="s">
        <v>342</v>
      </c>
      <c r="E335" s="93" t="s">
        <v>248</v>
      </c>
      <c r="F335" s="94">
        <v>35.0</v>
      </c>
      <c r="G335" s="94">
        <v>17.5</v>
      </c>
      <c r="H335" s="95">
        <v>0.604</v>
      </c>
      <c r="I335" s="96">
        <v>16.631999999999998</v>
      </c>
      <c r="J335" s="93" t="s">
        <v>31</v>
      </c>
      <c r="K335" s="97"/>
      <c r="L335" s="93" t="str">
        <f t="shared" si="1"/>
        <v/>
      </c>
      <c r="M335" s="98">
        <f t="shared" si="2"/>
        <v>0</v>
      </c>
      <c r="N335" s="77"/>
      <c r="O335" s="90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</row>
    <row r="336" ht="18.0" customHeight="1">
      <c r="A336" s="81"/>
      <c r="B336" s="91" t="str">
        <f>"35049"</f>
        <v>35049</v>
      </c>
      <c r="C336" s="91" t="str">
        <f>"693102350496"</f>
        <v>693102350496</v>
      </c>
      <c r="D336" s="92" t="s">
        <v>343</v>
      </c>
      <c r="E336" s="93" t="s">
        <v>248</v>
      </c>
      <c r="F336" s="94">
        <v>35.0</v>
      </c>
      <c r="G336" s="94">
        <v>17.5</v>
      </c>
      <c r="H336" s="95">
        <v>0.604</v>
      </c>
      <c r="I336" s="96">
        <v>16.631999999999998</v>
      </c>
      <c r="J336" s="93" t="s">
        <v>31</v>
      </c>
      <c r="K336" s="97"/>
      <c r="L336" s="93" t="str">
        <f t="shared" si="1"/>
        <v/>
      </c>
      <c r="M336" s="98">
        <f t="shared" si="2"/>
        <v>0</v>
      </c>
      <c r="N336" s="77"/>
      <c r="O336" s="90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</row>
    <row r="337" ht="18.0" customHeight="1">
      <c r="A337" s="81"/>
      <c r="B337" s="91" t="str">
        <f>"35-10-17"</f>
        <v>35-10-17</v>
      </c>
      <c r="C337" s="91" t="str">
        <f>"693102510173"</f>
        <v>693102510173</v>
      </c>
      <c r="D337" s="92" t="s">
        <v>344</v>
      </c>
      <c r="E337" s="93" t="s">
        <v>248</v>
      </c>
      <c r="F337" s="94">
        <v>35.0</v>
      </c>
      <c r="G337" s="94">
        <v>17.5</v>
      </c>
      <c r="H337" s="95">
        <v>0.604</v>
      </c>
      <c r="I337" s="96">
        <v>16.631999999999998</v>
      </c>
      <c r="J337" s="93" t="s">
        <v>31</v>
      </c>
      <c r="K337" s="97"/>
      <c r="L337" s="93" t="str">
        <f t="shared" si="1"/>
        <v/>
      </c>
      <c r="M337" s="98">
        <f t="shared" si="2"/>
        <v>0</v>
      </c>
      <c r="N337" s="77"/>
      <c r="O337" s="90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</row>
    <row r="338" ht="18.0" customHeight="1">
      <c r="A338" s="81"/>
      <c r="B338" s="91" t="str">
        <f>"35044"</f>
        <v>35044</v>
      </c>
      <c r="C338" s="91" t="str">
        <f>"693102350649"</f>
        <v>693102350649</v>
      </c>
      <c r="D338" s="92" t="s">
        <v>345</v>
      </c>
      <c r="E338" s="93" t="s">
        <v>248</v>
      </c>
      <c r="F338" s="94">
        <v>35.0</v>
      </c>
      <c r="G338" s="94">
        <v>17.5</v>
      </c>
      <c r="H338" s="95">
        <v>0.604</v>
      </c>
      <c r="I338" s="96">
        <v>16.631999999999998</v>
      </c>
      <c r="J338" s="93" t="s">
        <v>31</v>
      </c>
      <c r="K338" s="97"/>
      <c r="L338" s="93" t="str">
        <f t="shared" si="1"/>
        <v/>
      </c>
      <c r="M338" s="98">
        <f t="shared" si="2"/>
        <v>0</v>
      </c>
      <c r="N338" s="77"/>
      <c r="O338" s="90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</row>
    <row r="339" ht="18.0" customHeight="1">
      <c r="A339" s="81"/>
      <c r="B339" s="91" t="str">
        <f>"80047"</f>
        <v>80047</v>
      </c>
      <c r="C339" s="91" t="str">
        <f>"693102800472"</f>
        <v>693102800472</v>
      </c>
      <c r="D339" s="92" t="s">
        <v>346</v>
      </c>
      <c r="E339" s="93" t="s">
        <v>248</v>
      </c>
      <c r="F339" s="94">
        <v>35.0</v>
      </c>
      <c r="G339" s="94">
        <v>17.5</v>
      </c>
      <c r="H339" s="95">
        <v>0.604</v>
      </c>
      <c r="I339" s="96">
        <v>16.631999999999998</v>
      </c>
      <c r="J339" s="93" t="s">
        <v>31</v>
      </c>
      <c r="K339" s="97"/>
      <c r="L339" s="93" t="str">
        <f t="shared" si="1"/>
        <v/>
      </c>
      <c r="M339" s="98">
        <f t="shared" si="2"/>
        <v>0</v>
      </c>
      <c r="N339" s="77"/>
      <c r="O339" s="90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</row>
    <row r="340" ht="18.0" customHeight="1">
      <c r="A340" s="81"/>
      <c r="B340" s="91" t="str">
        <f>"35001"</f>
        <v>35001</v>
      </c>
      <c r="C340" s="91" t="str">
        <f>"693102350014"</f>
        <v>693102350014</v>
      </c>
      <c r="D340" s="92" t="s">
        <v>347</v>
      </c>
      <c r="E340" s="93" t="s">
        <v>248</v>
      </c>
      <c r="F340" s="94">
        <v>35.0</v>
      </c>
      <c r="G340" s="94">
        <v>17.5</v>
      </c>
      <c r="H340" s="95">
        <v>0.604</v>
      </c>
      <c r="I340" s="96">
        <v>16.631999999999998</v>
      </c>
      <c r="J340" s="93" t="s">
        <v>31</v>
      </c>
      <c r="K340" s="97"/>
      <c r="L340" s="93" t="str">
        <f t="shared" si="1"/>
        <v/>
      </c>
      <c r="M340" s="98">
        <f t="shared" si="2"/>
        <v>0</v>
      </c>
      <c r="N340" s="77"/>
      <c r="O340" s="90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</row>
    <row r="341" ht="18.0" customHeight="1">
      <c r="A341" s="81"/>
      <c r="B341" s="91" t="str">
        <f>"35002"</f>
        <v>35002</v>
      </c>
      <c r="C341" s="91" t="str">
        <f>"693102350021"</f>
        <v>693102350021</v>
      </c>
      <c r="D341" s="92" t="s">
        <v>348</v>
      </c>
      <c r="E341" s="93" t="s">
        <v>248</v>
      </c>
      <c r="F341" s="94">
        <v>35.0</v>
      </c>
      <c r="G341" s="94">
        <v>17.5</v>
      </c>
      <c r="H341" s="95">
        <v>0.604</v>
      </c>
      <c r="I341" s="96">
        <v>16.631999999999998</v>
      </c>
      <c r="J341" s="93" t="s">
        <v>31</v>
      </c>
      <c r="K341" s="97"/>
      <c r="L341" s="93" t="str">
        <f t="shared" si="1"/>
        <v/>
      </c>
      <c r="M341" s="98">
        <f t="shared" si="2"/>
        <v>0</v>
      </c>
      <c r="N341" s="77"/>
      <c r="O341" s="90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</row>
    <row r="342" ht="18.0" customHeight="1">
      <c r="A342" s="81"/>
      <c r="B342" s="91" t="str">
        <f>"80048"</f>
        <v>80048</v>
      </c>
      <c r="C342" s="91" t="str">
        <f>"693102800489"</f>
        <v>693102800489</v>
      </c>
      <c r="D342" s="92" t="s">
        <v>349</v>
      </c>
      <c r="E342" s="93" t="s">
        <v>248</v>
      </c>
      <c r="F342" s="94">
        <v>35.0</v>
      </c>
      <c r="G342" s="94">
        <v>17.5</v>
      </c>
      <c r="H342" s="95">
        <v>0.604</v>
      </c>
      <c r="I342" s="96">
        <v>16.631999999999998</v>
      </c>
      <c r="J342" s="93" t="s">
        <v>31</v>
      </c>
      <c r="K342" s="97"/>
      <c r="L342" s="93" t="str">
        <f t="shared" si="1"/>
        <v/>
      </c>
      <c r="M342" s="98">
        <f t="shared" si="2"/>
        <v>0</v>
      </c>
      <c r="N342" s="77"/>
      <c r="O342" s="90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</row>
    <row r="343" ht="18.0" customHeight="1">
      <c r="A343" s="81"/>
      <c r="B343" s="91" t="str">
        <f>"47022"</f>
        <v>47022</v>
      </c>
      <c r="C343" s="91" t="str">
        <f>"693102470224"</f>
        <v>693102470224</v>
      </c>
      <c r="D343" s="92" t="s">
        <v>350</v>
      </c>
      <c r="E343" s="93" t="s">
        <v>248</v>
      </c>
      <c r="F343" s="94">
        <v>35.0</v>
      </c>
      <c r="G343" s="94">
        <v>17.5</v>
      </c>
      <c r="H343" s="95">
        <v>0.604</v>
      </c>
      <c r="I343" s="96">
        <v>16.631999999999998</v>
      </c>
      <c r="J343" s="93" t="s">
        <v>31</v>
      </c>
      <c r="K343" s="97"/>
      <c r="L343" s="93" t="str">
        <f t="shared" si="1"/>
        <v/>
      </c>
      <c r="M343" s="98">
        <f t="shared" si="2"/>
        <v>0</v>
      </c>
      <c r="N343" s="77"/>
      <c r="O343" s="90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</row>
    <row r="344" ht="18.0" customHeight="1">
      <c r="A344" s="81"/>
      <c r="B344" s="91" t="str">
        <f>"35054"</f>
        <v>35054</v>
      </c>
      <c r="C344" s="91" t="str">
        <f>"693102350540"</f>
        <v>693102350540</v>
      </c>
      <c r="D344" s="92" t="s">
        <v>351</v>
      </c>
      <c r="E344" s="93" t="s">
        <v>248</v>
      </c>
      <c r="F344" s="94">
        <v>35.0</v>
      </c>
      <c r="G344" s="94">
        <v>17.5</v>
      </c>
      <c r="H344" s="95">
        <v>0.604</v>
      </c>
      <c r="I344" s="96">
        <v>16.631999999999998</v>
      </c>
      <c r="J344" s="93" t="s">
        <v>31</v>
      </c>
      <c r="K344" s="97"/>
      <c r="L344" s="93" t="str">
        <f t="shared" si="1"/>
        <v/>
      </c>
      <c r="M344" s="98">
        <f t="shared" si="2"/>
        <v>0</v>
      </c>
      <c r="N344" s="77"/>
      <c r="O344" s="90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</row>
    <row r="345" ht="18.0" customHeight="1">
      <c r="A345" s="81"/>
      <c r="B345" s="91" t="str">
        <f>"35043"</f>
        <v>35043</v>
      </c>
      <c r="C345" s="91" t="str">
        <f>"693102350434"</f>
        <v>693102350434</v>
      </c>
      <c r="D345" s="92" t="s">
        <v>352</v>
      </c>
      <c r="E345" s="93" t="s">
        <v>248</v>
      </c>
      <c r="F345" s="94">
        <v>35.0</v>
      </c>
      <c r="G345" s="94">
        <v>17.5</v>
      </c>
      <c r="H345" s="95">
        <v>0.604</v>
      </c>
      <c r="I345" s="96">
        <v>16.631999999999998</v>
      </c>
      <c r="J345" s="93" t="s">
        <v>31</v>
      </c>
      <c r="K345" s="97"/>
      <c r="L345" s="93" t="str">
        <f t="shared" si="1"/>
        <v/>
      </c>
      <c r="M345" s="98">
        <f t="shared" si="2"/>
        <v>0</v>
      </c>
      <c r="N345" s="77"/>
      <c r="O345" s="90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</row>
    <row r="346" ht="18.0" customHeight="1">
      <c r="A346" s="81"/>
      <c r="B346" s="91" t="str">
        <f>"10614"</f>
        <v>10614</v>
      </c>
      <c r="C346" s="91" t="str">
        <f>"693102106147"</f>
        <v>693102106147</v>
      </c>
      <c r="D346" s="92" t="s">
        <v>353</v>
      </c>
      <c r="E346" s="93" t="s">
        <v>248</v>
      </c>
      <c r="F346" s="94">
        <v>35.0</v>
      </c>
      <c r="G346" s="94">
        <v>17.5</v>
      </c>
      <c r="H346" s="95">
        <v>0.604</v>
      </c>
      <c r="I346" s="96">
        <v>16.631999999999998</v>
      </c>
      <c r="J346" s="93" t="s">
        <v>31</v>
      </c>
      <c r="K346" s="97"/>
      <c r="L346" s="93" t="str">
        <f t="shared" si="1"/>
        <v/>
      </c>
      <c r="M346" s="98">
        <f t="shared" si="2"/>
        <v>0</v>
      </c>
      <c r="N346" s="77"/>
      <c r="O346" s="90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</row>
    <row r="347" ht="18.0" customHeight="1">
      <c r="A347" s="81"/>
      <c r="B347" s="91" t="str">
        <f>"35092"</f>
        <v>35092</v>
      </c>
      <c r="C347" s="91" t="str">
        <f>"693102350922"</f>
        <v>693102350922</v>
      </c>
      <c r="D347" s="92" t="s">
        <v>354</v>
      </c>
      <c r="E347" s="93" t="s">
        <v>248</v>
      </c>
      <c r="F347" s="94">
        <v>35.0</v>
      </c>
      <c r="G347" s="94">
        <v>17.5</v>
      </c>
      <c r="H347" s="95">
        <v>0.604</v>
      </c>
      <c r="I347" s="96">
        <v>16.631999999999998</v>
      </c>
      <c r="J347" s="93" t="s">
        <v>31</v>
      </c>
      <c r="K347" s="97"/>
      <c r="L347" s="93" t="str">
        <f t="shared" si="1"/>
        <v/>
      </c>
      <c r="M347" s="98">
        <f t="shared" si="2"/>
        <v>0</v>
      </c>
      <c r="N347" s="77"/>
      <c r="O347" s="90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</row>
    <row r="348" ht="18.0" customHeight="1">
      <c r="A348" s="81"/>
      <c r="B348" s="91" t="str">
        <f>"80049"</f>
        <v>80049</v>
      </c>
      <c r="C348" s="91" t="str">
        <f>"693102800496"</f>
        <v>693102800496</v>
      </c>
      <c r="D348" s="92" t="s">
        <v>355</v>
      </c>
      <c r="E348" s="93" t="s">
        <v>248</v>
      </c>
      <c r="F348" s="94">
        <v>35.0</v>
      </c>
      <c r="G348" s="94">
        <v>17.5</v>
      </c>
      <c r="H348" s="95">
        <v>0.604</v>
      </c>
      <c r="I348" s="96">
        <v>16.631999999999998</v>
      </c>
      <c r="J348" s="93" t="s">
        <v>31</v>
      </c>
      <c r="K348" s="97"/>
      <c r="L348" s="93" t="str">
        <f t="shared" si="1"/>
        <v/>
      </c>
      <c r="M348" s="98">
        <f t="shared" si="2"/>
        <v>0</v>
      </c>
      <c r="N348" s="77"/>
      <c r="O348" s="90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</row>
    <row r="349" ht="18.0" customHeight="1">
      <c r="A349" s="81"/>
      <c r="B349" s="91" t="str">
        <f>"35005"</f>
        <v>35005</v>
      </c>
      <c r="C349" s="91" t="str">
        <f>"693102350052"</f>
        <v>693102350052</v>
      </c>
      <c r="D349" s="92" t="s">
        <v>356</v>
      </c>
      <c r="E349" s="93" t="s">
        <v>248</v>
      </c>
      <c r="F349" s="94">
        <v>35.0</v>
      </c>
      <c r="G349" s="94">
        <v>17.5</v>
      </c>
      <c r="H349" s="95">
        <v>0.604</v>
      </c>
      <c r="I349" s="96">
        <v>16.631999999999998</v>
      </c>
      <c r="J349" s="93" t="s">
        <v>31</v>
      </c>
      <c r="K349" s="97"/>
      <c r="L349" s="93" t="str">
        <f t="shared" si="1"/>
        <v/>
      </c>
      <c r="M349" s="98">
        <f t="shared" si="2"/>
        <v>0</v>
      </c>
      <c r="N349" s="77"/>
      <c r="O349" s="90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</row>
    <row r="350" ht="18.0" customHeight="1">
      <c r="A350" s="81"/>
      <c r="B350" s="91" t="str">
        <f>"35051"</f>
        <v>35051</v>
      </c>
      <c r="C350" s="91" t="str">
        <f>"693102350519"</f>
        <v>693102350519</v>
      </c>
      <c r="D350" s="92" t="s">
        <v>357</v>
      </c>
      <c r="E350" s="93" t="s">
        <v>248</v>
      </c>
      <c r="F350" s="94">
        <v>35.0</v>
      </c>
      <c r="G350" s="94">
        <v>17.5</v>
      </c>
      <c r="H350" s="95">
        <v>0.604</v>
      </c>
      <c r="I350" s="96">
        <v>16.631999999999998</v>
      </c>
      <c r="J350" s="93" t="s">
        <v>31</v>
      </c>
      <c r="K350" s="97"/>
      <c r="L350" s="93" t="str">
        <f t="shared" si="1"/>
        <v/>
      </c>
      <c r="M350" s="98">
        <f t="shared" si="2"/>
        <v>0</v>
      </c>
      <c r="N350" s="77"/>
      <c r="O350" s="90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</row>
    <row r="351" ht="18.0" customHeight="1">
      <c r="A351" s="81"/>
      <c r="B351" s="91" t="str">
        <f>"80050"</f>
        <v>80050</v>
      </c>
      <c r="C351" s="91" t="str">
        <f>"693102800502"</f>
        <v>693102800502</v>
      </c>
      <c r="D351" s="92" t="s">
        <v>358</v>
      </c>
      <c r="E351" s="93" t="s">
        <v>248</v>
      </c>
      <c r="F351" s="94">
        <v>35.0</v>
      </c>
      <c r="G351" s="94">
        <v>17.5</v>
      </c>
      <c r="H351" s="95">
        <v>0.604</v>
      </c>
      <c r="I351" s="96">
        <v>16.631999999999998</v>
      </c>
      <c r="J351" s="93" t="s">
        <v>31</v>
      </c>
      <c r="K351" s="97"/>
      <c r="L351" s="93" t="str">
        <f t="shared" si="1"/>
        <v/>
      </c>
      <c r="M351" s="98">
        <f t="shared" si="2"/>
        <v>0</v>
      </c>
      <c r="N351" s="77"/>
      <c r="O351" s="90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</row>
    <row r="352" ht="18.0" customHeight="1">
      <c r="A352" s="81"/>
      <c r="B352" s="91" t="str">
        <f>"35-10-15"</f>
        <v>35-10-15</v>
      </c>
      <c r="C352" s="91" t="str">
        <f>"693102510159"</f>
        <v>693102510159</v>
      </c>
      <c r="D352" s="92" t="s">
        <v>359</v>
      </c>
      <c r="E352" s="93" t="s">
        <v>248</v>
      </c>
      <c r="F352" s="94">
        <v>35.0</v>
      </c>
      <c r="G352" s="94">
        <v>17.5</v>
      </c>
      <c r="H352" s="95">
        <v>0.604</v>
      </c>
      <c r="I352" s="96">
        <v>16.631999999999998</v>
      </c>
      <c r="J352" s="93" t="s">
        <v>31</v>
      </c>
      <c r="K352" s="97"/>
      <c r="L352" s="93" t="str">
        <f t="shared" si="1"/>
        <v/>
      </c>
      <c r="M352" s="98">
        <f t="shared" si="2"/>
        <v>0</v>
      </c>
      <c r="N352" s="77"/>
      <c r="O352" s="90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</row>
    <row r="353" ht="18.0" customHeight="1">
      <c r="A353" s="81"/>
      <c r="B353" s="91" t="str">
        <f>"35073"</f>
        <v>35073</v>
      </c>
      <c r="C353" s="91" t="str">
        <f>"693105350731"</f>
        <v>693105350731</v>
      </c>
      <c r="D353" s="92" t="s">
        <v>360</v>
      </c>
      <c r="E353" s="93" t="s">
        <v>248</v>
      </c>
      <c r="F353" s="94">
        <v>35.0</v>
      </c>
      <c r="G353" s="94">
        <v>17.5</v>
      </c>
      <c r="H353" s="95">
        <v>0.604</v>
      </c>
      <c r="I353" s="96">
        <v>16.631999999999998</v>
      </c>
      <c r="J353" s="93" t="s">
        <v>31</v>
      </c>
      <c r="K353" s="97"/>
      <c r="L353" s="93" t="str">
        <f t="shared" si="1"/>
        <v/>
      </c>
      <c r="M353" s="98">
        <f t="shared" si="2"/>
        <v>0</v>
      </c>
      <c r="N353" s="77"/>
      <c r="O353" s="90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</row>
    <row r="354" ht="18.0" customHeight="1">
      <c r="A354" s="81"/>
      <c r="B354" s="91" t="str">
        <f>"10613"</f>
        <v>10613</v>
      </c>
      <c r="C354" s="91" t="str">
        <f>"693102106130"</f>
        <v>693102106130</v>
      </c>
      <c r="D354" s="92" t="s">
        <v>361</v>
      </c>
      <c r="E354" s="93" t="s">
        <v>248</v>
      </c>
      <c r="F354" s="94">
        <v>35.0</v>
      </c>
      <c r="G354" s="94">
        <v>17.5</v>
      </c>
      <c r="H354" s="95">
        <v>0.604</v>
      </c>
      <c r="I354" s="96">
        <v>16.631999999999998</v>
      </c>
      <c r="J354" s="93" t="s">
        <v>31</v>
      </c>
      <c r="K354" s="97"/>
      <c r="L354" s="93" t="str">
        <f t="shared" si="1"/>
        <v/>
      </c>
      <c r="M354" s="98">
        <f t="shared" si="2"/>
        <v>0</v>
      </c>
      <c r="N354" s="77"/>
      <c r="O354" s="90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</row>
    <row r="355" ht="18.0" customHeight="1">
      <c r="A355" s="81"/>
      <c r="B355" s="91" t="str">
        <f>"51019"</f>
        <v>51019</v>
      </c>
      <c r="C355" s="91" t="str">
        <f>"693102510197"</f>
        <v>693102510197</v>
      </c>
      <c r="D355" s="92" t="s">
        <v>362</v>
      </c>
      <c r="E355" s="93" t="s">
        <v>248</v>
      </c>
      <c r="F355" s="94">
        <v>35.0</v>
      </c>
      <c r="G355" s="94">
        <v>17.5</v>
      </c>
      <c r="H355" s="95">
        <v>0.604</v>
      </c>
      <c r="I355" s="96">
        <v>16.631999999999998</v>
      </c>
      <c r="J355" s="93" t="s">
        <v>31</v>
      </c>
      <c r="K355" s="97"/>
      <c r="L355" s="93" t="str">
        <f t="shared" si="1"/>
        <v/>
      </c>
      <c r="M355" s="98">
        <f t="shared" si="2"/>
        <v>0</v>
      </c>
      <c r="N355" s="77"/>
      <c r="O355" s="90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</row>
    <row r="356" ht="18.0" customHeight="1">
      <c r="A356" s="81"/>
      <c r="B356" s="91" t="str">
        <f>"35010"</f>
        <v>35010</v>
      </c>
      <c r="C356" s="91" t="str">
        <f>"693102350106"</f>
        <v>693102350106</v>
      </c>
      <c r="D356" s="92" t="s">
        <v>363</v>
      </c>
      <c r="E356" s="93" t="s">
        <v>248</v>
      </c>
      <c r="F356" s="94">
        <v>35.0</v>
      </c>
      <c r="G356" s="94">
        <v>17.5</v>
      </c>
      <c r="H356" s="95">
        <v>0.604</v>
      </c>
      <c r="I356" s="96">
        <v>16.631999999999998</v>
      </c>
      <c r="J356" s="93" t="s">
        <v>31</v>
      </c>
      <c r="K356" s="97"/>
      <c r="L356" s="93" t="str">
        <f t="shared" si="1"/>
        <v/>
      </c>
      <c r="M356" s="98">
        <f t="shared" si="2"/>
        <v>0</v>
      </c>
      <c r="N356" s="77"/>
      <c r="O356" s="90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</row>
    <row r="357" ht="18.0" customHeight="1">
      <c r="A357" s="81"/>
      <c r="B357" s="91" t="str">
        <f>"35007"</f>
        <v>35007</v>
      </c>
      <c r="C357" s="91" t="str">
        <f>"693102350076"</f>
        <v>693102350076</v>
      </c>
      <c r="D357" s="92" t="s">
        <v>364</v>
      </c>
      <c r="E357" s="93" t="s">
        <v>248</v>
      </c>
      <c r="F357" s="94">
        <v>35.0</v>
      </c>
      <c r="G357" s="94">
        <v>17.5</v>
      </c>
      <c r="H357" s="95">
        <v>0.604</v>
      </c>
      <c r="I357" s="96">
        <v>16.631999999999998</v>
      </c>
      <c r="J357" s="93" t="s">
        <v>31</v>
      </c>
      <c r="K357" s="97"/>
      <c r="L357" s="93" t="str">
        <f t="shared" si="1"/>
        <v/>
      </c>
      <c r="M357" s="98">
        <f t="shared" si="2"/>
        <v>0</v>
      </c>
      <c r="N357" s="77"/>
      <c r="O357" s="90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</row>
    <row r="358" ht="18.0" customHeight="1">
      <c r="A358" s="81"/>
      <c r="B358" s="91" t="str">
        <f>"35016"</f>
        <v>35016</v>
      </c>
      <c r="C358" s="91" t="str">
        <f>"693102350168"</f>
        <v>693102350168</v>
      </c>
      <c r="D358" s="92" t="s">
        <v>365</v>
      </c>
      <c r="E358" s="93" t="s">
        <v>248</v>
      </c>
      <c r="F358" s="94">
        <v>35.0</v>
      </c>
      <c r="G358" s="94">
        <v>17.5</v>
      </c>
      <c r="H358" s="95">
        <v>0.604</v>
      </c>
      <c r="I358" s="96">
        <v>16.631999999999998</v>
      </c>
      <c r="J358" s="93" t="s">
        <v>31</v>
      </c>
      <c r="K358" s="97"/>
      <c r="L358" s="93" t="str">
        <f t="shared" si="1"/>
        <v/>
      </c>
      <c r="M358" s="98">
        <f t="shared" si="2"/>
        <v>0</v>
      </c>
      <c r="N358" s="77"/>
      <c r="O358" s="90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</row>
    <row r="359" ht="18.0" customHeight="1">
      <c r="A359" s="81"/>
      <c r="B359" s="91" t="str">
        <f>"80051"</f>
        <v>80051</v>
      </c>
      <c r="C359" s="91" t="str">
        <f>"693102800519"</f>
        <v>693102800519</v>
      </c>
      <c r="D359" s="92" t="s">
        <v>366</v>
      </c>
      <c r="E359" s="93" t="s">
        <v>248</v>
      </c>
      <c r="F359" s="94">
        <v>35.0</v>
      </c>
      <c r="G359" s="94">
        <v>17.5</v>
      </c>
      <c r="H359" s="95">
        <v>0.604</v>
      </c>
      <c r="I359" s="96">
        <v>16.631999999999998</v>
      </c>
      <c r="J359" s="93" t="s">
        <v>31</v>
      </c>
      <c r="K359" s="97"/>
      <c r="L359" s="93" t="str">
        <f t="shared" si="1"/>
        <v/>
      </c>
      <c r="M359" s="98">
        <f t="shared" si="2"/>
        <v>0</v>
      </c>
      <c r="N359" s="77"/>
      <c r="O359" s="90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</row>
    <row r="360" ht="18.0" customHeight="1">
      <c r="A360" s="81"/>
      <c r="B360" s="91" t="str">
        <f>"35074"</f>
        <v>35074</v>
      </c>
      <c r="C360" s="91" t="str">
        <f>"693102350748"</f>
        <v>693102350748</v>
      </c>
      <c r="D360" s="92" t="s">
        <v>367</v>
      </c>
      <c r="E360" s="93" t="s">
        <v>248</v>
      </c>
      <c r="F360" s="94">
        <v>35.0</v>
      </c>
      <c r="G360" s="94">
        <v>17.5</v>
      </c>
      <c r="H360" s="95">
        <v>0.604</v>
      </c>
      <c r="I360" s="96">
        <v>16.631999999999998</v>
      </c>
      <c r="J360" s="93" t="s">
        <v>31</v>
      </c>
      <c r="K360" s="97"/>
      <c r="L360" s="93" t="str">
        <f t="shared" si="1"/>
        <v/>
      </c>
      <c r="M360" s="98">
        <f t="shared" si="2"/>
        <v>0</v>
      </c>
      <c r="N360" s="77"/>
      <c r="O360" s="90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</row>
    <row r="361" ht="18.0" customHeight="1">
      <c r="A361" s="81"/>
      <c r="B361" s="91" t="str">
        <f>"35071"</f>
        <v>35071</v>
      </c>
      <c r="C361" s="91" t="str">
        <f>"693102350717"</f>
        <v>693102350717</v>
      </c>
      <c r="D361" s="92" t="s">
        <v>368</v>
      </c>
      <c r="E361" s="93" t="s">
        <v>248</v>
      </c>
      <c r="F361" s="94">
        <v>35.0</v>
      </c>
      <c r="G361" s="94">
        <v>17.5</v>
      </c>
      <c r="H361" s="95">
        <v>0.604</v>
      </c>
      <c r="I361" s="96">
        <v>16.631999999999998</v>
      </c>
      <c r="J361" s="93" t="s">
        <v>31</v>
      </c>
      <c r="K361" s="97"/>
      <c r="L361" s="93" t="str">
        <f t="shared" si="1"/>
        <v/>
      </c>
      <c r="M361" s="98">
        <f t="shared" si="2"/>
        <v>0</v>
      </c>
      <c r="N361" s="77"/>
      <c r="O361" s="90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</row>
    <row r="362" ht="18.0" customHeight="1">
      <c r="A362" s="81"/>
      <c r="B362" s="91" t="str">
        <f>"35055"</f>
        <v>35055</v>
      </c>
      <c r="C362" s="91" t="str">
        <f>"693102350557"</f>
        <v>693102350557</v>
      </c>
      <c r="D362" s="92" t="s">
        <v>369</v>
      </c>
      <c r="E362" s="93" t="s">
        <v>248</v>
      </c>
      <c r="F362" s="94">
        <v>35.0</v>
      </c>
      <c r="G362" s="94">
        <v>17.5</v>
      </c>
      <c r="H362" s="95">
        <v>0.604</v>
      </c>
      <c r="I362" s="96">
        <v>16.631999999999998</v>
      </c>
      <c r="J362" s="93" t="s">
        <v>31</v>
      </c>
      <c r="K362" s="97"/>
      <c r="L362" s="93" t="str">
        <f t="shared" si="1"/>
        <v/>
      </c>
      <c r="M362" s="98">
        <f t="shared" si="2"/>
        <v>0</v>
      </c>
      <c r="N362" s="77"/>
      <c r="O362" s="90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</row>
    <row r="363" ht="18.0" customHeight="1">
      <c r="A363" s="81"/>
      <c r="B363" s="91" t="str">
        <f>"47-10-12"</f>
        <v>47-10-12</v>
      </c>
      <c r="C363" s="91" t="str">
        <f>"693102710122"</f>
        <v>693102710122</v>
      </c>
      <c r="D363" s="92" t="s">
        <v>370</v>
      </c>
      <c r="E363" s="93" t="s">
        <v>252</v>
      </c>
      <c r="F363" s="94">
        <v>27.0</v>
      </c>
      <c r="G363" s="94">
        <v>13.5</v>
      </c>
      <c r="H363" s="95">
        <v>0.604</v>
      </c>
      <c r="I363" s="96">
        <v>12.8304</v>
      </c>
      <c r="J363" s="93" t="s">
        <v>31</v>
      </c>
      <c r="K363" s="97"/>
      <c r="L363" s="93" t="str">
        <f t="shared" si="1"/>
        <v/>
      </c>
      <c r="M363" s="98">
        <f t="shared" si="2"/>
        <v>0</v>
      </c>
      <c r="N363" s="77"/>
      <c r="O363" s="90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</row>
    <row r="364" ht="18.0" customHeight="1">
      <c r="A364" s="81"/>
      <c r="B364" s="91" t="str">
        <f>"53-00-06"</f>
        <v>53-00-06</v>
      </c>
      <c r="C364" s="91" t="str">
        <f>"693102300064"</f>
        <v>693102300064</v>
      </c>
      <c r="D364" s="92" t="s">
        <v>371</v>
      </c>
      <c r="E364" s="93" t="s">
        <v>252</v>
      </c>
      <c r="F364" s="94">
        <v>27.0</v>
      </c>
      <c r="G364" s="94">
        <v>13.5</v>
      </c>
      <c r="H364" s="95">
        <v>0.604</v>
      </c>
      <c r="I364" s="96">
        <v>12.8304</v>
      </c>
      <c r="J364" s="93" t="s">
        <v>31</v>
      </c>
      <c r="K364" s="97"/>
      <c r="L364" s="93" t="str">
        <f t="shared" si="1"/>
        <v/>
      </c>
      <c r="M364" s="98">
        <f t="shared" si="2"/>
        <v>0</v>
      </c>
      <c r="N364" s="77"/>
      <c r="O364" s="90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</row>
    <row r="365" ht="18.0" customHeight="1">
      <c r="A365" s="81"/>
      <c r="B365" s="91" t="str">
        <f>"53-00-04"</f>
        <v>53-00-04</v>
      </c>
      <c r="C365" s="91" t="str">
        <f>"693102317048"</f>
        <v>693102317048</v>
      </c>
      <c r="D365" s="92" t="s">
        <v>372</v>
      </c>
      <c r="E365" s="93" t="s">
        <v>252</v>
      </c>
      <c r="F365" s="94">
        <v>27.0</v>
      </c>
      <c r="G365" s="94">
        <v>13.5</v>
      </c>
      <c r="H365" s="95">
        <v>0.604</v>
      </c>
      <c r="I365" s="96">
        <v>12.8304</v>
      </c>
      <c r="J365" s="93" t="s">
        <v>31</v>
      </c>
      <c r="K365" s="97"/>
      <c r="L365" s="93" t="str">
        <f t="shared" si="1"/>
        <v/>
      </c>
      <c r="M365" s="98">
        <f t="shared" si="2"/>
        <v>0</v>
      </c>
      <c r="N365" s="77"/>
      <c r="O365" s="90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</row>
    <row r="366" ht="18.0" customHeight="1">
      <c r="A366" s="81"/>
      <c r="B366" s="91" t="str">
        <f>"31706"</f>
        <v>31706</v>
      </c>
      <c r="C366" s="91" t="str">
        <f>"693102317062"</f>
        <v>693102317062</v>
      </c>
      <c r="D366" s="92" t="s">
        <v>373</v>
      </c>
      <c r="E366" s="93" t="s">
        <v>252</v>
      </c>
      <c r="F366" s="94">
        <v>27.0</v>
      </c>
      <c r="G366" s="94">
        <v>13.5</v>
      </c>
      <c r="H366" s="95">
        <v>0.604</v>
      </c>
      <c r="I366" s="96">
        <v>12.8304</v>
      </c>
      <c r="J366" s="93" t="s">
        <v>31</v>
      </c>
      <c r="K366" s="97"/>
      <c r="L366" s="93" t="str">
        <f t="shared" si="1"/>
        <v/>
      </c>
      <c r="M366" s="98">
        <f t="shared" si="2"/>
        <v>0</v>
      </c>
      <c r="N366" s="77"/>
      <c r="O366" s="90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</row>
    <row r="367" ht="18.0" customHeight="1">
      <c r="A367" s="81"/>
      <c r="B367" s="91" t="str">
        <f>"35012"</f>
        <v>35012</v>
      </c>
      <c r="C367" s="91" t="str">
        <f>"693102350120"</f>
        <v>693102350120</v>
      </c>
      <c r="D367" s="92" t="s">
        <v>374</v>
      </c>
      <c r="E367" s="93" t="s">
        <v>375</v>
      </c>
      <c r="F367" s="94">
        <v>22.0</v>
      </c>
      <c r="G367" s="94">
        <v>11.0</v>
      </c>
      <c r="H367" s="95">
        <v>0.604</v>
      </c>
      <c r="I367" s="96">
        <v>10.4544</v>
      </c>
      <c r="J367" s="93" t="s">
        <v>31</v>
      </c>
      <c r="K367" s="97"/>
      <c r="L367" s="93" t="str">
        <f t="shared" si="1"/>
        <v/>
      </c>
      <c r="M367" s="98">
        <f t="shared" si="2"/>
        <v>0</v>
      </c>
      <c r="N367" s="77"/>
      <c r="O367" s="90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</row>
    <row r="368" ht="18.0" customHeight="1">
      <c r="A368" s="81"/>
      <c r="B368" s="91" t="str">
        <f>"35006"</f>
        <v>35006</v>
      </c>
      <c r="C368" s="91" t="str">
        <f>"693102350069"</f>
        <v>693102350069</v>
      </c>
      <c r="D368" s="92" t="s">
        <v>376</v>
      </c>
      <c r="E368" s="93" t="s">
        <v>375</v>
      </c>
      <c r="F368" s="94">
        <v>22.0</v>
      </c>
      <c r="G368" s="94">
        <v>11.0</v>
      </c>
      <c r="H368" s="95">
        <v>0.604</v>
      </c>
      <c r="I368" s="96">
        <v>10.4544</v>
      </c>
      <c r="J368" s="93" t="s">
        <v>31</v>
      </c>
      <c r="K368" s="97"/>
      <c r="L368" s="93" t="str">
        <f t="shared" si="1"/>
        <v/>
      </c>
      <c r="M368" s="98">
        <f t="shared" si="2"/>
        <v>0</v>
      </c>
      <c r="N368" s="77"/>
      <c r="O368" s="90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</row>
    <row r="369" ht="18.0" customHeight="1">
      <c r="A369" s="81"/>
      <c r="B369" s="91" t="str">
        <f>"35063"</f>
        <v>35063</v>
      </c>
      <c r="C369" s="91" t="str">
        <f>"693102350632"</f>
        <v>693102350632</v>
      </c>
      <c r="D369" s="92" t="s">
        <v>377</v>
      </c>
      <c r="E369" s="93" t="s">
        <v>375</v>
      </c>
      <c r="F369" s="94">
        <v>22.0</v>
      </c>
      <c r="G369" s="94">
        <v>11.0</v>
      </c>
      <c r="H369" s="95">
        <v>0.604</v>
      </c>
      <c r="I369" s="96">
        <v>10.4544</v>
      </c>
      <c r="J369" s="93" t="s">
        <v>31</v>
      </c>
      <c r="K369" s="97"/>
      <c r="L369" s="93" t="str">
        <f t="shared" si="1"/>
        <v/>
      </c>
      <c r="M369" s="98">
        <f t="shared" si="2"/>
        <v>0</v>
      </c>
      <c r="N369" s="77"/>
      <c r="O369" s="90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</row>
    <row r="370" ht="18.0" customHeight="1">
      <c r="A370" s="81"/>
      <c r="B370" s="91" t="str">
        <f>"51020"</f>
        <v>51020</v>
      </c>
      <c r="C370" s="91" t="str">
        <f>"693102510203"</f>
        <v>693102510203</v>
      </c>
      <c r="D370" s="92" t="s">
        <v>378</v>
      </c>
      <c r="E370" s="93" t="s">
        <v>375</v>
      </c>
      <c r="F370" s="94">
        <v>22.0</v>
      </c>
      <c r="G370" s="94">
        <v>11.0</v>
      </c>
      <c r="H370" s="95">
        <v>0.604</v>
      </c>
      <c r="I370" s="96">
        <v>10.4544</v>
      </c>
      <c r="J370" s="93" t="s">
        <v>31</v>
      </c>
      <c r="K370" s="97"/>
      <c r="L370" s="93" t="str">
        <f t="shared" si="1"/>
        <v/>
      </c>
      <c r="M370" s="98">
        <f t="shared" si="2"/>
        <v>0</v>
      </c>
      <c r="N370" s="77"/>
      <c r="O370" s="90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</row>
    <row r="371" ht="18.0" customHeight="1">
      <c r="A371" s="81"/>
      <c r="B371" s="91" t="str">
        <f>"35069"</f>
        <v>35069</v>
      </c>
      <c r="C371" s="91" t="str">
        <f>"693102350694"</f>
        <v>693102350694</v>
      </c>
      <c r="D371" s="92" t="s">
        <v>379</v>
      </c>
      <c r="E371" s="93" t="s">
        <v>375</v>
      </c>
      <c r="F371" s="94">
        <v>22.0</v>
      </c>
      <c r="G371" s="94">
        <v>11.0</v>
      </c>
      <c r="H371" s="95">
        <v>0.604</v>
      </c>
      <c r="I371" s="96">
        <v>10.4544</v>
      </c>
      <c r="J371" s="93" t="s">
        <v>31</v>
      </c>
      <c r="K371" s="97"/>
      <c r="L371" s="93" t="str">
        <f t="shared" si="1"/>
        <v/>
      </c>
      <c r="M371" s="98">
        <f t="shared" si="2"/>
        <v>0</v>
      </c>
      <c r="N371" s="77"/>
      <c r="O371" s="90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</row>
    <row r="372" ht="18.0" customHeight="1">
      <c r="A372" s="81"/>
      <c r="B372" s="91" t="str">
        <f>"35008"</f>
        <v>35008</v>
      </c>
      <c r="C372" s="91" t="str">
        <f>"693102350083"</f>
        <v>693102350083</v>
      </c>
      <c r="D372" s="92" t="s">
        <v>380</v>
      </c>
      <c r="E372" s="93" t="s">
        <v>375</v>
      </c>
      <c r="F372" s="94">
        <v>22.0</v>
      </c>
      <c r="G372" s="94">
        <v>11.0</v>
      </c>
      <c r="H372" s="95">
        <v>0.604</v>
      </c>
      <c r="I372" s="96">
        <v>10.4544</v>
      </c>
      <c r="J372" s="93" t="s">
        <v>31</v>
      </c>
      <c r="K372" s="97"/>
      <c r="L372" s="93" t="str">
        <f t="shared" si="1"/>
        <v/>
      </c>
      <c r="M372" s="98">
        <f t="shared" si="2"/>
        <v>0</v>
      </c>
      <c r="N372" s="77"/>
      <c r="O372" s="90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</row>
    <row r="373" ht="18.0" customHeight="1">
      <c r="A373" s="81"/>
      <c r="B373" s="91" t="str">
        <f>"35004"</f>
        <v>35004</v>
      </c>
      <c r="C373" s="91" t="str">
        <f>"693102350045"</f>
        <v>693102350045</v>
      </c>
      <c r="D373" s="92" t="s">
        <v>381</v>
      </c>
      <c r="E373" s="93" t="s">
        <v>375</v>
      </c>
      <c r="F373" s="94">
        <v>22.0</v>
      </c>
      <c r="G373" s="94">
        <v>11.0</v>
      </c>
      <c r="H373" s="95">
        <v>0.604</v>
      </c>
      <c r="I373" s="96">
        <v>10.4544</v>
      </c>
      <c r="J373" s="93" t="s">
        <v>31</v>
      </c>
      <c r="K373" s="97"/>
      <c r="L373" s="93" t="str">
        <f t="shared" si="1"/>
        <v/>
      </c>
      <c r="M373" s="98">
        <f t="shared" si="2"/>
        <v>0</v>
      </c>
      <c r="N373" s="77"/>
      <c r="O373" s="90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</row>
    <row r="374" ht="18.0" customHeight="1">
      <c r="A374" s="81"/>
      <c r="B374" s="91" t="str">
        <f>"35093"</f>
        <v>35093</v>
      </c>
      <c r="C374" s="91" t="str">
        <f>"693102350939"</f>
        <v>693102350939</v>
      </c>
      <c r="D374" s="92" t="s">
        <v>382</v>
      </c>
      <c r="E374" s="93" t="s">
        <v>375</v>
      </c>
      <c r="F374" s="94">
        <v>22.0</v>
      </c>
      <c r="G374" s="94">
        <v>11.0</v>
      </c>
      <c r="H374" s="95">
        <v>0.604</v>
      </c>
      <c r="I374" s="96">
        <v>10.4544</v>
      </c>
      <c r="J374" s="93" t="s">
        <v>31</v>
      </c>
      <c r="K374" s="97"/>
      <c r="L374" s="93" t="str">
        <f t="shared" si="1"/>
        <v/>
      </c>
      <c r="M374" s="98">
        <f t="shared" si="2"/>
        <v>0</v>
      </c>
      <c r="N374" s="77"/>
      <c r="O374" s="90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</row>
    <row r="375" ht="18.0" customHeight="1">
      <c r="A375" s="81"/>
      <c r="B375" s="91" t="str">
        <f>"35013"</f>
        <v>35013</v>
      </c>
      <c r="C375" s="91" t="str">
        <f>"693102350137"</f>
        <v>693102350137</v>
      </c>
      <c r="D375" s="92" t="s">
        <v>383</v>
      </c>
      <c r="E375" s="93" t="s">
        <v>375</v>
      </c>
      <c r="F375" s="94">
        <v>22.0</v>
      </c>
      <c r="G375" s="94">
        <v>11.0</v>
      </c>
      <c r="H375" s="95">
        <v>0.604</v>
      </c>
      <c r="I375" s="96">
        <v>10.4544</v>
      </c>
      <c r="J375" s="93" t="s">
        <v>31</v>
      </c>
      <c r="K375" s="97"/>
      <c r="L375" s="93" t="str">
        <f t="shared" si="1"/>
        <v/>
      </c>
      <c r="M375" s="98">
        <f t="shared" si="2"/>
        <v>0</v>
      </c>
      <c r="N375" s="77"/>
      <c r="O375" s="90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</row>
    <row r="376" ht="18.0" customHeight="1">
      <c r="A376" s="81"/>
      <c r="B376" s="91" t="str">
        <f>"35075"</f>
        <v>35075</v>
      </c>
      <c r="C376" s="91" t="str">
        <f>"693102350755"</f>
        <v>693102350755</v>
      </c>
      <c r="D376" s="92" t="s">
        <v>384</v>
      </c>
      <c r="E376" s="93" t="s">
        <v>375</v>
      </c>
      <c r="F376" s="94">
        <v>22.0</v>
      </c>
      <c r="G376" s="94">
        <v>11.0</v>
      </c>
      <c r="H376" s="95">
        <v>0.604</v>
      </c>
      <c r="I376" s="96">
        <v>10.4544</v>
      </c>
      <c r="J376" s="93" t="s">
        <v>31</v>
      </c>
      <c r="K376" s="97"/>
      <c r="L376" s="93" t="str">
        <f t="shared" si="1"/>
        <v/>
      </c>
      <c r="M376" s="98">
        <f t="shared" si="2"/>
        <v>0</v>
      </c>
      <c r="N376" s="77"/>
      <c r="O376" s="90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</row>
    <row r="377" ht="18.0" customHeight="1">
      <c r="A377" s="81"/>
      <c r="B377" s="91" t="str">
        <f>"16088"</f>
        <v>16088</v>
      </c>
      <c r="C377" s="91" t="str">
        <f>"693102160880"</f>
        <v>693102160880</v>
      </c>
      <c r="D377" s="92" t="s">
        <v>385</v>
      </c>
      <c r="E377" s="93" t="s">
        <v>375</v>
      </c>
      <c r="F377" s="94">
        <v>16.0</v>
      </c>
      <c r="G377" s="94">
        <v>8.0</v>
      </c>
      <c r="H377" s="95">
        <v>0.604</v>
      </c>
      <c r="I377" s="96">
        <v>7.6032</v>
      </c>
      <c r="J377" s="93" t="s">
        <v>31</v>
      </c>
      <c r="K377" s="97"/>
      <c r="L377" s="93" t="str">
        <f t="shared" si="1"/>
        <v/>
      </c>
      <c r="M377" s="98">
        <f t="shared" si="2"/>
        <v>0</v>
      </c>
      <c r="N377" s="77"/>
      <c r="O377" s="90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</row>
    <row r="378" ht="18.0" customHeight="1">
      <c r="A378" s="81"/>
      <c r="B378" s="91" t="str">
        <f>"16027"</f>
        <v>16027</v>
      </c>
      <c r="C378" s="91" t="str">
        <f>"693102160279"</f>
        <v>693102160279</v>
      </c>
      <c r="D378" s="92" t="s">
        <v>386</v>
      </c>
      <c r="E378" s="93" t="s">
        <v>375</v>
      </c>
      <c r="F378" s="94">
        <v>16.0</v>
      </c>
      <c r="G378" s="94">
        <v>8.0</v>
      </c>
      <c r="H378" s="95">
        <v>0.604</v>
      </c>
      <c r="I378" s="96">
        <v>7.6032</v>
      </c>
      <c r="J378" s="93" t="s">
        <v>31</v>
      </c>
      <c r="K378" s="97"/>
      <c r="L378" s="93" t="str">
        <f t="shared" si="1"/>
        <v/>
      </c>
      <c r="M378" s="98">
        <f t="shared" si="2"/>
        <v>0</v>
      </c>
      <c r="N378" s="77"/>
      <c r="O378" s="90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</row>
    <row r="379" ht="18.0" customHeight="1">
      <c r="A379" s="81"/>
      <c r="B379" s="91" t="str">
        <f>"16028"</f>
        <v>16028</v>
      </c>
      <c r="C379" s="91" t="str">
        <f>"693102160286"</f>
        <v>693102160286</v>
      </c>
      <c r="D379" s="92" t="s">
        <v>387</v>
      </c>
      <c r="E379" s="93" t="s">
        <v>375</v>
      </c>
      <c r="F379" s="94">
        <v>16.0</v>
      </c>
      <c r="G379" s="94">
        <v>8.0</v>
      </c>
      <c r="H379" s="95">
        <v>0.604</v>
      </c>
      <c r="I379" s="96">
        <v>7.6032</v>
      </c>
      <c r="J379" s="93" t="s">
        <v>31</v>
      </c>
      <c r="K379" s="97"/>
      <c r="L379" s="93" t="str">
        <f t="shared" si="1"/>
        <v/>
      </c>
      <c r="M379" s="98">
        <f t="shared" si="2"/>
        <v>0</v>
      </c>
      <c r="N379" s="77"/>
      <c r="O379" s="90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</row>
    <row r="380" ht="18.0" customHeight="1">
      <c r="A380" s="81"/>
      <c r="B380" s="91" t="str">
        <f>"47-10-21"</f>
        <v>47-10-21</v>
      </c>
      <c r="C380" s="91" t="str">
        <f>"693102710214"</f>
        <v>693102710214</v>
      </c>
      <c r="D380" s="92" t="s">
        <v>388</v>
      </c>
      <c r="E380" s="93" t="s">
        <v>248</v>
      </c>
      <c r="F380" s="94">
        <v>35.0</v>
      </c>
      <c r="G380" s="94">
        <v>17.5</v>
      </c>
      <c r="H380" s="95">
        <v>0.604</v>
      </c>
      <c r="I380" s="96">
        <v>16.631999999999998</v>
      </c>
      <c r="J380" s="93" t="s">
        <v>31</v>
      </c>
      <c r="K380" s="97"/>
      <c r="L380" s="93" t="str">
        <f t="shared" si="1"/>
        <v/>
      </c>
      <c r="M380" s="98">
        <f t="shared" si="2"/>
        <v>0</v>
      </c>
      <c r="N380" s="77"/>
      <c r="O380" s="90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</row>
    <row r="381" ht="18.0" customHeight="1">
      <c r="A381" s="81"/>
      <c r="B381" s="91" t="str">
        <f>"47-10-23"</f>
        <v>47-10-23</v>
      </c>
      <c r="C381" s="91" t="str">
        <f>"693102710238"</f>
        <v>693102710238</v>
      </c>
      <c r="D381" s="92" t="s">
        <v>389</v>
      </c>
      <c r="E381" s="93" t="s">
        <v>248</v>
      </c>
      <c r="F381" s="94">
        <v>35.0</v>
      </c>
      <c r="G381" s="94">
        <v>17.5</v>
      </c>
      <c r="H381" s="95">
        <v>0.604</v>
      </c>
      <c r="I381" s="96">
        <v>16.631999999999998</v>
      </c>
      <c r="J381" s="93" t="s">
        <v>31</v>
      </c>
      <c r="K381" s="97"/>
      <c r="L381" s="93" t="str">
        <f t="shared" si="1"/>
        <v/>
      </c>
      <c r="M381" s="98">
        <f t="shared" si="2"/>
        <v>0</v>
      </c>
      <c r="N381" s="77"/>
      <c r="O381" s="90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</row>
    <row r="382" ht="18.0" customHeight="1">
      <c r="A382" s="81"/>
      <c r="B382" s="91" t="str">
        <f>"16083"</f>
        <v>16083</v>
      </c>
      <c r="C382" s="91" t="str">
        <f>"693102160835"</f>
        <v>693102160835</v>
      </c>
      <c r="D382" s="92" t="s">
        <v>390</v>
      </c>
      <c r="E382" s="93" t="s">
        <v>248</v>
      </c>
      <c r="F382" s="94">
        <v>35.0</v>
      </c>
      <c r="G382" s="94">
        <v>17.5</v>
      </c>
      <c r="H382" s="95">
        <v>0.604</v>
      </c>
      <c r="I382" s="96">
        <v>16.631999999999998</v>
      </c>
      <c r="J382" s="93" t="s">
        <v>31</v>
      </c>
      <c r="K382" s="97"/>
      <c r="L382" s="93" t="str">
        <f t="shared" si="1"/>
        <v/>
      </c>
      <c r="M382" s="98">
        <f t="shared" si="2"/>
        <v>0</v>
      </c>
      <c r="N382" s="77"/>
      <c r="O382" s="90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</row>
    <row r="383" ht="18.0" customHeight="1">
      <c r="A383" s="81"/>
      <c r="B383" s="91" t="str">
        <f>"35021"</f>
        <v>35021</v>
      </c>
      <c r="C383" s="91" t="str">
        <f>"693102350212"</f>
        <v>693102350212</v>
      </c>
      <c r="D383" s="92" t="s">
        <v>391</v>
      </c>
      <c r="E383" s="93" t="s">
        <v>248</v>
      </c>
      <c r="F383" s="94">
        <v>35.0</v>
      </c>
      <c r="G383" s="94">
        <v>17.5</v>
      </c>
      <c r="H383" s="95">
        <v>0.604</v>
      </c>
      <c r="I383" s="96">
        <v>16.631999999999998</v>
      </c>
      <c r="J383" s="93" t="s">
        <v>31</v>
      </c>
      <c r="K383" s="97"/>
      <c r="L383" s="93" t="str">
        <f t="shared" si="1"/>
        <v/>
      </c>
      <c r="M383" s="98">
        <f t="shared" si="2"/>
        <v>0</v>
      </c>
      <c r="N383" s="77"/>
      <c r="O383" s="90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</row>
    <row r="384" ht="18.0" customHeight="1">
      <c r="A384" s="81"/>
      <c r="B384" s="91" t="str">
        <f>"16029"</f>
        <v>16029</v>
      </c>
      <c r="C384" s="91" t="str">
        <f>"693102160293"</f>
        <v>693102160293</v>
      </c>
      <c r="D384" s="92" t="s">
        <v>392</v>
      </c>
      <c r="E384" s="93" t="s">
        <v>248</v>
      </c>
      <c r="F384" s="94">
        <v>35.0</v>
      </c>
      <c r="G384" s="94">
        <v>17.5</v>
      </c>
      <c r="H384" s="95">
        <v>0.604</v>
      </c>
      <c r="I384" s="96">
        <v>16.631999999999998</v>
      </c>
      <c r="J384" s="93" t="s">
        <v>31</v>
      </c>
      <c r="K384" s="97"/>
      <c r="L384" s="93" t="str">
        <f t="shared" si="1"/>
        <v/>
      </c>
      <c r="M384" s="98">
        <f t="shared" si="2"/>
        <v>0</v>
      </c>
      <c r="N384" s="77"/>
      <c r="O384" s="90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</row>
    <row r="385" ht="18.0" customHeight="1">
      <c r="A385" s="81"/>
      <c r="B385" s="91" t="str">
        <f>"35-10-08"</f>
        <v>35-10-08</v>
      </c>
      <c r="C385" s="91" t="str">
        <f>"693102510081"</f>
        <v>693102510081</v>
      </c>
      <c r="D385" s="92" t="s">
        <v>393</v>
      </c>
      <c r="E385" s="93" t="s">
        <v>248</v>
      </c>
      <c r="F385" s="94">
        <v>35.0</v>
      </c>
      <c r="G385" s="94">
        <v>17.5</v>
      </c>
      <c r="H385" s="95">
        <v>0.604</v>
      </c>
      <c r="I385" s="96">
        <v>16.631999999999998</v>
      </c>
      <c r="J385" s="93" t="s">
        <v>31</v>
      </c>
      <c r="K385" s="97"/>
      <c r="L385" s="93" t="str">
        <f t="shared" si="1"/>
        <v/>
      </c>
      <c r="M385" s="98">
        <f t="shared" si="2"/>
        <v>0</v>
      </c>
      <c r="N385" s="77"/>
      <c r="O385" s="90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</row>
    <row r="386" ht="18.0" customHeight="1">
      <c r="A386" s="81"/>
      <c r="B386" s="91" t="str">
        <f>"36-03-01"</f>
        <v>36-03-01</v>
      </c>
      <c r="C386" s="91" t="str">
        <f>"693102603011"</f>
        <v>693102603011</v>
      </c>
      <c r="D386" s="92" t="s">
        <v>394</v>
      </c>
      <c r="E386" s="93" t="s">
        <v>248</v>
      </c>
      <c r="F386" s="94">
        <v>40.0</v>
      </c>
      <c r="G386" s="94">
        <v>20.0</v>
      </c>
      <c r="H386" s="95">
        <v>0.604</v>
      </c>
      <c r="I386" s="96">
        <v>19.008</v>
      </c>
      <c r="J386" s="93" t="s">
        <v>31</v>
      </c>
      <c r="K386" s="97"/>
      <c r="L386" s="93" t="str">
        <f t="shared" si="1"/>
        <v/>
      </c>
      <c r="M386" s="98">
        <f t="shared" si="2"/>
        <v>0</v>
      </c>
      <c r="N386" s="77"/>
      <c r="O386" s="90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</row>
    <row r="387" ht="18.0" customHeight="1">
      <c r="A387" s="81"/>
      <c r="B387" s="91" t="str">
        <f>"59-33-88"</f>
        <v>59-33-88</v>
      </c>
      <c r="C387" s="91" t="str">
        <f>"693102470002"</f>
        <v>693102470002</v>
      </c>
      <c r="D387" s="92" t="s">
        <v>395</v>
      </c>
      <c r="E387" s="93" t="s">
        <v>248</v>
      </c>
      <c r="F387" s="94">
        <v>35.0</v>
      </c>
      <c r="G387" s="94">
        <v>17.5</v>
      </c>
      <c r="H387" s="95">
        <v>0.604</v>
      </c>
      <c r="I387" s="96">
        <v>16.631999999999998</v>
      </c>
      <c r="J387" s="93" t="s">
        <v>31</v>
      </c>
      <c r="K387" s="97"/>
      <c r="L387" s="93" t="str">
        <f t="shared" si="1"/>
        <v/>
      </c>
      <c r="M387" s="98">
        <f t="shared" si="2"/>
        <v>0</v>
      </c>
      <c r="N387" s="77"/>
      <c r="O387" s="90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</row>
    <row r="388" ht="18.0" customHeight="1">
      <c r="A388" s="81"/>
      <c r="B388" s="91" t="str">
        <f>"37-13-04"</f>
        <v>37-13-04</v>
      </c>
      <c r="C388" s="91" t="str">
        <f>"693102713048"</f>
        <v>693102713048</v>
      </c>
      <c r="D388" s="92" t="s">
        <v>396</v>
      </c>
      <c r="E388" s="93" t="s">
        <v>248</v>
      </c>
      <c r="F388" s="94">
        <v>30.0</v>
      </c>
      <c r="G388" s="94">
        <v>15.0</v>
      </c>
      <c r="H388" s="95">
        <v>0.6039999999999999</v>
      </c>
      <c r="I388" s="96">
        <v>14.256</v>
      </c>
      <c r="J388" s="93" t="s">
        <v>31</v>
      </c>
      <c r="K388" s="97"/>
      <c r="L388" s="93" t="str">
        <f t="shared" si="1"/>
        <v/>
      </c>
      <c r="M388" s="98">
        <f t="shared" si="2"/>
        <v>0</v>
      </c>
      <c r="N388" s="77"/>
      <c r="O388" s="90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</row>
    <row r="389" ht="18.0" customHeight="1">
      <c r="A389" s="81"/>
      <c r="B389" s="91" t="str">
        <f>"47001"</f>
        <v>47001</v>
      </c>
      <c r="C389" s="91" t="str">
        <f>"693102470019"</f>
        <v>693102470019</v>
      </c>
      <c r="D389" s="92" t="s">
        <v>397</v>
      </c>
      <c r="E389" s="93" t="s">
        <v>248</v>
      </c>
      <c r="F389" s="94">
        <v>29.0</v>
      </c>
      <c r="G389" s="94">
        <v>14.5</v>
      </c>
      <c r="H389" s="95">
        <v>0.604</v>
      </c>
      <c r="I389" s="96">
        <v>13.7808</v>
      </c>
      <c r="J389" s="93" t="s">
        <v>31</v>
      </c>
      <c r="K389" s="97"/>
      <c r="L389" s="93" t="str">
        <f t="shared" si="1"/>
        <v/>
      </c>
      <c r="M389" s="98">
        <f t="shared" si="2"/>
        <v>0</v>
      </c>
      <c r="N389" s="77"/>
      <c r="O389" s="90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</row>
    <row r="390" ht="18.0" customHeight="1">
      <c r="A390" s="81"/>
      <c r="B390" s="91" t="str">
        <f>"47002"</f>
        <v>47002</v>
      </c>
      <c r="C390" s="91" t="str">
        <f>"693102470026"</f>
        <v>693102470026</v>
      </c>
      <c r="D390" s="92" t="s">
        <v>398</v>
      </c>
      <c r="E390" s="93" t="s">
        <v>248</v>
      </c>
      <c r="F390" s="94">
        <v>29.0</v>
      </c>
      <c r="G390" s="94">
        <v>14.5</v>
      </c>
      <c r="H390" s="95">
        <v>0.604</v>
      </c>
      <c r="I390" s="96">
        <v>13.7808</v>
      </c>
      <c r="J390" s="93" t="s">
        <v>31</v>
      </c>
      <c r="K390" s="97"/>
      <c r="L390" s="93" t="str">
        <f t="shared" si="1"/>
        <v/>
      </c>
      <c r="M390" s="98">
        <f t="shared" si="2"/>
        <v>0</v>
      </c>
      <c r="N390" s="77"/>
      <c r="O390" s="90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</row>
    <row r="391" ht="18.0" customHeight="1">
      <c r="A391" s="81"/>
      <c r="B391" s="91" t="str">
        <f>"47003"</f>
        <v>47003</v>
      </c>
      <c r="C391" s="91" t="str">
        <f>"693102470033"</f>
        <v>693102470033</v>
      </c>
      <c r="D391" s="92" t="s">
        <v>399</v>
      </c>
      <c r="E391" s="93" t="s">
        <v>248</v>
      </c>
      <c r="F391" s="94">
        <v>29.0</v>
      </c>
      <c r="G391" s="94">
        <v>14.5</v>
      </c>
      <c r="H391" s="95">
        <v>0.604</v>
      </c>
      <c r="I391" s="96">
        <v>13.7808</v>
      </c>
      <c r="J391" s="93" t="s">
        <v>31</v>
      </c>
      <c r="K391" s="97"/>
      <c r="L391" s="93" t="str">
        <f t="shared" si="1"/>
        <v/>
      </c>
      <c r="M391" s="98">
        <f t="shared" si="2"/>
        <v>0</v>
      </c>
      <c r="N391" s="77"/>
      <c r="O391" s="90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</row>
    <row r="392" ht="18.0" customHeight="1">
      <c r="A392" s="81"/>
      <c r="B392" s="91" t="str">
        <f>"47012"</f>
        <v>47012</v>
      </c>
      <c r="C392" s="91" t="str">
        <f>"693102470125"</f>
        <v>693102470125</v>
      </c>
      <c r="D392" s="92" t="s">
        <v>400</v>
      </c>
      <c r="E392" s="93" t="s">
        <v>375</v>
      </c>
      <c r="F392" s="94">
        <v>18.0</v>
      </c>
      <c r="G392" s="94">
        <v>9.0</v>
      </c>
      <c r="H392" s="95">
        <v>0.604</v>
      </c>
      <c r="I392" s="96">
        <v>8.5536</v>
      </c>
      <c r="J392" s="93" t="s">
        <v>31</v>
      </c>
      <c r="K392" s="97"/>
      <c r="L392" s="93" t="str">
        <f t="shared" si="1"/>
        <v/>
      </c>
      <c r="M392" s="98">
        <f t="shared" si="2"/>
        <v>0</v>
      </c>
      <c r="N392" s="77"/>
      <c r="O392" s="90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</row>
    <row r="393" ht="18.0" customHeight="1">
      <c r="A393" s="81"/>
      <c r="B393" s="91" t="str">
        <f>"47013"</f>
        <v>47013</v>
      </c>
      <c r="C393" s="91" t="str">
        <f>"693102470132"</f>
        <v>693102470132</v>
      </c>
      <c r="D393" s="92" t="s">
        <v>401</v>
      </c>
      <c r="E393" s="93" t="s">
        <v>375</v>
      </c>
      <c r="F393" s="94">
        <v>18.0</v>
      </c>
      <c r="G393" s="94">
        <v>9.0</v>
      </c>
      <c r="H393" s="95">
        <v>0.604</v>
      </c>
      <c r="I393" s="96">
        <v>8.5536</v>
      </c>
      <c r="J393" s="93" t="s">
        <v>31</v>
      </c>
      <c r="K393" s="97"/>
      <c r="L393" s="93" t="str">
        <f t="shared" si="1"/>
        <v/>
      </c>
      <c r="M393" s="98">
        <f t="shared" si="2"/>
        <v>0</v>
      </c>
      <c r="N393" s="77"/>
      <c r="O393" s="90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</row>
    <row r="394" ht="18.0" customHeight="1">
      <c r="A394" s="81"/>
      <c r="B394" s="91" t="str">
        <f>"47014"</f>
        <v>47014</v>
      </c>
      <c r="C394" s="91" t="str">
        <f>"693102470149"</f>
        <v>693102470149</v>
      </c>
      <c r="D394" s="92" t="s">
        <v>402</v>
      </c>
      <c r="E394" s="93" t="s">
        <v>375</v>
      </c>
      <c r="F394" s="94">
        <v>18.0</v>
      </c>
      <c r="G394" s="94">
        <v>9.0</v>
      </c>
      <c r="H394" s="95">
        <v>0.604</v>
      </c>
      <c r="I394" s="96">
        <v>8.5536</v>
      </c>
      <c r="J394" s="93" t="s">
        <v>31</v>
      </c>
      <c r="K394" s="97"/>
      <c r="L394" s="93" t="str">
        <f t="shared" si="1"/>
        <v/>
      </c>
      <c r="M394" s="98">
        <f t="shared" si="2"/>
        <v>0</v>
      </c>
      <c r="N394" s="77"/>
      <c r="O394" s="90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</row>
    <row r="395" ht="18.0" customHeight="1">
      <c r="A395" s="81"/>
      <c r="B395" s="91" t="str">
        <f>"47016"</f>
        <v>47016</v>
      </c>
      <c r="C395" s="91" t="str">
        <f>"693102470163"</f>
        <v>693102470163</v>
      </c>
      <c r="D395" s="92" t="s">
        <v>403</v>
      </c>
      <c r="E395" s="93" t="s">
        <v>375</v>
      </c>
      <c r="F395" s="94">
        <v>18.0</v>
      </c>
      <c r="G395" s="94">
        <v>9.0</v>
      </c>
      <c r="H395" s="95">
        <v>0.604</v>
      </c>
      <c r="I395" s="96">
        <v>8.5536</v>
      </c>
      <c r="J395" s="93" t="s">
        <v>31</v>
      </c>
      <c r="K395" s="97"/>
      <c r="L395" s="93" t="str">
        <f t="shared" si="1"/>
        <v/>
      </c>
      <c r="M395" s="98">
        <f t="shared" si="2"/>
        <v>0</v>
      </c>
      <c r="N395" s="77"/>
      <c r="O395" s="90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</row>
    <row r="396" ht="18.0" customHeight="1">
      <c r="A396" s="81"/>
      <c r="B396" s="91" t="str">
        <f>"47015"</f>
        <v>47015</v>
      </c>
      <c r="C396" s="91" t="str">
        <f>"693102470156"</f>
        <v>693102470156</v>
      </c>
      <c r="D396" s="92" t="s">
        <v>404</v>
      </c>
      <c r="E396" s="93" t="s">
        <v>405</v>
      </c>
      <c r="F396" s="94">
        <v>35.0</v>
      </c>
      <c r="G396" s="94">
        <v>17.5</v>
      </c>
      <c r="H396" s="95">
        <v>0.604</v>
      </c>
      <c r="I396" s="96">
        <v>16.631999999999998</v>
      </c>
      <c r="J396" s="93" t="s">
        <v>31</v>
      </c>
      <c r="K396" s="97"/>
      <c r="L396" s="93" t="str">
        <f t="shared" si="1"/>
        <v/>
      </c>
      <c r="M396" s="98">
        <f t="shared" si="2"/>
        <v>0</v>
      </c>
      <c r="N396" s="77"/>
      <c r="O396" s="90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</row>
    <row r="397" ht="18.0" customHeight="1">
      <c r="A397" s="81"/>
      <c r="B397" s="91" t="str">
        <f>"47017"</f>
        <v>47017</v>
      </c>
      <c r="C397" s="91" t="str">
        <f>"693102470170"</f>
        <v>693102470170</v>
      </c>
      <c r="D397" s="92" t="s">
        <v>406</v>
      </c>
      <c r="E397" s="93" t="s">
        <v>82</v>
      </c>
      <c r="F397" s="94">
        <v>29.0</v>
      </c>
      <c r="G397" s="94">
        <v>14.5</v>
      </c>
      <c r="H397" s="95">
        <v>0.604</v>
      </c>
      <c r="I397" s="96">
        <v>13.7808</v>
      </c>
      <c r="J397" s="93" t="s">
        <v>31</v>
      </c>
      <c r="K397" s="97"/>
      <c r="L397" s="93" t="str">
        <f t="shared" si="1"/>
        <v/>
      </c>
      <c r="M397" s="98">
        <f t="shared" si="2"/>
        <v>0</v>
      </c>
      <c r="N397" s="77"/>
      <c r="O397" s="90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</row>
    <row r="398" ht="18.0" customHeight="1">
      <c r="A398" s="81"/>
      <c r="B398" s="91" t="str">
        <f>"47008"</f>
        <v>47008</v>
      </c>
      <c r="C398" s="91" t="str">
        <f>"693102470088"</f>
        <v>693102470088</v>
      </c>
      <c r="D398" s="92" t="s">
        <v>407</v>
      </c>
      <c r="E398" s="93" t="s">
        <v>82</v>
      </c>
      <c r="F398" s="94">
        <v>29.0</v>
      </c>
      <c r="G398" s="94">
        <v>14.5</v>
      </c>
      <c r="H398" s="95">
        <v>0.604</v>
      </c>
      <c r="I398" s="96">
        <v>13.780800000000005</v>
      </c>
      <c r="J398" s="93" t="s">
        <v>31</v>
      </c>
      <c r="K398" s="97"/>
      <c r="L398" s="93" t="str">
        <f t="shared" si="1"/>
        <v/>
      </c>
      <c r="M398" s="98">
        <f t="shared" si="2"/>
        <v>0</v>
      </c>
      <c r="N398" s="77"/>
      <c r="O398" s="90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</row>
    <row r="399" ht="18.0" customHeight="1">
      <c r="A399" s="81"/>
      <c r="B399" s="91" t="str">
        <f>"47009"</f>
        <v>47009</v>
      </c>
      <c r="C399" s="91" t="str">
        <f>"693102470095"</f>
        <v>693102470095</v>
      </c>
      <c r="D399" s="92" t="s">
        <v>408</v>
      </c>
      <c r="E399" s="93" t="s">
        <v>82</v>
      </c>
      <c r="F399" s="94">
        <v>29.0</v>
      </c>
      <c r="G399" s="94">
        <v>14.5</v>
      </c>
      <c r="H399" s="95">
        <v>0.604</v>
      </c>
      <c r="I399" s="96">
        <v>13.780800000000005</v>
      </c>
      <c r="J399" s="93" t="s">
        <v>31</v>
      </c>
      <c r="K399" s="97"/>
      <c r="L399" s="93" t="str">
        <f t="shared" si="1"/>
        <v/>
      </c>
      <c r="M399" s="98">
        <f t="shared" si="2"/>
        <v>0</v>
      </c>
      <c r="N399" s="77"/>
      <c r="O399" s="90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</row>
    <row r="400" ht="18.0" customHeight="1">
      <c r="A400" s="81"/>
      <c r="B400" s="91" t="str">
        <f>"47010"</f>
        <v>47010</v>
      </c>
      <c r="C400" s="91" t="str">
        <f>"693102470101"</f>
        <v>693102470101</v>
      </c>
      <c r="D400" s="92" t="s">
        <v>409</v>
      </c>
      <c r="E400" s="93" t="s">
        <v>82</v>
      </c>
      <c r="F400" s="94">
        <v>29.0</v>
      </c>
      <c r="G400" s="94">
        <v>14.5</v>
      </c>
      <c r="H400" s="95">
        <v>0.604</v>
      </c>
      <c r="I400" s="96">
        <v>13.780800000000005</v>
      </c>
      <c r="J400" s="93" t="s">
        <v>31</v>
      </c>
      <c r="K400" s="97"/>
      <c r="L400" s="93" t="str">
        <f t="shared" si="1"/>
        <v/>
      </c>
      <c r="M400" s="98">
        <f t="shared" si="2"/>
        <v>0</v>
      </c>
      <c r="N400" s="77"/>
      <c r="O400" s="90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</row>
    <row r="401" ht="18.0" customHeight="1">
      <c r="A401" s="81"/>
      <c r="B401" s="91" t="str">
        <f>"35098"</f>
        <v>35098</v>
      </c>
      <c r="C401" s="91" t="str">
        <f>"693102350984"</f>
        <v>693102350984</v>
      </c>
      <c r="D401" s="92" t="s">
        <v>410</v>
      </c>
      <c r="E401" s="93" t="s">
        <v>411</v>
      </c>
      <c r="F401" s="94">
        <v>20.0</v>
      </c>
      <c r="G401" s="94">
        <v>10.0</v>
      </c>
      <c r="H401" s="95">
        <v>0.604</v>
      </c>
      <c r="I401" s="96">
        <v>9.504</v>
      </c>
      <c r="J401" s="93" t="s">
        <v>31</v>
      </c>
      <c r="K401" s="97"/>
      <c r="L401" s="93" t="str">
        <f t="shared" si="1"/>
        <v/>
      </c>
      <c r="M401" s="98">
        <f t="shared" si="2"/>
        <v>0</v>
      </c>
      <c r="N401" s="77"/>
      <c r="O401" s="90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</row>
    <row r="402" ht="18.0" customHeight="1">
      <c r="A402" s="81"/>
      <c r="B402" s="91" t="str">
        <f>"47018"</f>
        <v>47018</v>
      </c>
      <c r="C402" s="91" t="str">
        <f>"693102470187"</f>
        <v>693102470187</v>
      </c>
      <c r="D402" s="92" t="s">
        <v>412</v>
      </c>
      <c r="E402" s="93" t="s">
        <v>82</v>
      </c>
      <c r="F402" s="94">
        <v>29.0</v>
      </c>
      <c r="G402" s="94">
        <v>14.5</v>
      </c>
      <c r="H402" s="95">
        <v>0.604</v>
      </c>
      <c r="I402" s="96">
        <v>13.7808</v>
      </c>
      <c r="J402" s="93" t="s">
        <v>31</v>
      </c>
      <c r="K402" s="97"/>
      <c r="L402" s="93" t="str">
        <f t="shared" si="1"/>
        <v/>
      </c>
      <c r="M402" s="98">
        <f t="shared" si="2"/>
        <v>0</v>
      </c>
      <c r="N402" s="77"/>
      <c r="O402" s="90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</row>
    <row r="403" ht="18.0" customHeight="1">
      <c r="A403" s="81"/>
      <c r="B403" s="91" t="str">
        <f>"47011"</f>
        <v>47011</v>
      </c>
      <c r="C403" s="91" t="str">
        <f>"693102470118"</f>
        <v>693102470118</v>
      </c>
      <c r="D403" s="92" t="s">
        <v>413</v>
      </c>
      <c r="E403" s="93" t="s">
        <v>414</v>
      </c>
      <c r="F403" s="94">
        <v>79.0</v>
      </c>
      <c r="G403" s="94">
        <v>39.5</v>
      </c>
      <c r="H403" s="95">
        <v>0.6039999999999999</v>
      </c>
      <c r="I403" s="96">
        <v>37.540800000000004</v>
      </c>
      <c r="J403" s="93" t="s">
        <v>31</v>
      </c>
      <c r="K403" s="97"/>
      <c r="L403" s="93" t="str">
        <f t="shared" si="1"/>
        <v/>
      </c>
      <c r="M403" s="98">
        <f t="shared" si="2"/>
        <v>0</v>
      </c>
      <c r="N403" s="77"/>
      <c r="O403" s="90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</row>
    <row r="404" ht="18.0" customHeight="1">
      <c r="A404" s="81"/>
      <c r="B404" s="91" t="str">
        <f>"47004"</f>
        <v>47004</v>
      </c>
      <c r="C404" s="91" t="str">
        <f>"693102470040"</f>
        <v>693102470040</v>
      </c>
      <c r="D404" s="92" t="s">
        <v>415</v>
      </c>
      <c r="E404" s="93" t="s">
        <v>95</v>
      </c>
      <c r="F404" s="94">
        <v>35.0</v>
      </c>
      <c r="G404" s="94">
        <v>17.5</v>
      </c>
      <c r="H404" s="95">
        <v>0.604</v>
      </c>
      <c r="I404" s="96">
        <v>16.631999999999998</v>
      </c>
      <c r="J404" s="93" t="s">
        <v>31</v>
      </c>
      <c r="K404" s="97"/>
      <c r="L404" s="93" t="str">
        <f t="shared" si="1"/>
        <v/>
      </c>
      <c r="M404" s="98">
        <f t="shared" si="2"/>
        <v>0</v>
      </c>
      <c r="N404" s="77"/>
      <c r="O404" s="90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</row>
    <row r="405" ht="18.0" customHeight="1">
      <c r="A405" s="81"/>
      <c r="B405" s="91" t="str">
        <f>"47006"</f>
        <v>47006</v>
      </c>
      <c r="C405" s="91" t="str">
        <f>"693102470064"</f>
        <v>693102470064</v>
      </c>
      <c r="D405" s="92" t="s">
        <v>416</v>
      </c>
      <c r="E405" s="93" t="s">
        <v>95</v>
      </c>
      <c r="F405" s="94">
        <v>35.0</v>
      </c>
      <c r="G405" s="94">
        <v>17.5</v>
      </c>
      <c r="H405" s="95">
        <v>0.604</v>
      </c>
      <c r="I405" s="96">
        <v>16.631999999999998</v>
      </c>
      <c r="J405" s="93" t="s">
        <v>31</v>
      </c>
      <c r="K405" s="97"/>
      <c r="L405" s="93" t="str">
        <f t="shared" si="1"/>
        <v/>
      </c>
      <c r="M405" s="98">
        <f t="shared" si="2"/>
        <v>0</v>
      </c>
      <c r="N405" s="77"/>
      <c r="O405" s="90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</row>
    <row r="406" ht="18.0" customHeight="1">
      <c r="A406" s="81"/>
      <c r="B406" s="91" t="str">
        <f>"35064"</f>
        <v>35064</v>
      </c>
      <c r="C406" s="91" t="str">
        <f>"693102350649"</f>
        <v>693102350649</v>
      </c>
      <c r="D406" s="92" t="s">
        <v>417</v>
      </c>
      <c r="E406" s="93" t="s">
        <v>95</v>
      </c>
      <c r="F406" s="94">
        <v>36.0</v>
      </c>
      <c r="G406" s="94">
        <v>18.0</v>
      </c>
      <c r="H406" s="95">
        <v>0.604</v>
      </c>
      <c r="I406" s="96">
        <v>17.1072</v>
      </c>
      <c r="J406" s="93" t="s">
        <v>31</v>
      </c>
      <c r="K406" s="97"/>
      <c r="L406" s="93" t="str">
        <f t="shared" si="1"/>
        <v/>
      </c>
      <c r="M406" s="98">
        <f t="shared" si="2"/>
        <v>0</v>
      </c>
      <c r="N406" s="77"/>
      <c r="O406" s="90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</row>
    <row r="407" ht="18.0" customHeight="1">
      <c r="A407" s="81"/>
      <c r="B407" s="91" t="str">
        <f>"35101"</f>
        <v>35101</v>
      </c>
      <c r="C407" s="91" t="str">
        <f>"693102351011"</f>
        <v>693102351011</v>
      </c>
      <c r="D407" s="92" t="s">
        <v>418</v>
      </c>
      <c r="E407" s="93" t="s">
        <v>95</v>
      </c>
      <c r="F407" s="94">
        <v>49.0</v>
      </c>
      <c r="G407" s="94">
        <v>24.5</v>
      </c>
      <c r="H407" s="95">
        <v>0.604</v>
      </c>
      <c r="I407" s="96">
        <v>23.284800000000004</v>
      </c>
      <c r="J407" s="93" t="s">
        <v>31</v>
      </c>
      <c r="K407" s="97"/>
      <c r="L407" s="93" t="str">
        <f t="shared" si="1"/>
        <v/>
      </c>
      <c r="M407" s="98">
        <f t="shared" si="2"/>
        <v>0</v>
      </c>
      <c r="N407" s="77"/>
      <c r="O407" s="90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</row>
    <row r="408" ht="18.0" customHeight="1">
      <c r="A408" s="81"/>
      <c r="B408" s="91" t="str">
        <f>"35083"</f>
        <v>35083</v>
      </c>
      <c r="C408" s="91" t="str">
        <f>"693102350830"</f>
        <v>693102350830</v>
      </c>
      <c r="D408" s="92" t="s">
        <v>419</v>
      </c>
      <c r="E408" s="93" t="s">
        <v>95</v>
      </c>
      <c r="F408" s="94">
        <v>49.0</v>
      </c>
      <c r="G408" s="94">
        <v>24.5</v>
      </c>
      <c r="H408" s="95">
        <v>0.604</v>
      </c>
      <c r="I408" s="96">
        <v>23.284800000000004</v>
      </c>
      <c r="J408" s="93" t="s">
        <v>31</v>
      </c>
      <c r="K408" s="97"/>
      <c r="L408" s="93" t="str">
        <f t="shared" si="1"/>
        <v/>
      </c>
      <c r="M408" s="98">
        <f t="shared" si="2"/>
        <v>0</v>
      </c>
      <c r="N408" s="77"/>
      <c r="O408" s="90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</row>
    <row r="409" ht="18.0" customHeight="1">
      <c r="A409" s="81"/>
      <c r="B409" s="91" t="str">
        <f>"80028"</f>
        <v>80028</v>
      </c>
      <c r="C409" s="91" t="str">
        <f>"693102800281"</f>
        <v>693102800281</v>
      </c>
      <c r="D409" s="92" t="s">
        <v>420</v>
      </c>
      <c r="E409" s="93" t="s">
        <v>95</v>
      </c>
      <c r="F409" s="94">
        <v>25.0</v>
      </c>
      <c r="G409" s="94">
        <v>12.5</v>
      </c>
      <c r="H409" s="95">
        <v>0.604</v>
      </c>
      <c r="I409" s="96">
        <v>11.88</v>
      </c>
      <c r="J409" s="93" t="s">
        <v>31</v>
      </c>
      <c r="K409" s="97"/>
      <c r="L409" s="93" t="str">
        <f t="shared" si="1"/>
        <v/>
      </c>
      <c r="M409" s="98">
        <f t="shared" si="2"/>
        <v>0</v>
      </c>
      <c r="N409" s="77"/>
      <c r="O409" s="90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</row>
    <row r="410" ht="18.0" customHeight="1">
      <c r="A410" s="81"/>
      <c r="B410" s="91" t="str">
        <f>"80029"</f>
        <v>80029</v>
      </c>
      <c r="C410" s="91" t="str">
        <f>"693102800298"</f>
        <v>693102800298</v>
      </c>
      <c r="D410" s="92" t="s">
        <v>421</v>
      </c>
      <c r="E410" s="93" t="s">
        <v>95</v>
      </c>
      <c r="F410" s="94">
        <v>29.0</v>
      </c>
      <c r="G410" s="94">
        <v>14.5</v>
      </c>
      <c r="H410" s="95">
        <v>0.604</v>
      </c>
      <c r="I410" s="96">
        <v>13.7808</v>
      </c>
      <c r="J410" s="93" t="s">
        <v>31</v>
      </c>
      <c r="K410" s="97"/>
      <c r="L410" s="93" t="str">
        <f t="shared" si="1"/>
        <v/>
      </c>
      <c r="M410" s="98">
        <f t="shared" si="2"/>
        <v>0</v>
      </c>
      <c r="N410" s="77"/>
      <c r="O410" s="90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</row>
    <row r="411" ht="18.0" customHeight="1">
      <c r="A411" s="81"/>
      <c r="B411" s="91" t="str">
        <f>"35048"</f>
        <v>35048</v>
      </c>
      <c r="C411" s="91" t="str">
        <f>"693102350489"</f>
        <v>693102350489</v>
      </c>
      <c r="D411" s="92" t="s">
        <v>422</v>
      </c>
      <c r="E411" s="93" t="s">
        <v>95</v>
      </c>
      <c r="F411" s="94">
        <v>49.0</v>
      </c>
      <c r="G411" s="94">
        <v>24.5</v>
      </c>
      <c r="H411" s="95">
        <v>0.604</v>
      </c>
      <c r="I411" s="96">
        <v>23.2848</v>
      </c>
      <c r="J411" s="93" t="s">
        <v>31</v>
      </c>
      <c r="K411" s="97"/>
      <c r="L411" s="93" t="str">
        <f t="shared" si="1"/>
        <v/>
      </c>
      <c r="M411" s="98">
        <f t="shared" si="2"/>
        <v>0</v>
      </c>
      <c r="N411" s="77"/>
      <c r="O411" s="90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</row>
    <row r="412" ht="18.0" customHeight="1">
      <c r="A412" s="81"/>
      <c r="B412" s="91" t="str">
        <f>"80027"</f>
        <v>80027</v>
      </c>
      <c r="C412" s="91" t="str">
        <f>"693102800274"</f>
        <v>693102800274</v>
      </c>
      <c r="D412" s="92" t="s">
        <v>423</v>
      </c>
      <c r="E412" s="93" t="s">
        <v>95</v>
      </c>
      <c r="F412" s="94">
        <v>49.0</v>
      </c>
      <c r="G412" s="94">
        <v>24.5</v>
      </c>
      <c r="H412" s="95">
        <v>0.604</v>
      </c>
      <c r="I412" s="96">
        <v>23.2848</v>
      </c>
      <c r="J412" s="93" t="s">
        <v>31</v>
      </c>
      <c r="K412" s="97"/>
      <c r="L412" s="93" t="str">
        <f t="shared" si="1"/>
        <v/>
      </c>
      <c r="M412" s="98">
        <f t="shared" si="2"/>
        <v>0</v>
      </c>
      <c r="N412" s="77"/>
      <c r="O412" s="90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</row>
    <row r="413" ht="18.0" customHeight="1">
      <c r="A413" s="81"/>
      <c r="B413" s="91" t="str">
        <f>"35102"</f>
        <v>35102</v>
      </c>
      <c r="C413" s="91" t="str">
        <f>"693102351028"</f>
        <v>693102351028</v>
      </c>
      <c r="D413" s="92" t="s">
        <v>424</v>
      </c>
      <c r="E413" s="93" t="s">
        <v>95</v>
      </c>
      <c r="F413" s="94">
        <v>54.0</v>
      </c>
      <c r="G413" s="94">
        <v>27.0</v>
      </c>
      <c r="H413" s="95">
        <v>0.604</v>
      </c>
      <c r="I413" s="96">
        <v>25.6608</v>
      </c>
      <c r="J413" s="93" t="s">
        <v>31</v>
      </c>
      <c r="K413" s="97"/>
      <c r="L413" s="93" t="str">
        <f t="shared" si="1"/>
        <v/>
      </c>
      <c r="M413" s="98">
        <f t="shared" si="2"/>
        <v>0</v>
      </c>
      <c r="N413" s="77"/>
      <c r="O413" s="90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</row>
    <row r="414" ht="18.0" customHeight="1">
      <c r="A414" s="81"/>
      <c r="B414" s="91" t="str">
        <f>"35105"</f>
        <v>35105</v>
      </c>
      <c r="C414" s="91" t="str">
        <f>"693102351059"</f>
        <v>693102351059</v>
      </c>
      <c r="D414" s="92" t="s">
        <v>425</v>
      </c>
      <c r="E414" s="93" t="s">
        <v>95</v>
      </c>
      <c r="F414" s="94">
        <v>49.0</v>
      </c>
      <c r="G414" s="94">
        <v>24.5</v>
      </c>
      <c r="H414" s="95">
        <v>0.604</v>
      </c>
      <c r="I414" s="96">
        <v>23.2848</v>
      </c>
      <c r="J414" s="93" t="s">
        <v>31</v>
      </c>
      <c r="K414" s="97"/>
      <c r="L414" s="93" t="str">
        <f t="shared" si="1"/>
        <v/>
      </c>
      <c r="M414" s="98">
        <f t="shared" si="2"/>
        <v>0</v>
      </c>
      <c r="N414" s="77"/>
      <c r="O414" s="90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</row>
    <row r="415" ht="18.0" customHeight="1">
      <c r="A415" s="81"/>
      <c r="B415" s="91" t="str">
        <f>"16079"</f>
        <v>16079</v>
      </c>
      <c r="C415" s="91" t="str">
        <f>"693102160798"</f>
        <v>693102160798</v>
      </c>
      <c r="D415" s="92" t="s">
        <v>426</v>
      </c>
      <c r="E415" s="93" t="s">
        <v>95</v>
      </c>
      <c r="F415" s="94">
        <v>29.0</v>
      </c>
      <c r="G415" s="94">
        <v>14.5</v>
      </c>
      <c r="H415" s="95">
        <v>0.604</v>
      </c>
      <c r="I415" s="96">
        <v>13.7808</v>
      </c>
      <c r="J415" s="93" t="s">
        <v>31</v>
      </c>
      <c r="K415" s="97"/>
      <c r="L415" s="93" t="str">
        <f t="shared" si="1"/>
        <v/>
      </c>
      <c r="M415" s="98">
        <f t="shared" si="2"/>
        <v>0</v>
      </c>
      <c r="N415" s="77"/>
      <c r="O415" s="90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</row>
    <row r="416" ht="18.0" customHeight="1">
      <c r="A416" s="81"/>
      <c r="B416" s="91" t="str">
        <f>"80035"</f>
        <v>80035</v>
      </c>
      <c r="C416" s="91" t="str">
        <f>"693102800359"</f>
        <v>693102800359</v>
      </c>
      <c r="D416" s="92" t="s">
        <v>427</v>
      </c>
      <c r="E416" s="93" t="s">
        <v>95</v>
      </c>
      <c r="F416" s="94">
        <v>49.0</v>
      </c>
      <c r="G416" s="94">
        <v>24.5</v>
      </c>
      <c r="H416" s="95">
        <v>0.604</v>
      </c>
      <c r="I416" s="96">
        <v>23.2848</v>
      </c>
      <c r="J416" s="93" t="s">
        <v>31</v>
      </c>
      <c r="K416" s="97"/>
      <c r="L416" s="93" t="str">
        <f t="shared" si="1"/>
        <v/>
      </c>
      <c r="M416" s="98">
        <f t="shared" si="2"/>
        <v>0</v>
      </c>
      <c r="N416" s="77"/>
      <c r="O416" s="90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</row>
    <row r="417" ht="18.0" customHeight="1">
      <c r="A417" s="81"/>
      <c r="B417" s="91" t="str">
        <f>"80026"</f>
        <v>80026</v>
      </c>
      <c r="C417" s="91" t="str">
        <f>"693102800267"</f>
        <v>693102800267</v>
      </c>
      <c r="D417" s="92" t="s">
        <v>428</v>
      </c>
      <c r="E417" s="93" t="s">
        <v>95</v>
      </c>
      <c r="F417" s="94">
        <v>49.0</v>
      </c>
      <c r="G417" s="94">
        <v>24.5</v>
      </c>
      <c r="H417" s="95">
        <v>0.604</v>
      </c>
      <c r="I417" s="96">
        <v>23.2848</v>
      </c>
      <c r="J417" s="93" t="s">
        <v>31</v>
      </c>
      <c r="K417" s="97"/>
      <c r="L417" s="93" t="str">
        <f t="shared" si="1"/>
        <v/>
      </c>
      <c r="M417" s="98">
        <f t="shared" si="2"/>
        <v>0</v>
      </c>
      <c r="N417" s="77"/>
      <c r="O417" s="90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</row>
    <row r="418" ht="18.0" customHeight="1">
      <c r="A418" s="81"/>
      <c r="B418" s="91" t="str">
        <f>"22197"</f>
        <v>22197</v>
      </c>
      <c r="C418" s="91" t="str">
        <f>"693102221970"</f>
        <v>693102221970</v>
      </c>
      <c r="D418" s="92" t="s">
        <v>429</v>
      </c>
      <c r="E418" s="93" t="s">
        <v>430</v>
      </c>
      <c r="F418" s="94">
        <v>39.0</v>
      </c>
      <c r="G418" s="94">
        <v>19.5</v>
      </c>
      <c r="H418" s="95">
        <v>0.604</v>
      </c>
      <c r="I418" s="96">
        <v>18.532799999999998</v>
      </c>
      <c r="J418" s="93" t="s">
        <v>31</v>
      </c>
      <c r="K418" s="97"/>
      <c r="L418" s="93" t="str">
        <f t="shared" si="1"/>
        <v/>
      </c>
      <c r="M418" s="98">
        <f t="shared" si="2"/>
        <v>0</v>
      </c>
      <c r="N418" s="77"/>
      <c r="O418" s="90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</row>
    <row r="419" ht="18.0" customHeight="1">
      <c r="A419" s="81"/>
      <c r="B419" s="91" t="str">
        <f>"22198"</f>
        <v>22198</v>
      </c>
      <c r="C419" s="91" t="str">
        <f>"693102221987"</f>
        <v>693102221987</v>
      </c>
      <c r="D419" s="92" t="s">
        <v>431</v>
      </c>
      <c r="E419" s="93" t="s">
        <v>430</v>
      </c>
      <c r="F419" s="94">
        <v>39.0</v>
      </c>
      <c r="G419" s="94">
        <v>19.5</v>
      </c>
      <c r="H419" s="95">
        <v>0.604</v>
      </c>
      <c r="I419" s="96">
        <v>18.532799999999998</v>
      </c>
      <c r="J419" s="93" t="s">
        <v>31</v>
      </c>
      <c r="K419" s="97"/>
      <c r="L419" s="93" t="str">
        <f t="shared" si="1"/>
        <v/>
      </c>
      <c r="M419" s="98">
        <f t="shared" si="2"/>
        <v>0</v>
      </c>
      <c r="N419" s="77"/>
      <c r="O419" s="90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</row>
    <row r="420" ht="18.0" customHeight="1">
      <c r="A420" s="81"/>
      <c r="B420" s="91" t="str">
        <f>"22199"</f>
        <v>22199</v>
      </c>
      <c r="C420" s="91" t="str">
        <f>"693102221994"</f>
        <v>693102221994</v>
      </c>
      <c r="D420" s="92" t="s">
        <v>432</v>
      </c>
      <c r="E420" s="93" t="s">
        <v>430</v>
      </c>
      <c r="F420" s="94">
        <v>39.0</v>
      </c>
      <c r="G420" s="94">
        <v>19.5</v>
      </c>
      <c r="H420" s="95">
        <v>0.604</v>
      </c>
      <c r="I420" s="96">
        <v>18.532799999999998</v>
      </c>
      <c r="J420" s="93" t="s">
        <v>31</v>
      </c>
      <c r="K420" s="97"/>
      <c r="L420" s="93" t="str">
        <f t="shared" si="1"/>
        <v/>
      </c>
      <c r="M420" s="98">
        <f t="shared" si="2"/>
        <v>0</v>
      </c>
      <c r="N420" s="77"/>
      <c r="O420" s="90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</row>
    <row r="421" ht="18.0" customHeight="1">
      <c r="A421" s="81"/>
      <c r="B421" s="91" t="str">
        <f>"29-00-61"</f>
        <v>29-00-61</v>
      </c>
      <c r="C421" s="91" t="str">
        <f>"693102900615"</f>
        <v>693102900615</v>
      </c>
      <c r="D421" s="92" t="s">
        <v>433</v>
      </c>
      <c r="E421" s="93" t="s">
        <v>82</v>
      </c>
      <c r="F421" s="94">
        <v>25.0</v>
      </c>
      <c r="G421" s="94">
        <v>12.5</v>
      </c>
      <c r="H421" s="95">
        <v>0.604</v>
      </c>
      <c r="I421" s="96">
        <v>11.88</v>
      </c>
      <c r="J421" s="93" t="s">
        <v>31</v>
      </c>
      <c r="K421" s="97"/>
      <c r="L421" s="93" t="str">
        <f t="shared" si="1"/>
        <v/>
      </c>
      <c r="M421" s="98">
        <f t="shared" si="2"/>
        <v>0</v>
      </c>
      <c r="N421" s="77"/>
      <c r="O421" s="90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</row>
    <row r="422" ht="18.0" customHeight="1">
      <c r="A422" s="81"/>
      <c r="B422" s="91" t="str">
        <f>"29-00-44"</f>
        <v>29-00-44</v>
      </c>
      <c r="C422" s="91" t="str">
        <f>"693102900448"</f>
        <v>693102900448</v>
      </c>
      <c r="D422" s="92" t="s">
        <v>434</v>
      </c>
      <c r="E422" s="93" t="s">
        <v>82</v>
      </c>
      <c r="F422" s="94">
        <v>25.0</v>
      </c>
      <c r="G422" s="94">
        <v>12.5</v>
      </c>
      <c r="H422" s="95">
        <v>0.604</v>
      </c>
      <c r="I422" s="96">
        <v>11.88</v>
      </c>
      <c r="J422" s="93" t="s">
        <v>31</v>
      </c>
      <c r="K422" s="97"/>
      <c r="L422" s="93" t="str">
        <f t="shared" si="1"/>
        <v/>
      </c>
      <c r="M422" s="98">
        <f t="shared" si="2"/>
        <v>0</v>
      </c>
      <c r="N422" s="77"/>
      <c r="O422" s="90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</row>
    <row r="423" ht="18.0" customHeight="1">
      <c r="A423" s="81"/>
      <c r="B423" s="91" t="str">
        <f>"29-00-45"</f>
        <v>29-00-45</v>
      </c>
      <c r="C423" s="91" t="str">
        <f>"693102900455"</f>
        <v>693102900455</v>
      </c>
      <c r="D423" s="92" t="s">
        <v>435</v>
      </c>
      <c r="E423" s="93" t="s">
        <v>82</v>
      </c>
      <c r="F423" s="94">
        <v>25.0</v>
      </c>
      <c r="G423" s="94">
        <v>12.5</v>
      </c>
      <c r="H423" s="95">
        <v>0.604</v>
      </c>
      <c r="I423" s="96">
        <v>11.88</v>
      </c>
      <c r="J423" s="93" t="s">
        <v>31</v>
      </c>
      <c r="K423" s="97"/>
      <c r="L423" s="93" t="str">
        <f t="shared" si="1"/>
        <v/>
      </c>
      <c r="M423" s="98">
        <f t="shared" si="2"/>
        <v>0</v>
      </c>
      <c r="N423" s="77"/>
      <c r="O423" s="90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</row>
    <row r="424" ht="18.0" customHeight="1">
      <c r="A424" s="81"/>
      <c r="B424" s="91" t="str">
        <f>"29-00-52"</f>
        <v>29-00-52</v>
      </c>
      <c r="C424" s="91" t="str">
        <f>"693102900523"</f>
        <v>693102900523</v>
      </c>
      <c r="D424" s="92" t="s">
        <v>436</v>
      </c>
      <c r="E424" s="93" t="s">
        <v>82</v>
      </c>
      <c r="F424" s="94">
        <v>25.0</v>
      </c>
      <c r="G424" s="94">
        <v>12.5</v>
      </c>
      <c r="H424" s="95">
        <v>0.604</v>
      </c>
      <c r="I424" s="96">
        <v>11.88</v>
      </c>
      <c r="J424" s="93" t="s">
        <v>31</v>
      </c>
      <c r="K424" s="97"/>
      <c r="L424" s="93" t="str">
        <f t="shared" si="1"/>
        <v/>
      </c>
      <c r="M424" s="98">
        <f t="shared" si="2"/>
        <v>0</v>
      </c>
      <c r="N424" s="77"/>
      <c r="O424" s="90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</row>
    <row r="425" ht="18.0" customHeight="1">
      <c r="A425" s="81"/>
      <c r="B425" s="91" t="str">
        <f>"29-00-46"</f>
        <v>29-00-46</v>
      </c>
      <c r="C425" s="91" t="str">
        <f>"693102900462"</f>
        <v>693102900462</v>
      </c>
      <c r="D425" s="92" t="s">
        <v>437</v>
      </c>
      <c r="E425" s="93" t="s">
        <v>82</v>
      </c>
      <c r="F425" s="94">
        <v>25.0</v>
      </c>
      <c r="G425" s="94">
        <v>12.5</v>
      </c>
      <c r="H425" s="95">
        <v>0.604</v>
      </c>
      <c r="I425" s="96">
        <v>11.88</v>
      </c>
      <c r="J425" s="93" t="s">
        <v>31</v>
      </c>
      <c r="K425" s="97"/>
      <c r="L425" s="93" t="str">
        <f t="shared" si="1"/>
        <v/>
      </c>
      <c r="M425" s="98">
        <f t="shared" si="2"/>
        <v>0</v>
      </c>
      <c r="N425" s="77"/>
      <c r="O425" s="90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</row>
    <row r="426" ht="18.0" customHeight="1">
      <c r="A426" s="81"/>
      <c r="B426" s="91" t="str">
        <f>"29-00-50"</f>
        <v>29-00-50</v>
      </c>
      <c r="C426" s="91" t="str">
        <f>"693102900509"</f>
        <v>693102900509</v>
      </c>
      <c r="D426" s="92" t="s">
        <v>438</v>
      </c>
      <c r="E426" s="93" t="s">
        <v>82</v>
      </c>
      <c r="F426" s="94">
        <v>25.0</v>
      </c>
      <c r="G426" s="94">
        <v>12.5</v>
      </c>
      <c r="H426" s="95">
        <v>0.604</v>
      </c>
      <c r="I426" s="96">
        <v>11.88</v>
      </c>
      <c r="J426" s="93" t="s">
        <v>31</v>
      </c>
      <c r="K426" s="97"/>
      <c r="L426" s="93" t="str">
        <f t="shared" si="1"/>
        <v/>
      </c>
      <c r="M426" s="98">
        <f t="shared" si="2"/>
        <v>0</v>
      </c>
      <c r="N426" s="77"/>
      <c r="O426" s="90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</row>
    <row r="427" ht="18.0" customHeight="1">
      <c r="A427" s="81"/>
      <c r="B427" s="91" t="str">
        <f>"29-00-37"</f>
        <v>29-00-37</v>
      </c>
      <c r="C427" s="91" t="str">
        <f>"693102900370"</f>
        <v>693102900370</v>
      </c>
      <c r="D427" s="92" t="s">
        <v>439</v>
      </c>
      <c r="E427" s="93" t="s">
        <v>82</v>
      </c>
      <c r="F427" s="94">
        <v>25.0</v>
      </c>
      <c r="G427" s="94">
        <v>12.5</v>
      </c>
      <c r="H427" s="95">
        <v>0.604</v>
      </c>
      <c r="I427" s="96">
        <v>11.88</v>
      </c>
      <c r="J427" s="93" t="s">
        <v>31</v>
      </c>
      <c r="K427" s="97"/>
      <c r="L427" s="93" t="str">
        <f t="shared" si="1"/>
        <v/>
      </c>
      <c r="M427" s="98">
        <f t="shared" si="2"/>
        <v>0</v>
      </c>
      <c r="N427" s="77"/>
      <c r="O427" s="90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</row>
    <row r="428" ht="18.0" customHeight="1">
      <c r="A428" s="81"/>
      <c r="B428" s="91" t="str">
        <f>"29-00-34"</f>
        <v>29-00-34</v>
      </c>
      <c r="C428" s="91" t="str">
        <f>"693102900349"</f>
        <v>693102900349</v>
      </c>
      <c r="D428" s="92" t="s">
        <v>440</v>
      </c>
      <c r="E428" s="93" t="s">
        <v>82</v>
      </c>
      <c r="F428" s="94">
        <v>25.0</v>
      </c>
      <c r="G428" s="94">
        <v>12.5</v>
      </c>
      <c r="H428" s="95">
        <v>0.604</v>
      </c>
      <c r="I428" s="96">
        <v>11.88</v>
      </c>
      <c r="J428" s="93" t="s">
        <v>31</v>
      </c>
      <c r="K428" s="97"/>
      <c r="L428" s="93" t="str">
        <f t="shared" si="1"/>
        <v/>
      </c>
      <c r="M428" s="98">
        <f t="shared" si="2"/>
        <v>0</v>
      </c>
      <c r="N428" s="77"/>
      <c r="O428" s="90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</row>
    <row r="429" ht="18.0" customHeight="1">
      <c r="A429" s="81"/>
      <c r="B429" s="91" t="str">
        <f>"29-00-42"</f>
        <v>29-00-42</v>
      </c>
      <c r="C429" s="91" t="str">
        <f>"693102900424"</f>
        <v>693102900424</v>
      </c>
      <c r="D429" s="92" t="s">
        <v>441</v>
      </c>
      <c r="E429" s="93" t="s">
        <v>82</v>
      </c>
      <c r="F429" s="94">
        <v>25.0</v>
      </c>
      <c r="G429" s="94">
        <v>12.5</v>
      </c>
      <c r="H429" s="95">
        <v>0.604</v>
      </c>
      <c r="I429" s="96">
        <v>11.88</v>
      </c>
      <c r="J429" s="93" t="s">
        <v>31</v>
      </c>
      <c r="K429" s="97"/>
      <c r="L429" s="93" t="str">
        <f t="shared" si="1"/>
        <v/>
      </c>
      <c r="M429" s="98">
        <f t="shared" si="2"/>
        <v>0</v>
      </c>
      <c r="N429" s="77"/>
      <c r="O429" s="90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</row>
    <row r="430" ht="18.0" customHeight="1">
      <c r="A430" s="81"/>
      <c r="B430" s="91" t="str">
        <f>"29-00-36"</f>
        <v>29-00-36</v>
      </c>
      <c r="C430" s="91" t="str">
        <f>"693102900363"</f>
        <v>693102900363</v>
      </c>
      <c r="D430" s="92" t="s">
        <v>442</v>
      </c>
      <c r="E430" s="93" t="s">
        <v>82</v>
      </c>
      <c r="F430" s="94">
        <v>25.0</v>
      </c>
      <c r="G430" s="94">
        <v>12.5</v>
      </c>
      <c r="H430" s="95">
        <v>0.604</v>
      </c>
      <c r="I430" s="96">
        <v>11.88</v>
      </c>
      <c r="J430" s="93" t="s">
        <v>31</v>
      </c>
      <c r="K430" s="97"/>
      <c r="L430" s="93" t="str">
        <f t="shared" si="1"/>
        <v/>
      </c>
      <c r="M430" s="98">
        <f t="shared" si="2"/>
        <v>0</v>
      </c>
      <c r="N430" s="77"/>
      <c r="O430" s="90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</row>
    <row r="431" ht="18.0" customHeight="1">
      <c r="A431" s="81"/>
      <c r="B431" s="91" t="str">
        <f>"29-00-62"</f>
        <v>29-00-62</v>
      </c>
      <c r="C431" s="91" t="str">
        <f>"693102900622"</f>
        <v>693102900622</v>
      </c>
      <c r="D431" s="92" t="s">
        <v>443</v>
      </c>
      <c r="E431" s="93" t="s">
        <v>82</v>
      </c>
      <c r="F431" s="94">
        <v>25.0</v>
      </c>
      <c r="G431" s="94">
        <v>12.5</v>
      </c>
      <c r="H431" s="95">
        <v>0.604</v>
      </c>
      <c r="I431" s="96">
        <v>11.88</v>
      </c>
      <c r="J431" s="93" t="s">
        <v>31</v>
      </c>
      <c r="K431" s="97"/>
      <c r="L431" s="93" t="str">
        <f t="shared" si="1"/>
        <v/>
      </c>
      <c r="M431" s="98">
        <f t="shared" si="2"/>
        <v>0</v>
      </c>
      <c r="N431" s="77"/>
      <c r="O431" s="90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</row>
    <row r="432" ht="18.0" customHeight="1">
      <c r="A432" s="81"/>
      <c r="B432" s="91" t="str">
        <f>"29-00-55"</f>
        <v>29-00-55</v>
      </c>
      <c r="C432" s="91" t="str">
        <f>"693102900554"</f>
        <v>693102900554</v>
      </c>
      <c r="D432" s="92" t="s">
        <v>444</v>
      </c>
      <c r="E432" s="93" t="s">
        <v>82</v>
      </c>
      <c r="F432" s="94">
        <v>25.0</v>
      </c>
      <c r="G432" s="94">
        <v>12.5</v>
      </c>
      <c r="H432" s="95">
        <v>0.604</v>
      </c>
      <c r="I432" s="96">
        <v>11.88</v>
      </c>
      <c r="J432" s="93" t="s">
        <v>31</v>
      </c>
      <c r="K432" s="97"/>
      <c r="L432" s="93" t="str">
        <f t="shared" si="1"/>
        <v/>
      </c>
      <c r="M432" s="98">
        <f t="shared" si="2"/>
        <v>0</v>
      </c>
      <c r="N432" s="77"/>
      <c r="O432" s="90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</row>
    <row r="433" ht="18.0" customHeight="1">
      <c r="A433" s="81"/>
      <c r="B433" s="91" t="str">
        <f>"47-10-14"</f>
        <v>47-10-14</v>
      </c>
      <c r="C433" s="91" t="str">
        <f>"693102710146"</f>
        <v>693102710146</v>
      </c>
      <c r="D433" s="92" t="s">
        <v>445</v>
      </c>
      <c r="E433" s="93" t="s">
        <v>252</v>
      </c>
      <c r="F433" s="94">
        <v>35.0</v>
      </c>
      <c r="G433" s="94">
        <v>17.5</v>
      </c>
      <c r="H433" s="95">
        <v>0.604</v>
      </c>
      <c r="I433" s="96">
        <v>16.631999999999998</v>
      </c>
      <c r="J433" s="93" t="s">
        <v>31</v>
      </c>
      <c r="K433" s="97"/>
      <c r="L433" s="93" t="str">
        <f t="shared" si="1"/>
        <v/>
      </c>
      <c r="M433" s="98">
        <f t="shared" si="2"/>
        <v>0</v>
      </c>
      <c r="N433" s="77"/>
      <c r="O433" s="90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</row>
    <row r="434" ht="18.0" customHeight="1">
      <c r="A434" s="81"/>
      <c r="B434" s="91" t="str">
        <f>"47-10-06"</f>
        <v>47-10-06</v>
      </c>
      <c r="C434" s="91" t="str">
        <f>"693102710061"</f>
        <v>693102710061</v>
      </c>
      <c r="D434" s="92" t="s">
        <v>446</v>
      </c>
      <c r="E434" s="93" t="s">
        <v>252</v>
      </c>
      <c r="F434" s="94">
        <v>35.0</v>
      </c>
      <c r="G434" s="94">
        <v>17.5</v>
      </c>
      <c r="H434" s="95">
        <v>0.604</v>
      </c>
      <c r="I434" s="96">
        <v>16.631999999999998</v>
      </c>
      <c r="J434" s="93" t="s">
        <v>31</v>
      </c>
      <c r="K434" s="97"/>
      <c r="L434" s="93" t="str">
        <f t="shared" si="1"/>
        <v/>
      </c>
      <c r="M434" s="98">
        <f t="shared" si="2"/>
        <v>0</v>
      </c>
      <c r="N434" s="77"/>
      <c r="O434" s="90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</row>
    <row r="435" ht="18.0" customHeight="1">
      <c r="A435" s="81"/>
      <c r="B435" s="91" t="str">
        <f>"47-10-11"</f>
        <v>47-10-11</v>
      </c>
      <c r="C435" s="91" t="str">
        <f>"693102710115"</f>
        <v>693102710115</v>
      </c>
      <c r="D435" s="92" t="s">
        <v>447</v>
      </c>
      <c r="E435" s="93" t="s">
        <v>252</v>
      </c>
      <c r="F435" s="94">
        <v>35.0</v>
      </c>
      <c r="G435" s="94">
        <v>17.5</v>
      </c>
      <c r="H435" s="95">
        <v>0.604</v>
      </c>
      <c r="I435" s="96">
        <v>16.631999999999998</v>
      </c>
      <c r="J435" s="93" t="s">
        <v>31</v>
      </c>
      <c r="K435" s="97"/>
      <c r="L435" s="93" t="str">
        <f t="shared" si="1"/>
        <v/>
      </c>
      <c r="M435" s="98">
        <f t="shared" si="2"/>
        <v>0</v>
      </c>
      <c r="N435" s="77"/>
      <c r="O435" s="90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</row>
    <row r="436" ht="18.0" customHeight="1">
      <c r="A436" s="81"/>
      <c r="B436" s="91" t="str">
        <f>"47-10-07"</f>
        <v>47-10-07</v>
      </c>
      <c r="C436" s="91" t="str">
        <f>"693102710078"</f>
        <v>693102710078</v>
      </c>
      <c r="D436" s="92" t="s">
        <v>448</v>
      </c>
      <c r="E436" s="93" t="s">
        <v>252</v>
      </c>
      <c r="F436" s="94">
        <v>35.0</v>
      </c>
      <c r="G436" s="94">
        <v>17.5</v>
      </c>
      <c r="H436" s="95">
        <v>0.604</v>
      </c>
      <c r="I436" s="96">
        <v>16.631999999999998</v>
      </c>
      <c r="J436" s="93" t="s">
        <v>31</v>
      </c>
      <c r="K436" s="97"/>
      <c r="L436" s="93" t="str">
        <f t="shared" si="1"/>
        <v/>
      </c>
      <c r="M436" s="98">
        <f t="shared" si="2"/>
        <v>0</v>
      </c>
      <c r="N436" s="77"/>
      <c r="O436" s="90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</row>
    <row r="437" ht="18.0" customHeight="1">
      <c r="A437" s="81"/>
      <c r="B437" s="91" t="str">
        <f>"47-10-13"</f>
        <v>47-10-13</v>
      </c>
      <c r="C437" s="91" t="str">
        <f>"693102710139"</f>
        <v>693102710139</v>
      </c>
      <c r="D437" s="92" t="s">
        <v>449</v>
      </c>
      <c r="E437" s="93" t="s">
        <v>252</v>
      </c>
      <c r="F437" s="94">
        <v>35.0</v>
      </c>
      <c r="G437" s="94">
        <v>17.5</v>
      </c>
      <c r="H437" s="95">
        <v>0.604</v>
      </c>
      <c r="I437" s="96">
        <v>16.631999999999998</v>
      </c>
      <c r="J437" s="93" t="s">
        <v>31</v>
      </c>
      <c r="K437" s="97"/>
      <c r="L437" s="93" t="str">
        <f t="shared" si="1"/>
        <v/>
      </c>
      <c r="M437" s="98">
        <f t="shared" si="2"/>
        <v>0</v>
      </c>
      <c r="N437" s="77"/>
      <c r="O437" s="90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</row>
    <row r="438" ht="18.0" customHeight="1">
      <c r="A438" s="81"/>
      <c r="B438" s="91" t="str">
        <f>"47-10-15"</f>
        <v>47-10-15</v>
      </c>
      <c r="C438" s="91" t="str">
        <f>"693102710153"</f>
        <v>693102710153</v>
      </c>
      <c r="D438" s="92" t="s">
        <v>450</v>
      </c>
      <c r="E438" s="93" t="s">
        <v>252</v>
      </c>
      <c r="F438" s="94">
        <v>35.0</v>
      </c>
      <c r="G438" s="94">
        <v>17.5</v>
      </c>
      <c r="H438" s="95">
        <v>0.604</v>
      </c>
      <c r="I438" s="96">
        <v>16.631999999999998</v>
      </c>
      <c r="J438" s="93" t="s">
        <v>31</v>
      </c>
      <c r="K438" s="97"/>
      <c r="L438" s="93" t="str">
        <f t="shared" si="1"/>
        <v/>
      </c>
      <c r="M438" s="98">
        <f t="shared" si="2"/>
        <v>0</v>
      </c>
      <c r="N438" s="77"/>
      <c r="O438" s="90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</row>
    <row r="439" ht="18.0" customHeight="1">
      <c r="A439" s="81"/>
      <c r="B439" s="91" t="str">
        <f>"47-10-04"</f>
        <v>47-10-04</v>
      </c>
      <c r="C439" s="91" t="str">
        <f>"693102710047"</f>
        <v>693102710047</v>
      </c>
      <c r="D439" s="92" t="s">
        <v>451</v>
      </c>
      <c r="E439" s="93" t="s">
        <v>252</v>
      </c>
      <c r="F439" s="94">
        <v>35.0</v>
      </c>
      <c r="G439" s="94">
        <v>17.5</v>
      </c>
      <c r="H439" s="95">
        <v>0.604</v>
      </c>
      <c r="I439" s="96">
        <v>16.631999999999998</v>
      </c>
      <c r="J439" s="93" t="s">
        <v>31</v>
      </c>
      <c r="K439" s="97"/>
      <c r="L439" s="93" t="str">
        <f t="shared" si="1"/>
        <v/>
      </c>
      <c r="M439" s="98">
        <f t="shared" si="2"/>
        <v>0</v>
      </c>
      <c r="N439" s="77"/>
      <c r="O439" s="90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</row>
    <row r="440" ht="18.0" customHeight="1">
      <c r="A440" s="81"/>
      <c r="B440" s="91" t="str">
        <f>"47-10-08"</f>
        <v>47-10-08</v>
      </c>
      <c r="C440" s="91" t="str">
        <f>"693102710085"</f>
        <v>693102710085</v>
      </c>
      <c r="D440" s="92" t="s">
        <v>452</v>
      </c>
      <c r="E440" s="93" t="s">
        <v>252</v>
      </c>
      <c r="F440" s="94">
        <v>35.0</v>
      </c>
      <c r="G440" s="94">
        <v>17.5</v>
      </c>
      <c r="H440" s="95">
        <v>0.604</v>
      </c>
      <c r="I440" s="96">
        <v>16.631999999999998</v>
      </c>
      <c r="J440" s="93" t="s">
        <v>31</v>
      </c>
      <c r="K440" s="97"/>
      <c r="L440" s="93" t="str">
        <f t="shared" si="1"/>
        <v/>
      </c>
      <c r="M440" s="98">
        <f t="shared" si="2"/>
        <v>0</v>
      </c>
      <c r="N440" s="77"/>
      <c r="O440" s="90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</row>
    <row r="441" ht="18.0" customHeight="1">
      <c r="A441" s="81"/>
      <c r="B441" s="91" t="str">
        <f>"47-10-05"</f>
        <v>47-10-05</v>
      </c>
      <c r="C441" s="91" t="str">
        <f>"693102710054"</f>
        <v>693102710054</v>
      </c>
      <c r="D441" s="92" t="s">
        <v>453</v>
      </c>
      <c r="E441" s="93" t="s">
        <v>252</v>
      </c>
      <c r="F441" s="94">
        <v>35.0</v>
      </c>
      <c r="G441" s="94">
        <v>17.5</v>
      </c>
      <c r="H441" s="95">
        <v>0.604</v>
      </c>
      <c r="I441" s="96">
        <v>16.631999999999998</v>
      </c>
      <c r="J441" s="93" t="s">
        <v>31</v>
      </c>
      <c r="K441" s="97"/>
      <c r="L441" s="93" t="str">
        <f t="shared" si="1"/>
        <v/>
      </c>
      <c r="M441" s="98">
        <f t="shared" si="2"/>
        <v>0</v>
      </c>
      <c r="N441" s="77"/>
      <c r="O441" s="90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</row>
    <row r="442" ht="18.0" customHeight="1">
      <c r="A442" s="81"/>
      <c r="B442" s="91" t="str">
        <f>"47-10-09"</f>
        <v>47-10-09</v>
      </c>
      <c r="C442" s="91" t="str">
        <f>"693102710092"</f>
        <v>693102710092</v>
      </c>
      <c r="D442" s="92" t="s">
        <v>454</v>
      </c>
      <c r="E442" s="93" t="s">
        <v>252</v>
      </c>
      <c r="F442" s="94">
        <v>35.0</v>
      </c>
      <c r="G442" s="94">
        <v>17.5</v>
      </c>
      <c r="H442" s="95">
        <v>0.604</v>
      </c>
      <c r="I442" s="96">
        <v>16.631999999999998</v>
      </c>
      <c r="J442" s="93" t="s">
        <v>31</v>
      </c>
      <c r="K442" s="97"/>
      <c r="L442" s="93" t="str">
        <f t="shared" si="1"/>
        <v/>
      </c>
      <c r="M442" s="98">
        <f t="shared" si="2"/>
        <v>0</v>
      </c>
      <c r="N442" s="77"/>
      <c r="O442" s="90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</row>
    <row r="443" ht="18.0" customHeight="1">
      <c r="A443" s="81"/>
      <c r="B443" s="91" t="str">
        <f>"47-10-10"</f>
        <v>47-10-10</v>
      </c>
      <c r="C443" s="91" t="str">
        <f>"693102710108"</f>
        <v>693102710108</v>
      </c>
      <c r="D443" s="92" t="s">
        <v>455</v>
      </c>
      <c r="E443" s="93" t="s">
        <v>252</v>
      </c>
      <c r="F443" s="94">
        <v>35.0</v>
      </c>
      <c r="G443" s="94">
        <v>17.5</v>
      </c>
      <c r="H443" s="95">
        <v>0.604</v>
      </c>
      <c r="I443" s="96">
        <v>16.631999999999998</v>
      </c>
      <c r="J443" s="93" t="s">
        <v>31</v>
      </c>
      <c r="K443" s="97"/>
      <c r="L443" s="93" t="str">
        <f t="shared" si="1"/>
        <v/>
      </c>
      <c r="M443" s="98">
        <f t="shared" si="2"/>
        <v>0</v>
      </c>
      <c r="N443" s="77"/>
      <c r="O443" s="90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</row>
    <row r="444" ht="18.0" customHeight="1">
      <c r="A444" s="81"/>
      <c r="B444" s="91" t="str">
        <f>"71726"</f>
        <v>71726</v>
      </c>
      <c r="C444" s="91" t="str">
        <f>"693102717268"</f>
        <v>693102717268</v>
      </c>
      <c r="D444" s="92" t="s">
        <v>456</v>
      </c>
      <c r="E444" s="93" t="s">
        <v>248</v>
      </c>
      <c r="F444" s="94">
        <v>30.0</v>
      </c>
      <c r="G444" s="94">
        <v>15.0</v>
      </c>
      <c r="H444" s="95">
        <v>0.6039999999999999</v>
      </c>
      <c r="I444" s="96">
        <v>14.256</v>
      </c>
      <c r="J444" s="93" t="s">
        <v>31</v>
      </c>
      <c r="K444" s="97"/>
      <c r="L444" s="93" t="str">
        <f t="shared" si="1"/>
        <v/>
      </c>
      <c r="M444" s="98">
        <f t="shared" si="2"/>
        <v>0</v>
      </c>
      <c r="N444" s="77"/>
      <c r="O444" s="90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</row>
    <row r="445" ht="18.0" customHeight="1">
      <c r="A445" s="81"/>
      <c r="B445" s="91" t="str">
        <f>"37-11-28"</f>
        <v>37-11-28</v>
      </c>
      <c r="C445" s="91" t="str">
        <f>"693102711280"</f>
        <v>693102711280</v>
      </c>
      <c r="D445" s="92" t="s">
        <v>457</v>
      </c>
      <c r="E445" s="93" t="s">
        <v>248</v>
      </c>
      <c r="F445" s="94">
        <v>30.0</v>
      </c>
      <c r="G445" s="94">
        <v>15.0</v>
      </c>
      <c r="H445" s="95">
        <v>0.6039999999999999</v>
      </c>
      <c r="I445" s="96">
        <v>14.256</v>
      </c>
      <c r="J445" s="93" t="s">
        <v>31</v>
      </c>
      <c r="K445" s="97"/>
      <c r="L445" s="93" t="str">
        <f t="shared" si="1"/>
        <v/>
      </c>
      <c r="M445" s="98">
        <f t="shared" si="2"/>
        <v>0</v>
      </c>
      <c r="N445" s="77"/>
      <c r="O445" s="90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</row>
    <row r="446" ht="18.0" customHeight="1">
      <c r="A446" s="81"/>
      <c r="B446" s="91" t="str">
        <f>"37-11-30"</f>
        <v>37-11-30</v>
      </c>
      <c r="C446" s="91" t="str">
        <f>"693102711303"</f>
        <v>693102711303</v>
      </c>
      <c r="D446" s="92" t="s">
        <v>458</v>
      </c>
      <c r="E446" s="93" t="s">
        <v>248</v>
      </c>
      <c r="F446" s="94">
        <v>30.0</v>
      </c>
      <c r="G446" s="94">
        <v>15.0</v>
      </c>
      <c r="H446" s="95">
        <v>0.6039999999999999</v>
      </c>
      <c r="I446" s="96">
        <v>14.256</v>
      </c>
      <c r="J446" s="93" t="s">
        <v>31</v>
      </c>
      <c r="K446" s="97"/>
      <c r="L446" s="93" t="str">
        <f t="shared" si="1"/>
        <v/>
      </c>
      <c r="M446" s="98">
        <f t="shared" si="2"/>
        <v>0</v>
      </c>
      <c r="N446" s="77"/>
      <c r="O446" s="90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</row>
    <row r="447" ht="18.0" customHeight="1">
      <c r="A447" s="81"/>
      <c r="B447" s="91" t="str">
        <f>"37-11-37"</f>
        <v>37-11-37</v>
      </c>
      <c r="C447" s="91" t="str">
        <f>"693102711372"</f>
        <v>693102711372</v>
      </c>
      <c r="D447" s="92" t="s">
        <v>459</v>
      </c>
      <c r="E447" s="93" t="s">
        <v>248</v>
      </c>
      <c r="F447" s="94">
        <v>30.0</v>
      </c>
      <c r="G447" s="94">
        <v>15.0</v>
      </c>
      <c r="H447" s="95">
        <v>0.6039999999999999</v>
      </c>
      <c r="I447" s="96">
        <v>14.256</v>
      </c>
      <c r="J447" s="93" t="s">
        <v>31</v>
      </c>
      <c r="K447" s="97"/>
      <c r="L447" s="93" t="str">
        <f t="shared" si="1"/>
        <v/>
      </c>
      <c r="M447" s="98">
        <f t="shared" si="2"/>
        <v>0</v>
      </c>
      <c r="N447" s="77"/>
      <c r="O447" s="90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</row>
    <row r="448" ht="18.0" customHeight="1">
      <c r="A448" s="81"/>
      <c r="B448" s="91" t="str">
        <f>"71739"</f>
        <v>71739</v>
      </c>
      <c r="C448" s="91" t="str">
        <f>"693102717398"</f>
        <v>693102717398</v>
      </c>
      <c r="D448" s="92" t="s">
        <v>460</v>
      </c>
      <c r="E448" s="93" t="s">
        <v>248</v>
      </c>
      <c r="F448" s="94">
        <v>30.0</v>
      </c>
      <c r="G448" s="94">
        <v>15.0</v>
      </c>
      <c r="H448" s="95">
        <v>0.6039999999999999</v>
      </c>
      <c r="I448" s="96">
        <v>14.256</v>
      </c>
      <c r="J448" s="93" t="s">
        <v>31</v>
      </c>
      <c r="K448" s="97"/>
      <c r="L448" s="93" t="str">
        <f t="shared" si="1"/>
        <v/>
      </c>
      <c r="M448" s="98">
        <f t="shared" si="2"/>
        <v>0</v>
      </c>
      <c r="N448" s="77"/>
      <c r="O448" s="90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</row>
    <row r="449" ht="18.0" customHeight="1">
      <c r="A449" s="81"/>
      <c r="B449" s="91" t="str">
        <f>"71740"</f>
        <v>71740</v>
      </c>
      <c r="C449" s="91" t="str">
        <f>"693102717404"</f>
        <v>693102717404</v>
      </c>
      <c r="D449" s="92" t="s">
        <v>461</v>
      </c>
      <c r="E449" s="93" t="s">
        <v>248</v>
      </c>
      <c r="F449" s="94">
        <v>30.0</v>
      </c>
      <c r="G449" s="94">
        <v>15.0</v>
      </c>
      <c r="H449" s="95">
        <v>0.6039999999999999</v>
      </c>
      <c r="I449" s="96">
        <v>14.256</v>
      </c>
      <c r="J449" s="93" t="s">
        <v>31</v>
      </c>
      <c r="K449" s="97"/>
      <c r="L449" s="93" t="str">
        <f t="shared" si="1"/>
        <v/>
      </c>
      <c r="M449" s="98">
        <f t="shared" si="2"/>
        <v>0</v>
      </c>
      <c r="N449" s="77"/>
      <c r="O449" s="90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</row>
    <row r="450" ht="18.0" customHeight="1">
      <c r="A450" s="81"/>
      <c r="B450" s="91" t="str">
        <f>"37-11-41"</f>
        <v>37-11-41</v>
      </c>
      <c r="C450" s="91" t="str">
        <f>"693102711419"</f>
        <v>693102711419</v>
      </c>
      <c r="D450" s="92" t="s">
        <v>462</v>
      </c>
      <c r="E450" s="93" t="s">
        <v>248</v>
      </c>
      <c r="F450" s="94">
        <v>30.0</v>
      </c>
      <c r="G450" s="94">
        <v>15.0</v>
      </c>
      <c r="H450" s="95">
        <v>0.6039999999999999</v>
      </c>
      <c r="I450" s="96">
        <v>14.256</v>
      </c>
      <c r="J450" s="93" t="s">
        <v>31</v>
      </c>
      <c r="K450" s="97"/>
      <c r="L450" s="93" t="str">
        <f t="shared" si="1"/>
        <v/>
      </c>
      <c r="M450" s="98">
        <f t="shared" si="2"/>
        <v>0</v>
      </c>
      <c r="N450" s="77"/>
      <c r="O450" s="90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</row>
    <row r="451" ht="18.0" customHeight="1">
      <c r="A451" s="81"/>
      <c r="B451" s="91" t="str">
        <f>"37-11-42"</f>
        <v>37-11-42</v>
      </c>
      <c r="C451" s="91" t="str">
        <f>"693102711426"</f>
        <v>693102711426</v>
      </c>
      <c r="D451" s="92" t="s">
        <v>463</v>
      </c>
      <c r="E451" s="93" t="s">
        <v>248</v>
      </c>
      <c r="F451" s="94">
        <v>30.0</v>
      </c>
      <c r="G451" s="94">
        <v>15.0</v>
      </c>
      <c r="H451" s="95">
        <v>0.6039999999999999</v>
      </c>
      <c r="I451" s="96">
        <v>14.256</v>
      </c>
      <c r="J451" s="93" t="s">
        <v>31</v>
      </c>
      <c r="K451" s="97"/>
      <c r="L451" s="93" t="str">
        <f t="shared" si="1"/>
        <v/>
      </c>
      <c r="M451" s="98">
        <f t="shared" si="2"/>
        <v>0</v>
      </c>
      <c r="N451" s="77"/>
      <c r="O451" s="90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</row>
    <row r="452" ht="18.0" customHeight="1">
      <c r="A452" s="81"/>
      <c r="B452" s="91" t="str">
        <f>"37-11-40"</f>
        <v>37-11-40</v>
      </c>
      <c r="C452" s="91" t="str">
        <f>"693102711402"</f>
        <v>693102711402</v>
      </c>
      <c r="D452" s="92" t="s">
        <v>464</v>
      </c>
      <c r="E452" s="93" t="s">
        <v>248</v>
      </c>
      <c r="F452" s="94">
        <v>30.0</v>
      </c>
      <c r="G452" s="94">
        <v>15.0</v>
      </c>
      <c r="H452" s="95">
        <v>0.6039999999999999</v>
      </c>
      <c r="I452" s="96">
        <v>14.256</v>
      </c>
      <c r="J452" s="93" t="s">
        <v>31</v>
      </c>
      <c r="K452" s="97"/>
      <c r="L452" s="93" t="str">
        <f t="shared" si="1"/>
        <v/>
      </c>
      <c r="M452" s="98">
        <f t="shared" si="2"/>
        <v>0</v>
      </c>
      <c r="N452" s="77"/>
      <c r="O452" s="90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</row>
    <row r="453" ht="18.0" customHeight="1">
      <c r="A453" s="81"/>
      <c r="B453" s="91" t="str">
        <f>"35-10-02"</f>
        <v>35-10-02</v>
      </c>
      <c r="C453" s="91" t="str">
        <f>"693102510029"</f>
        <v>693102510029</v>
      </c>
      <c r="D453" s="92" t="s">
        <v>465</v>
      </c>
      <c r="E453" s="93" t="s">
        <v>248</v>
      </c>
      <c r="F453" s="94">
        <v>30.0</v>
      </c>
      <c r="G453" s="94">
        <v>15.0</v>
      </c>
      <c r="H453" s="95">
        <v>0.6039999999999999</v>
      </c>
      <c r="I453" s="96">
        <v>14.256</v>
      </c>
      <c r="J453" s="93" t="s">
        <v>31</v>
      </c>
      <c r="K453" s="97"/>
      <c r="L453" s="93" t="str">
        <f t="shared" si="1"/>
        <v/>
      </c>
      <c r="M453" s="98">
        <f t="shared" si="2"/>
        <v>0</v>
      </c>
      <c r="N453" s="77"/>
      <c r="O453" s="90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</row>
    <row r="454" ht="18.0" customHeight="1">
      <c r="A454" s="81"/>
      <c r="B454" s="91" t="str">
        <f>"86-00-01"</f>
        <v>86-00-01</v>
      </c>
      <c r="C454" s="91" t="str">
        <f>"693102600010"</f>
        <v>693102600010</v>
      </c>
      <c r="D454" s="92" t="s">
        <v>466</v>
      </c>
      <c r="E454" s="93" t="s">
        <v>82</v>
      </c>
      <c r="F454" s="94">
        <v>22.0</v>
      </c>
      <c r="G454" s="94">
        <v>11.0</v>
      </c>
      <c r="H454" s="95">
        <v>0.604</v>
      </c>
      <c r="I454" s="96">
        <v>10.4544</v>
      </c>
      <c r="J454" s="93" t="s">
        <v>31</v>
      </c>
      <c r="K454" s="97"/>
      <c r="L454" s="93" t="str">
        <f t="shared" si="1"/>
        <v/>
      </c>
      <c r="M454" s="98">
        <f t="shared" si="2"/>
        <v>0</v>
      </c>
      <c r="N454" s="77"/>
      <c r="O454" s="90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</row>
    <row r="455" ht="18.0" customHeight="1">
      <c r="A455" s="81"/>
      <c r="B455" s="91" t="str">
        <f>"86-00-02"</f>
        <v>86-00-02</v>
      </c>
      <c r="C455" s="91" t="str">
        <f>"693102600027"</f>
        <v>693102600027</v>
      </c>
      <c r="D455" s="92" t="s">
        <v>467</v>
      </c>
      <c r="E455" s="93" t="s">
        <v>82</v>
      </c>
      <c r="F455" s="94">
        <v>22.0</v>
      </c>
      <c r="G455" s="94">
        <v>11.0</v>
      </c>
      <c r="H455" s="95">
        <v>0.604</v>
      </c>
      <c r="I455" s="96">
        <v>10.4544</v>
      </c>
      <c r="J455" s="93" t="s">
        <v>31</v>
      </c>
      <c r="K455" s="97"/>
      <c r="L455" s="93" t="str">
        <f t="shared" si="1"/>
        <v/>
      </c>
      <c r="M455" s="98">
        <f t="shared" si="2"/>
        <v>0</v>
      </c>
      <c r="N455" s="77"/>
      <c r="O455" s="90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</row>
    <row r="456" ht="18.0" customHeight="1">
      <c r="A456" s="81"/>
      <c r="B456" s="91" t="str">
        <f>"86-00-03"</f>
        <v>86-00-03</v>
      </c>
      <c r="C456" s="91" t="str">
        <f>"693102600034"</f>
        <v>693102600034</v>
      </c>
      <c r="D456" s="92" t="s">
        <v>468</v>
      </c>
      <c r="E456" s="93" t="s">
        <v>82</v>
      </c>
      <c r="F456" s="94">
        <v>22.0</v>
      </c>
      <c r="G456" s="94">
        <v>11.0</v>
      </c>
      <c r="H456" s="95">
        <v>0.604</v>
      </c>
      <c r="I456" s="96">
        <v>10.4544</v>
      </c>
      <c r="J456" s="93" t="s">
        <v>31</v>
      </c>
      <c r="K456" s="97"/>
      <c r="L456" s="93" t="str">
        <f t="shared" si="1"/>
        <v/>
      </c>
      <c r="M456" s="98">
        <f t="shared" si="2"/>
        <v>0</v>
      </c>
      <c r="N456" s="77"/>
      <c r="O456" s="90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</row>
    <row r="457" ht="18.0" customHeight="1">
      <c r="A457" s="81"/>
      <c r="B457" s="91" t="str">
        <f>"86-00-04"</f>
        <v>86-00-04</v>
      </c>
      <c r="C457" s="91" t="str">
        <f>"693102600041"</f>
        <v>693102600041</v>
      </c>
      <c r="D457" s="92" t="s">
        <v>469</v>
      </c>
      <c r="E457" s="93" t="s">
        <v>82</v>
      </c>
      <c r="F457" s="94">
        <v>22.0</v>
      </c>
      <c r="G457" s="94">
        <v>11.0</v>
      </c>
      <c r="H457" s="95">
        <v>0.604</v>
      </c>
      <c r="I457" s="96">
        <v>10.4544</v>
      </c>
      <c r="J457" s="93" t="s">
        <v>31</v>
      </c>
      <c r="K457" s="97"/>
      <c r="L457" s="93" t="str">
        <f t="shared" si="1"/>
        <v/>
      </c>
      <c r="M457" s="98">
        <f t="shared" si="2"/>
        <v>0</v>
      </c>
      <c r="N457" s="77"/>
      <c r="O457" s="90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</row>
    <row r="458" ht="18.0" customHeight="1">
      <c r="A458" s="81"/>
      <c r="B458" s="91" t="str">
        <f>"35-94-70"</f>
        <v>35-94-70</v>
      </c>
      <c r="C458" s="91" t="str">
        <f>"693102594708"</f>
        <v>693102594708</v>
      </c>
      <c r="D458" s="92" t="s">
        <v>470</v>
      </c>
      <c r="E458" s="93" t="s">
        <v>248</v>
      </c>
      <c r="F458" s="94">
        <v>23.0</v>
      </c>
      <c r="G458" s="94">
        <v>11.5</v>
      </c>
      <c r="H458" s="95">
        <v>0.604</v>
      </c>
      <c r="I458" s="96">
        <v>10.9296</v>
      </c>
      <c r="J458" s="93" t="s">
        <v>31</v>
      </c>
      <c r="K458" s="97"/>
      <c r="L458" s="93" t="str">
        <f t="shared" si="1"/>
        <v/>
      </c>
      <c r="M458" s="98">
        <f t="shared" si="2"/>
        <v>0</v>
      </c>
      <c r="N458" s="77"/>
      <c r="O458" s="90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</row>
    <row r="459" ht="18.0" customHeight="1">
      <c r="A459" s="81"/>
      <c r="B459" s="91" t="str">
        <f>"35-10-11"</f>
        <v>35-10-11</v>
      </c>
      <c r="C459" s="91" t="str">
        <f>"693102510111"</f>
        <v>693102510111</v>
      </c>
      <c r="D459" s="92" t="s">
        <v>471</v>
      </c>
      <c r="E459" s="93" t="s">
        <v>231</v>
      </c>
      <c r="F459" s="94">
        <v>19.0</v>
      </c>
      <c r="G459" s="94">
        <v>9.5</v>
      </c>
      <c r="H459" s="95">
        <v>0.604</v>
      </c>
      <c r="I459" s="96">
        <v>9.0288</v>
      </c>
      <c r="J459" s="93" t="s">
        <v>31</v>
      </c>
      <c r="K459" s="97"/>
      <c r="L459" s="93" t="str">
        <f t="shared" si="1"/>
        <v/>
      </c>
      <c r="M459" s="98">
        <f t="shared" si="2"/>
        <v>0</v>
      </c>
      <c r="N459" s="77"/>
      <c r="O459" s="90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</row>
    <row r="460" ht="18.0" customHeight="1">
      <c r="A460" s="81"/>
      <c r="B460" s="91" t="str">
        <f>"16057"</f>
        <v>16057</v>
      </c>
      <c r="C460" s="91" t="str">
        <f>"693102160576"</f>
        <v>693102160576</v>
      </c>
      <c r="D460" s="92" t="s">
        <v>471</v>
      </c>
      <c r="E460" s="93" t="s">
        <v>248</v>
      </c>
      <c r="F460" s="94">
        <v>35.0</v>
      </c>
      <c r="G460" s="94">
        <v>17.5</v>
      </c>
      <c r="H460" s="95">
        <v>0.604</v>
      </c>
      <c r="I460" s="96">
        <v>16.631999999999998</v>
      </c>
      <c r="J460" s="93" t="s">
        <v>31</v>
      </c>
      <c r="K460" s="97"/>
      <c r="L460" s="93" t="str">
        <f t="shared" si="1"/>
        <v/>
      </c>
      <c r="M460" s="98">
        <f t="shared" si="2"/>
        <v>0</v>
      </c>
      <c r="N460" s="77"/>
      <c r="O460" s="90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</row>
    <row r="461" ht="18.0" customHeight="1">
      <c r="A461" s="81"/>
      <c r="B461" s="91" t="str">
        <f>"42-59-31"</f>
        <v>42-59-31</v>
      </c>
      <c r="C461" s="91" t="str">
        <f>"693102259317"</f>
        <v>693102259317</v>
      </c>
      <c r="D461" s="92" t="s">
        <v>472</v>
      </c>
      <c r="E461" s="93" t="s">
        <v>245</v>
      </c>
      <c r="F461" s="94">
        <v>25.0</v>
      </c>
      <c r="G461" s="94">
        <v>12.5</v>
      </c>
      <c r="H461" s="95">
        <v>0.604</v>
      </c>
      <c r="I461" s="96">
        <v>11.88</v>
      </c>
      <c r="J461" s="93" t="s">
        <v>31</v>
      </c>
      <c r="K461" s="97"/>
      <c r="L461" s="93" t="str">
        <f t="shared" si="1"/>
        <v/>
      </c>
      <c r="M461" s="98">
        <f t="shared" si="2"/>
        <v>0</v>
      </c>
      <c r="N461" s="77"/>
      <c r="O461" s="90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</row>
    <row r="462" ht="18.0" customHeight="1">
      <c r="A462" s="81"/>
      <c r="B462" s="91" t="str">
        <f>"42-59-32"</f>
        <v>42-59-32</v>
      </c>
      <c r="C462" s="91" t="str">
        <f>"693102259324"</f>
        <v>693102259324</v>
      </c>
      <c r="D462" s="92" t="s">
        <v>473</v>
      </c>
      <c r="E462" s="93" t="s">
        <v>245</v>
      </c>
      <c r="F462" s="94">
        <v>25.0</v>
      </c>
      <c r="G462" s="94">
        <v>12.5</v>
      </c>
      <c r="H462" s="95">
        <v>0.604</v>
      </c>
      <c r="I462" s="96">
        <v>11.88</v>
      </c>
      <c r="J462" s="93" t="s">
        <v>31</v>
      </c>
      <c r="K462" s="97"/>
      <c r="L462" s="93" t="str">
        <f t="shared" si="1"/>
        <v/>
      </c>
      <c r="M462" s="98">
        <f t="shared" si="2"/>
        <v>0</v>
      </c>
      <c r="N462" s="77"/>
      <c r="O462" s="90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</row>
    <row r="463" ht="18.0" customHeight="1">
      <c r="A463" s="81"/>
      <c r="B463" s="91" t="str">
        <f>"42-59-38"</f>
        <v>42-59-38</v>
      </c>
      <c r="C463" s="91" t="str">
        <f>"693102259386"</f>
        <v>693102259386</v>
      </c>
      <c r="D463" s="92" t="s">
        <v>474</v>
      </c>
      <c r="E463" s="93" t="s">
        <v>245</v>
      </c>
      <c r="F463" s="94">
        <v>25.0</v>
      </c>
      <c r="G463" s="94">
        <v>12.5</v>
      </c>
      <c r="H463" s="95">
        <v>0.604</v>
      </c>
      <c r="I463" s="96">
        <v>11.88</v>
      </c>
      <c r="J463" s="93" t="s">
        <v>31</v>
      </c>
      <c r="K463" s="97"/>
      <c r="L463" s="93" t="str">
        <f t="shared" si="1"/>
        <v/>
      </c>
      <c r="M463" s="98">
        <f t="shared" si="2"/>
        <v>0</v>
      </c>
      <c r="N463" s="77"/>
      <c r="O463" s="90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</row>
    <row r="464" ht="18.0" customHeight="1">
      <c r="A464" s="81"/>
      <c r="B464" s="91" t="str">
        <f>"25929"</f>
        <v>25929</v>
      </c>
      <c r="C464" s="91" t="str">
        <f>"693102259294"</f>
        <v>693102259294</v>
      </c>
      <c r="D464" s="92" t="s">
        <v>475</v>
      </c>
      <c r="E464" s="93" t="s">
        <v>245</v>
      </c>
      <c r="F464" s="94">
        <v>25.0</v>
      </c>
      <c r="G464" s="94">
        <v>12.5</v>
      </c>
      <c r="H464" s="95">
        <v>0.604</v>
      </c>
      <c r="I464" s="96">
        <v>11.88</v>
      </c>
      <c r="J464" s="93" t="s">
        <v>31</v>
      </c>
      <c r="K464" s="97"/>
      <c r="L464" s="93" t="str">
        <f t="shared" si="1"/>
        <v/>
      </c>
      <c r="M464" s="98">
        <f t="shared" si="2"/>
        <v>0</v>
      </c>
      <c r="N464" s="77"/>
      <c r="O464" s="90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</row>
    <row r="465" ht="18.0" customHeight="1">
      <c r="A465" s="81"/>
      <c r="B465" s="91" t="str">
        <f>"25940"</f>
        <v>25940</v>
      </c>
      <c r="C465" s="91" t="str">
        <f>"693102259409"</f>
        <v>693102259409</v>
      </c>
      <c r="D465" s="92" t="s">
        <v>476</v>
      </c>
      <c r="E465" s="93" t="s">
        <v>477</v>
      </c>
      <c r="F465" s="94">
        <v>59.0</v>
      </c>
      <c r="G465" s="94">
        <v>29.5</v>
      </c>
      <c r="H465" s="95">
        <v>0.604</v>
      </c>
      <c r="I465" s="96">
        <v>28.0368</v>
      </c>
      <c r="J465" s="93" t="s">
        <v>31</v>
      </c>
      <c r="K465" s="97"/>
      <c r="L465" s="93" t="str">
        <f t="shared" si="1"/>
        <v/>
      </c>
      <c r="M465" s="98">
        <f t="shared" si="2"/>
        <v>0</v>
      </c>
      <c r="N465" s="77"/>
      <c r="O465" s="90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</row>
    <row r="466" ht="18.0" customHeight="1">
      <c r="A466" s="81"/>
      <c r="B466" s="91" t="str">
        <f>"21000"</f>
        <v>21000</v>
      </c>
      <c r="C466" s="91" t="str">
        <f>"693102210004"</f>
        <v>693102210004</v>
      </c>
      <c r="D466" s="92" t="s">
        <v>478</v>
      </c>
      <c r="E466" s="93" t="s">
        <v>231</v>
      </c>
      <c r="F466" s="94">
        <v>20.0</v>
      </c>
      <c r="G466" s="94">
        <v>10.0</v>
      </c>
      <c r="H466" s="95">
        <v>0.604</v>
      </c>
      <c r="I466" s="96">
        <v>9.504</v>
      </c>
      <c r="J466" s="93" t="s">
        <v>31</v>
      </c>
      <c r="K466" s="97"/>
      <c r="L466" s="93" t="str">
        <f t="shared" si="1"/>
        <v/>
      </c>
      <c r="M466" s="98">
        <f t="shared" si="2"/>
        <v>0</v>
      </c>
      <c r="N466" s="77"/>
      <c r="O466" s="90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</row>
    <row r="467" ht="18.0" customHeight="1">
      <c r="A467" s="81"/>
      <c r="B467" s="91" t="str">
        <f>"21001"</f>
        <v>21001</v>
      </c>
      <c r="C467" s="91" t="str">
        <f>"693102210011"</f>
        <v>693102210011</v>
      </c>
      <c r="D467" s="92" t="s">
        <v>479</v>
      </c>
      <c r="E467" s="93" t="s">
        <v>231</v>
      </c>
      <c r="F467" s="94">
        <v>20.0</v>
      </c>
      <c r="G467" s="94">
        <v>10.0</v>
      </c>
      <c r="H467" s="95">
        <v>0.604</v>
      </c>
      <c r="I467" s="96">
        <v>9.504</v>
      </c>
      <c r="J467" s="93" t="s">
        <v>31</v>
      </c>
      <c r="K467" s="97"/>
      <c r="L467" s="93" t="str">
        <f t="shared" si="1"/>
        <v/>
      </c>
      <c r="M467" s="98">
        <f t="shared" si="2"/>
        <v>0</v>
      </c>
      <c r="N467" s="77"/>
      <c r="O467" s="90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</row>
    <row r="468" ht="18.0" customHeight="1">
      <c r="A468" s="81"/>
      <c r="B468" s="91" t="str">
        <f>"21003"</f>
        <v>21003</v>
      </c>
      <c r="C468" s="91" t="str">
        <f>"693102210035"</f>
        <v>693102210035</v>
      </c>
      <c r="D468" s="92" t="s">
        <v>480</v>
      </c>
      <c r="E468" s="93" t="s">
        <v>231</v>
      </c>
      <c r="F468" s="94">
        <v>20.0</v>
      </c>
      <c r="G468" s="94">
        <v>10.0</v>
      </c>
      <c r="H468" s="95">
        <v>0.604</v>
      </c>
      <c r="I468" s="96">
        <v>9.504</v>
      </c>
      <c r="J468" s="93" t="s">
        <v>31</v>
      </c>
      <c r="K468" s="97"/>
      <c r="L468" s="93" t="str">
        <f t="shared" si="1"/>
        <v/>
      </c>
      <c r="M468" s="98">
        <f t="shared" si="2"/>
        <v>0</v>
      </c>
      <c r="N468" s="77"/>
      <c r="O468" s="90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</row>
    <row r="469" ht="18.0" customHeight="1">
      <c r="A469" s="81"/>
      <c r="B469" s="91" t="str">
        <f>"21005"</f>
        <v>21005</v>
      </c>
      <c r="C469" s="91" t="str">
        <f>"693102210059"</f>
        <v>693102210059</v>
      </c>
      <c r="D469" s="92" t="s">
        <v>481</v>
      </c>
      <c r="E469" s="93" t="s">
        <v>231</v>
      </c>
      <c r="F469" s="94">
        <v>20.0</v>
      </c>
      <c r="G469" s="94">
        <v>10.0</v>
      </c>
      <c r="H469" s="95">
        <v>0.604</v>
      </c>
      <c r="I469" s="96">
        <v>9.504</v>
      </c>
      <c r="J469" s="93" t="s">
        <v>31</v>
      </c>
      <c r="K469" s="97"/>
      <c r="L469" s="93" t="str">
        <f t="shared" si="1"/>
        <v/>
      </c>
      <c r="M469" s="98">
        <f t="shared" si="2"/>
        <v>0</v>
      </c>
      <c r="N469" s="77"/>
      <c r="O469" s="90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</row>
    <row r="470" ht="18.0" customHeight="1">
      <c r="A470" s="81"/>
      <c r="B470" s="91" t="str">
        <f>"21006"</f>
        <v>21006</v>
      </c>
      <c r="C470" s="91" t="str">
        <f>"693102210066"</f>
        <v>693102210066</v>
      </c>
      <c r="D470" s="92" t="s">
        <v>482</v>
      </c>
      <c r="E470" s="93" t="s">
        <v>231</v>
      </c>
      <c r="F470" s="94">
        <v>20.0</v>
      </c>
      <c r="G470" s="94">
        <v>10.0</v>
      </c>
      <c r="H470" s="95">
        <v>0.604</v>
      </c>
      <c r="I470" s="96">
        <v>9.504</v>
      </c>
      <c r="J470" s="93" t="s">
        <v>31</v>
      </c>
      <c r="K470" s="97"/>
      <c r="L470" s="93" t="str">
        <f t="shared" si="1"/>
        <v/>
      </c>
      <c r="M470" s="98">
        <f t="shared" si="2"/>
        <v>0</v>
      </c>
      <c r="N470" s="77"/>
      <c r="O470" s="90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</row>
    <row r="471" ht="18.0" customHeight="1">
      <c r="A471" s="81"/>
      <c r="B471" s="91" t="str">
        <f>"21007"</f>
        <v>21007</v>
      </c>
      <c r="C471" s="91" t="str">
        <f>"693102210073"</f>
        <v>693102210073</v>
      </c>
      <c r="D471" s="92" t="s">
        <v>483</v>
      </c>
      <c r="E471" s="93" t="s">
        <v>231</v>
      </c>
      <c r="F471" s="94">
        <v>20.0</v>
      </c>
      <c r="G471" s="94">
        <v>10.0</v>
      </c>
      <c r="H471" s="95">
        <v>0.604</v>
      </c>
      <c r="I471" s="96">
        <v>9.504</v>
      </c>
      <c r="J471" s="93" t="s">
        <v>31</v>
      </c>
      <c r="K471" s="97"/>
      <c r="L471" s="93" t="str">
        <f t="shared" si="1"/>
        <v/>
      </c>
      <c r="M471" s="98">
        <f t="shared" si="2"/>
        <v>0</v>
      </c>
      <c r="N471" s="77"/>
      <c r="O471" s="90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</row>
    <row r="472" ht="18.0" customHeight="1">
      <c r="A472" s="81"/>
      <c r="B472" s="91" t="str">
        <f>"21009"</f>
        <v>21009</v>
      </c>
      <c r="C472" s="91" t="str">
        <f>"693102210097"</f>
        <v>693102210097</v>
      </c>
      <c r="D472" s="92" t="s">
        <v>484</v>
      </c>
      <c r="E472" s="93" t="s">
        <v>231</v>
      </c>
      <c r="F472" s="94">
        <v>20.0</v>
      </c>
      <c r="G472" s="94">
        <v>10.0</v>
      </c>
      <c r="H472" s="95">
        <v>0.604</v>
      </c>
      <c r="I472" s="96">
        <v>9.504</v>
      </c>
      <c r="J472" s="93" t="s">
        <v>31</v>
      </c>
      <c r="K472" s="97"/>
      <c r="L472" s="93" t="str">
        <f t="shared" si="1"/>
        <v/>
      </c>
      <c r="M472" s="98">
        <f t="shared" si="2"/>
        <v>0</v>
      </c>
      <c r="N472" s="77"/>
      <c r="O472" s="90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</row>
    <row r="473" ht="18.0" customHeight="1">
      <c r="A473" s="81"/>
      <c r="B473" s="91" t="str">
        <f>"21010"</f>
        <v>21010</v>
      </c>
      <c r="C473" s="91" t="str">
        <f>"693102210103"</f>
        <v>693102210103</v>
      </c>
      <c r="D473" s="92" t="s">
        <v>485</v>
      </c>
      <c r="E473" s="93" t="s">
        <v>231</v>
      </c>
      <c r="F473" s="94">
        <v>20.0</v>
      </c>
      <c r="G473" s="94">
        <v>10.0</v>
      </c>
      <c r="H473" s="95">
        <v>0.604</v>
      </c>
      <c r="I473" s="96">
        <v>9.504</v>
      </c>
      <c r="J473" s="93" t="s">
        <v>31</v>
      </c>
      <c r="K473" s="97"/>
      <c r="L473" s="93" t="str">
        <f t="shared" si="1"/>
        <v/>
      </c>
      <c r="M473" s="98">
        <f t="shared" si="2"/>
        <v>0</v>
      </c>
      <c r="N473" s="77"/>
      <c r="O473" s="90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</row>
    <row r="474" ht="18.0" customHeight="1">
      <c r="A474" s="81"/>
      <c r="B474" s="91" t="str">
        <f>"21011"</f>
        <v>21011</v>
      </c>
      <c r="C474" s="91" t="str">
        <f>"693102210110"</f>
        <v>693102210110</v>
      </c>
      <c r="D474" s="92" t="s">
        <v>486</v>
      </c>
      <c r="E474" s="93" t="s">
        <v>231</v>
      </c>
      <c r="F474" s="94">
        <v>24.0</v>
      </c>
      <c r="G474" s="94">
        <v>12.0</v>
      </c>
      <c r="H474" s="95">
        <v>0.604</v>
      </c>
      <c r="I474" s="96">
        <v>11.4048</v>
      </c>
      <c r="J474" s="93" t="s">
        <v>31</v>
      </c>
      <c r="K474" s="97"/>
      <c r="L474" s="93" t="str">
        <f t="shared" si="1"/>
        <v/>
      </c>
      <c r="M474" s="98">
        <f t="shared" si="2"/>
        <v>0</v>
      </c>
      <c r="N474" s="77"/>
      <c r="O474" s="90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</row>
    <row r="475" ht="18.0" customHeight="1">
      <c r="A475" s="81"/>
      <c r="B475" s="91" t="str">
        <f>"21012"</f>
        <v>21012</v>
      </c>
      <c r="C475" s="91" t="str">
        <f>"693102210127"</f>
        <v>693102210127</v>
      </c>
      <c r="D475" s="92" t="s">
        <v>487</v>
      </c>
      <c r="E475" s="93" t="s">
        <v>231</v>
      </c>
      <c r="F475" s="94">
        <v>24.0</v>
      </c>
      <c r="G475" s="94">
        <v>12.0</v>
      </c>
      <c r="H475" s="95">
        <v>0.604</v>
      </c>
      <c r="I475" s="96">
        <v>11.4048</v>
      </c>
      <c r="J475" s="93" t="s">
        <v>31</v>
      </c>
      <c r="K475" s="97"/>
      <c r="L475" s="93" t="str">
        <f t="shared" si="1"/>
        <v/>
      </c>
      <c r="M475" s="98">
        <f t="shared" si="2"/>
        <v>0</v>
      </c>
      <c r="N475" s="77"/>
      <c r="O475" s="90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</row>
    <row r="476" ht="18.0" customHeight="1">
      <c r="A476" s="81"/>
      <c r="B476" s="91" t="str">
        <f>"21013"</f>
        <v>21013</v>
      </c>
      <c r="C476" s="91" t="str">
        <f>"693102210134"</f>
        <v>693102210134</v>
      </c>
      <c r="D476" s="92" t="s">
        <v>488</v>
      </c>
      <c r="E476" s="93" t="s">
        <v>231</v>
      </c>
      <c r="F476" s="94">
        <v>24.0</v>
      </c>
      <c r="G476" s="94">
        <v>12.0</v>
      </c>
      <c r="H476" s="95">
        <v>0.604</v>
      </c>
      <c r="I476" s="96">
        <v>11.4048</v>
      </c>
      <c r="J476" s="93" t="s">
        <v>31</v>
      </c>
      <c r="K476" s="97"/>
      <c r="L476" s="93" t="str">
        <f t="shared" si="1"/>
        <v/>
      </c>
      <c r="M476" s="98">
        <f t="shared" si="2"/>
        <v>0</v>
      </c>
      <c r="N476" s="77"/>
      <c r="O476" s="90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</row>
    <row r="477" ht="18.0" customHeight="1">
      <c r="A477" s="81"/>
      <c r="B477" s="91" t="str">
        <f>"21014"</f>
        <v>21014</v>
      </c>
      <c r="C477" s="91" t="str">
        <f>"693102210141"</f>
        <v>693102210141</v>
      </c>
      <c r="D477" s="92" t="s">
        <v>489</v>
      </c>
      <c r="E477" s="93" t="s">
        <v>231</v>
      </c>
      <c r="F477" s="94">
        <v>24.0</v>
      </c>
      <c r="G477" s="94">
        <v>12.0</v>
      </c>
      <c r="H477" s="95">
        <v>0.604</v>
      </c>
      <c r="I477" s="96">
        <v>11.4048</v>
      </c>
      <c r="J477" s="93" t="s">
        <v>31</v>
      </c>
      <c r="K477" s="97"/>
      <c r="L477" s="93" t="str">
        <f t="shared" si="1"/>
        <v/>
      </c>
      <c r="M477" s="98">
        <f t="shared" si="2"/>
        <v>0</v>
      </c>
      <c r="N477" s="77"/>
      <c r="O477" s="90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</row>
    <row r="478" ht="18.0" customHeight="1">
      <c r="A478" s="81"/>
      <c r="B478" s="91" t="str">
        <f>"21015"</f>
        <v>21015</v>
      </c>
      <c r="C478" s="91" t="str">
        <f>"693102210158"</f>
        <v>693102210158</v>
      </c>
      <c r="D478" s="92" t="s">
        <v>490</v>
      </c>
      <c r="E478" s="93" t="s">
        <v>231</v>
      </c>
      <c r="F478" s="94">
        <v>24.0</v>
      </c>
      <c r="G478" s="94">
        <v>12.0</v>
      </c>
      <c r="H478" s="95">
        <v>0.604</v>
      </c>
      <c r="I478" s="96">
        <v>11.4048</v>
      </c>
      <c r="J478" s="93" t="s">
        <v>31</v>
      </c>
      <c r="K478" s="97"/>
      <c r="L478" s="93" t="str">
        <f t="shared" si="1"/>
        <v/>
      </c>
      <c r="M478" s="98">
        <f t="shared" si="2"/>
        <v>0</v>
      </c>
      <c r="N478" s="77"/>
      <c r="O478" s="90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</row>
    <row r="479" ht="18.0" customHeight="1">
      <c r="A479" s="81"/>
      <c r="B479" s="91" t="str">
        <f>"21016"</f>
        <v>21016</v>
      </c>
      <c r="C479" s="91" t="str">
        <f>"693102210165"</f>
        <v>693102210165</v>
      </c>
      <c r="D479" s="92" t="s">
        <v>491</v>
      </c>
      <c r="E479" s="93" t="s">
        <v>231</v>
      </c>
      <c r="F479" s="94">
        <v>24.0</v>
      </c>
      <c r="G479" s="94">
        <v>12.0</v>
      </c>
      <c r="H479" s="95">
        <v>0.604</v>
      </c>
      <c r="I479" s="96">
        <v>11.4048</v>
      </c>
      <c r="J479" s="93" t="s">
        <v>31</v>
      </c>
      <c r="K479" s="97"/>
      <c r="L479" s="93" t="str">
        <f t="shared" si="1"/>
        <v/>
      </c>
      <c r="M479" s="98">
        <f t="shared" si="2"/>
        <v>0</v>
      </c>
      <c r="N479" s="77"/>
      <c r="O479" s="90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</row>
    <row r="480" ht="18.0" customHeight="1">
      <c r="A480" s="81"/>
      <c r="B480" s="91" t="str">
        <f>"21017"</f>
        <v>21017</v>
      </c>
      <c r="C480" s="91" t="str">
        <f>"693102210172"</f>
        <v>693102210172</v>
      </c>
      <c r="D480" s="92" t="s">
        <v>492</v>
      </c>
      <c r="E480" s="93" t="s">
        <v>231</v>
      </c>
      <c r="F480" s="94">
        <v>24.0</v>
      </c>
      <c r="G480" s="94">
        <v>12.0</v>
      </c>
      <c r="H480" s="95">
        <v>0.604</v>
      </c>
      <c r="I480" s="96">
        <v>11.4048</v>
      </c>
      <c r="J480" s="93" t="s">
        <v>31</v>
      </c>
      <c r="K480" s="97"/>
      <c r="L480" s="93" t="str">
        <f t="shared" si="1"/>
        <v/>
      </c>
      <c r="M480" s="98">
        <f t="shared" si="2"/>
        <v>0</v>
      </c>
      <c r="N480" s="77"/>
      <c r="O480" s="90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</row>
    <row r="481" ht="18.0" customHeight="1">
      <c r="A481" s="81"/>
      <c r="B481" s="91" t="str">
        <f>"21018"</f>
        <v>21018</v>
      </c>
      <c r="C481" s="91" t="str">
        <f>"693102210189"</f>
        <v>693102210189</v>
      </c>
      <c r="D481" s="92" t="s">
        <v>493</v>
      </c>
      <c r="E481" s="93" t="s">
        <v>231</v>
      </c>
      <c r="F481" s="94">
        <v>24.0</v>
      </c>
      <c r="G481" s="94">
        <v>12.0</v>
      </c>
      <c r="H481" s="95">
        <v>0.604</v>
      </c>
      <c r="I481" s="96">
        <v>11.4048</v>
      </c>
      <c r="J481" s="93" t="s">
        <v>31</v>
      </c>
      <c r="K481" s="97"/>
      <c r="L481" s="93" t="str">
        <f t="shared" si="1"/>
        <v/>
      </c>
      <c r="M481" s="98">
        <f t="shared" si="2"/>
        <v>0</v>
      </c>
      <c r="N481" s="77"/>
      <c r="O481" s="90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</row>
    <row r="482" ht="18.0" customHeight="1">
      <c r="A482" s="81"/>
      <c r="B482" s="91" t="str">
        <f>"21020"</f>
        <v>21020</v>
      </c>
      <c r="C482" s="91" t="str">
        <f>"693102210202"</f>
        <v>693102210202</v>
      </c>
      <c r="D482" s="92" t="s">
        <v>494</v>
      </c>
      <c r="E482" s="93" t="s">
        <v>95</v>
      </c>
      <c r="F482" s="94">
        <v>26.0</v>
      </c>
      <c r="G482" s="94">
        <v>13.0</v>
      </c>
      <c r="H482" s="95">
        <v>0.33999999999999997</v>
      </c>
      <c r="I482" s="96">
        <v>20.592</v>
      </c>
      <c r="J482" s="93" t="s">
        <v>31</v>
      </c>
      <c r="K482" s="97"/>
      <c r="L482" s="93" t="str">
        <f t="shared" si="1"/>
        <v/>
      </c>
      <c r="M482" s="98">
        <f t="shared" si="2"/>
        <v>0</v>
      </c>
      <c r="N482" s="77"/>
      <c r="O482" s="90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</row>
    <row r="483" ht="18.0" customHeight="1">
      <c r="A483" s="81"/>
      <c r="B483" s="91" t="str">
        <f>"45-00-09"</f>
        <v>45-00-09</v>
      </c>
      <c r="C483" s="91" t="str">
        <f>"693102500099"</f>
        <v>693102500099</v>
      </c>
      <c r="D483" s="92" t="s">
        <v>495</v>
      </c>
      <c r="E483" s="93" t="s">
        <v>496</v>
      </c>
      <c r="F483" s="94">
        <v>10.0</v>
      </c>
      <c r="G483" s="94">
        <v>5.0</v>
      </c>
      <c r="H483" s="95">
        <v>0.604</v>
      </c>
      <c r="I483" s="96">
        <v>4.752</v>
      </c>
      <c r="J483" s="93" t="s">
        <v>31</v>
      </c>
      <c r="K483" s="97"/>
      <c r="L483" s="93" t="str">
        <f t="shared" si="1"/>
        <v/>
      </c>
      <c r="M483" s="98">
        <f t="shared" si="2"/>
        <v>0</v>
      </c>
      <c r="N483" s="77"/>
      <c r="O483" s="90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</row>
    <row r="484" ht="18.0" customHeight="1">
      <c r="A484" s="81"/>
      <c r="B484" s="91" t="str">
        <f>"44200"</f>
        <v>44200</v>
      </c>
      <c r="C484" s="91" t="str">
        <f>"693102442009"</f>
        <v>693102442009</v>
      </c>
      <c r="D484" s="92" t="s">
        <v>497</v>
      </c>
      <c r="E484" s="93" t="s">
        <v>498</v>
      </c>
      <c r="F484" s="94">
        <v>20.0</v>
      </c>
      <c r="G484" s="94">
        <v>10.0</v>
      </c>
      <c r="H484" s="95">
        <v>0.604</v>
      </c>
      <c r="I484" s="96">
        <v>9.504</v>
      </c>
      <c r="J484" s="93" t="s">
        <v>31</v>
      </c>
      <c r="K484" s="97"/>
      <c r="L484" s="93" t="str">
        <f t="shared" si="1"/>
        <v/>
      </c>
      <c r="M484" s="98">
        <f t="shared" si="2"/>
        <v>0</v>
      </c>
      <c r="N484" s="77"/>
      <c r="O484" s="90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</row>
    <row r="485" ht="18.0" customHeight="1">
      <c r="A485" s="81"/>
      <c r="B485" s="91" t="str">
        <f>"44000"</f>
        <v>44000</v>
      </c>
      <c r="C485" s="91" t="str">
        <f>"693102440005"</f>
        <v>693102440005</v>
      </c>
      <c r="D485" s="92" t="s">
        <v>499</v>
      </c>
      <c r="E485" s="93" t="s">
        <v>500</v>
      </c>
      <c r="F485" s="94">
        <v>13.0</v>
      </c>
      <c r="G485" s="94">
        <v>6.5</v>
      </c>
      <c r="H485" s="95">
        <v>0.604</v>
      </c>
      <c r="I485" s="96">
        <v>6.177599999999999</v>
      </c>
      <c r="J485" s="93" t="s">
        <v>31</v>
      </c>
      <c r="K485" s="97"/>
      <c r="L485" s="93" t="str">
        <f t="shared" si="1"/>
        <v/>
      </c>
      <c r="M485" s="98">
        <f t="shared" si="2"/>
        <v>0</v>
      </c>
      <c r="N485" s="77"/>
      <c r="O485" s="90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</row>
    <row r="486" ht="18.0" customHeight="1">
      <c r="A486" s="81"/>
      <c r="B486" s="91" t="str">
        <f>"44001"</f>
        <v>44001</v>
      </c>
      <c r="C486" s="91" t="str">
        <f>"693102440012"</f>
        <v>693102440012</v>
      </c>
      <c r="D486" s="92" t="s">
        <v>501</v>
      </c>
      <c r="E486" s="93" t="s">
        <v>500</v>
      </c>
      <c r="F486" s="94">
        <v>13.0</v>
      </c>
      <c r="G486" s="94">
        <v>6.5</v>
      </c>
      <c r="H486" s="95">
        <v>0.604</v>
      </c>
      <c r="I486" s="96">
        <v>6.177599999999999</v>
      </c>
      <c r="J486" s="93" t="s">
        <v>31</v>
      </c>
      <c r="K486" s="97"/>
      <c r="L486" s="93" t="str">
        <f t="shared" si="1"/>
        <v/>
      </c>
      <c r="M486" s="98">
        <f t="shared" si="2"/>
        <v>0</v>
      </c>
      <c r="N486" s="77"/>
      <c r="O486" s="90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</row>
    <row r="487" ht="18.0" customHeight="1">
      <c r="A487" s="81"/>
      <c r="B487" s="91" t="str">
        <f>"44002"</f>
        <v>44002</v>
      </c>
      <c r="C487" s="91" t="str">
        <f>"693102440029"</f>
        <v>693102440029</v>
      </c>
      <c r="D487" s="92" t="s">
        <v>502</v>
      </c>
      <c r="E487" s="93" t="s">
        <v>500</v>
      </c>
      <c r="F487" s="94">
        <v>13.0</v>
      </c>
      <c r="G487" s="94">
        <v>6.5</v>
      </c>
      <c r="H487" s="95">
        <v>0.604</v>
      </c>
      <c r="I487" s="96">
        <v>6.177599999999999</v>
      </c>
      <c r="J487" s="93" t="s">
        <v>31</v>
      </c>
      <c r="K487" s="97"/>
      <c r="L487" s="93" t="str">
        <f t="shared" si="1"/>
        <v/>
      </c>
      <c r="M487" s="98">
        <f t="shared" si="2"/>
        <v>0</v>
      </c>
      <c r="N487" s="77"/>
      <c r="O487" s="90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</row>
    <row r="488" ht="18.0" customHeight="1">
      <c r="A488" s="81"/>
      <c r="B488" s="91" t="str">
        <f>"44003"</f>
        <v>44003</v>
      </c>
      <c r="C488" s="91" t="str">
        <f>"693102440036"</f>
        <v>693102440036</v>
      </c>
      <c r="D488" s="92" t="s">
        <v>503</v>
      </c>
      <c r="E488" s="93" t="s">
        <v>500</v>
      </c>
      <c r="F488" s="94">
        <v>13.0</v>
      </c>
      <c r="G488" s="94">
        <v>6.5</v>
      </c>
      <c r="H488" s="95">
        <v>0.604</v>
      </c>
      <c r="I488" s="96">
        <v>6.177599999999999</v>
      </c>
      <c r="J488" s="93" t="s">
        <v>31</v>
      </c>
      <c r="K488" s="97"/>
      <c r="L488" s="93" t="str">
        <f t="shared" si="1"/>
        <v/>
      </c>
      <c r="M488" s="98">
        <f t="shared" si="2"/>
        <v>0</v>
      </c>
      <c r="N488" s="77"/>
      <c r="O488" s="90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</row>
    <row r="489" ht="18.0" customHeight="1">
      <c r="A489" s="81"/>
      <c r="B489" s="91" t="str">
        <f>"44004"</f>
        <v>44004</v>
      </c>
      <c r="C489" s="91" t="str">
        <f>"693102440043"</f>
        <v>693102440043</v>
      </c>
      <c r="D489" s="92" t="s">
        <v>504</v>
      </c>
      <c r="E489" s="93" t="s">
        <v>500</v>
      </c>
      <c r="F489" s="94">
        <v>13.0</v>
      </c>
      <c r="G489" s="94">
        <v>6.5</v>
      </c>
      <c r="H489" s="95">
        <v>0.604</v>
      </c>
      <c r="I489" s="96">
        <v>6.177599999999999</v>
      </c>
      <c r="J489" s="93" t="s">
        <v>31</v>
      </c>
      <c r="K489" s="97"/>
      <c r="L489" s="93" t="str">
        <f t="shared" si="1"/>
        <v/>
      </c>
      <c r="M489" s="98">
        <f t="shared" si="2"/>
        <v>0</v>
      </c>
      <c r="N489" s="77"/>
      <c r="O489" s="90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</row>
    <row r="490" ht="18.0" customHeight="1">
      <c r="A490" s="81"/>
      <c r="B490" s="91" t="str">
        <f>"44005"</f>
        <v>44005</v>
      </c>
      <c r="C490" s="91" t="str">
        <f>"693102440050"</f>
        <v>693102440050</v>
      </c>
      <c r="D490" s="92" t="s">
        <v>505</v>
      </c>
      <c r="E490" s="93" t="s">
        <v>500</v>
      </c>
      <c r="F490" s="94">
        <v>13.0</v>
      </c>
      <c r="G490" s="94">
        <v>6.5</v>
      </c>
      <c r="H490" s="95">
        <v>0.604</v>
      </c>
      <c r="I490" s="96">
        <v>6.177599999999999</v>
      </c>
      <c r="J490" s="93" t="s">
        <v>31</v>
      </c>
      <c r="K490" s="97"/>
      <c r="L490" s="93" t="str">
        <f t="shared" si="1"/>
        <v/>
      </c>
      <c r="M490" s="98">
        <f t="shared" si="2"/>
        <v>0</v>
      </c>
      <c r="N490" s="77"/>
      <c r="O490" s="90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</row>
    <row r="491" ht="18.0" customHeight="1">
      <c r="A491" s="81"/>
      <c r="B491" s="91" t="str">
        <f>"44006"</f>
        <v>44006</v>
      </c>
      <c r="C491" s="91" t="str">
        <f>"693102440067"</f>
        <v>693102440067</v>
      </c>
      <c r="D491" s="92" t="s">
        <v>506</v>
      </c>
      <c r="E491" s="93" t="s">
        <v>500</v>
      </c>
      <c r="F491" s="94">
        <v>13.0</v>
      </c>
      <c r="G491" s="94">
        <v>6.5</v>
      </c>
      <c r="H491" s="95">
        <v>0.604</v>
      </c>
      <c r="I491" s="96">
        <v>6.177599999999999</v>
      </c>
      <c r="J491" s="93" t="s">
        <v>31</v>
      </c>
      <c r="K491" s="97"/>
      <c r="L491" s="93" t="str">
        <f t="shared" si="1"/>
        <v/>
      </c>
      <c r="M491" s="98">
        <f t="shared" si="2"/>
        <v>0</v>
      </c>
      <c r="N491" s="77"/>
      <c r="O491" s="90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</row>
    <row r="492" ht="18.0" customHeight="1">
      <c r="A492" s="81"/>
      <c r="B492" s="91" t="str">
        <f>"44007"</f>
        <v>44007</v>
      </c>
      <c r="C492" s="91" t="str">
        <f>"693102440074"</f>
        <v>693102440074</v>
      </c>
      <c r="D492" s="92" t="s">
        <v>507</v>
      </c>
      <c r="E492" s="93" t="s">
        <v>500</v>
      </c>
      <c r="F492" s="94">
        <v>13.0</v>
      </c>
      <c r="G492" s="94">
        <v>6.5</v>
      </c>
      <c r="H492" s="95">
        <v>0.604</v>
      </c>
      <c r="I492" s="96">
        <v>6.177599999999999</v>
      </c>
      <c r="J492" s="93" t="s">
        <v>31</v>
      </c>
      <c r="K492" s="97"/>
      <c r="L492" s="93" t="str">
        <f t="shared" si="1"/>
        <v/>
      </c>
      <c r="M492" s="98">
        <f t="shared" si="2"/>
        <v>0</v>
      </c>
      <c r="N492" s="77"/>
      <c r="O492" s="90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</row>
    <row r="493" ht="18.0" customHeight="1">
      <c r="A493" s="81"/>
      <c r="B493" s="91" t="str">
        <f>"44008"</f>
        <v>44008</v>
      </c>
      <c r="C493" s="91" t="str">
        <f>"693102440081"</f>
        <v>693102440081</v>
      </c>
      <c r="D493" s="92" t="s">
        <v>508</v>
      </c>
      <c r="E493" s="93" t="s">
        <v>500</v>
      </c>
      <c r="F493" s="94">
        <v>13.0</v>
      </c>
      <c r="G493" s="94">
        <v>6.5</v>
      </c>
      <c r="H493" s="95">
        <v>0.604</v>
      </c>
      <c r="I493" s="96">
        <v>6.177599999999999</v>
      </c>
      <c r="J493" s="93" t="s">
        <v>31</v>
      </c>
      <c r="K493" s="97"/>
      <c r="L493" s="93" t="str">
        <f t="shared" si="1"/>
        <v/>
      </c>
      <c r="M493" s="98">
        <f t="shared" si="2"/>
        <v>0</v>
      </c>
      <c r="N493" s="77"/>
      <c r="O493" s="90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</row>
    <row r="494" ht="18.0" customHeight="1">
      <c r="A494" s="81"/>
      <c r="B494" s="91" t="str">
        <f>"44009"</f>
        <v>44009</v>
      </c>
      <c r="C494" s="91" t="str">
        <f>"693102440098"</f>
        <v>693102440098</v>
      </c>
      <c r="D494" s="92" t="s">
        <v>509</v>
      </c>
      <c r="E494" s="93" t="s">
        <v>500</v>
      </c>
      <c r="F494" s="94">
        <v>13.0</v>
      </c>
      <c r="G494" s="94">
        <v>6.5</v>
      </c>
      <c r="H494" s="95">
        <v>0.604</v>
      </c>
      <c r="I494" s="96">
        <v>6.177599999999999</v>
      </c>
      <c r="J494" s="93" t="s">
        <v>31</v>
      </c>
      <c r="K494" s="97"/>
      <c r="L494" s="93" t="str">
        <f t="shared" si="1"/>
        <v/>
      </c>
      <c r="M494" s="98">
        <f t="shared" si="2"/>
        <v>0</v>
      </c>
      <c r="N494" s="77"/>
      <c r="O494" s="90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</row>
    <row r="495" ht="18.0" customHeight="1">
      <c r="A495" s="81"/>
      <c r="B495" s="91" t="str">
        <f>"44010"</f>
        <v>44010</v>
      </c>
      <c r="C495" s="91" t="str">
        <f>"693102440104"</f>
        <v>693102440104</v>
      </c>
      <c r="D495" s="92" t="s">
        <v>510</v>
      </c>
      <c r="E495" s="93" t="s">
        <v>500</v>
      </c>
      <c r="F495" s="94">
        <v>13.0</v>
      </c>
      <c r="G495" s="94">
        <v>6.5</v>
      </c>
      <c r="H495" s="95">
        <v>0.604</v>
      </c>
      <c r="I495" s="96">
        <v>6.177599999999999</v>
      </c>
      <c r="J495" s="93" t="s">
        <v>31</v>
      </c>
      <c r="K495" s="97"/>
      <c r="L495" s="93" t="str">
        <f t="shared" si="1"/>
        <v/>
      </c>
      <c r="M495" s="98">
        <f t="shared" si="2"/>
        <v>0</v>
      </c>
      <c r="N495" s="77"/>
      <c r="O495" s="90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</row>
    <row r="496" ht="18.0" customHeight="1">
      <c r="A496" s="81"/>
      <c r="B496" s="91" t="str">
        <f>"44011"</f>
        <v>44011</v>
      </c>
      <c r="C496" s="91" t="str">
        <f>"693102440111"</f>
        <v>693102440111</v>
      </c>
      <c r="D496" s="92" t="s">
        <v>511</v>
      </c>
      <c r="E496" s="93" t="s">
        <v>500</v>
      </c>
      <c r="F496" s="94">
        <v>13.0</v>
      </c>
      <c r="G496" s="94">
        <v>6.5</v>
      </c>
      <c r="H496" s="95">
        <v>0.604</v>
      </c>
      <c r="I496" s="96">
        <v>6.177599999999999</v>
      </c>
      <c r="J496" s="93" t="s">
        <v>31</v>
      </c>
      <c r="K496" s="97"/>
      <c r="L496" s="93" t="str">
        <f t="shared" si="1"/>
        <v/>
      </c>
      <c r="M496" s="98">
        <f t="shared" si="2"/>
        <v>0</v>
      </c>
      <c r="N496" s="77"/>
      <c r="O496" s="90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</row>
    <row r="497" ht="18.0" customHeight="1">
      <c r="A497" s="81"/>
      <c r="B497" s="91" t="str">
        <f>"44012"</f>
        <v>44012</v>
      </c>
      <c r="C497" s="91" t="str">
        <f>"693102440128"</f>
        <v>693102440128</v>
      </c>
      <c r="D497" s="92" t="s">
        <v>512</v>
      </c>
      <c r="E497" s="93" t="s">
        <v>500</v>
      </c>
      <c r="F497" s="94">
        <v>13.0</v>
      </c>
      <c r="G497" s="94">
        <v>6.5</v>
      </c>
      <c r="H497" s="95">
        <v>0.604</v>
      </c>
      <c r="I497" s="96">
        <v>6.177599999999999</v>
      </c>
      <c r="J497" s="93" t="s">
        <v>31</v>
      </c>
      <c r="K497" s="97"/>
      <c r="L497" s="93" t="str">
        <f t="shared" si="1"/>
        <v/>
      </c>
      <c r="M497" s="98">
        <f t="shared" si="2"/>
        <v>0</v>
      </c>
      <c r="N497" s="77"/>
      <c r="O497" s="90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</row>
    <row r="498" ht="18.0" customHeight="1">
      <c r="A498" s="81"/>
      <c r="B498" s="91" t="str">
        <f>"44013"</f>
        <v>44013</v>
      </c>
      <c r="C498" s="91" t="str">
        <f>"693102440135"</f>
        <v>693102440135</v>
      </c>
      <c r="D498" s="92" t="s">
        <v>513</v>
      </c>
      <c r="E498" s="93" t="s">
        <v>500</v>
      </c>
      <c r="F498" s="94">
        <v>13.0</v>
      </c>
      <c r="G498" s="94">
        <v>6.5</v>
      </c>
      <c r="H498" s="95">
        <v>0.604</v>
      </c>
      <c r="I498" s="96">
        <v>6.177599999999999</v>
      </c>
      <c r="J498" s="93" t="s">
        <v>31</v>
      </c>
      <c r="K498" s="97"/>
      <c r="L498" s="93" t="str">
        <f t="shared" si="1"/>
        <v/>
      </c>
      <c r="M498" s="98">
        <f t="shared" si="2"/>
        <v>0</v>
      </c>
      <c r="N498" s="77"/>
      <c r="O498" s="90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</row>
    <row r="499" ht="18.0" customHeight="1">
      <c r="A499" s="81"/>
      <c r="B499" s="91" t="str">
        <f>"62-00-07"</f>
        <v>62-00-07</v>
      </c>
      <c r="C499" s="91" t="str">
        <f>"693102200074"</f>
        <v>693102200074</v>
      </c>
      <c r="D499" s="92" t="s">
        <v>514</v>
      </c>
      <c r="E499" s="93" t="s">
        <v>515</v>
      </c>
      <c r="F499" s="94">
        <v>15.0</v>
      </c>
      <c r="G499" s="94">
        <v>7.5</v>
      </c>
      <c r="H499" s="95">
        <v>0.6039999999999999</v>
      </c>
      <c r="I499" s="96">
        <v>7.128</v>
      </c>
      <c r="J499" s="93" t="s">
        <v>31</v>
      </c>
      <c r="K499" s="97"/>
      <c r="L499" s="93" t="str">
        <f t="shared" si="1"/>
        <v/>
      </c>
      <c r="M499" s="98">
        <f t="shared" si="2"/>
        <v>0</v>
      </c>
      <c r="N499" s="77"/>
      <c r="O499" s="90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</row>
    <row r="500" ht="18.0" customHeight="1">
      <c r="A500" s="81"/>
      <c r="B500" s="91" t="str">
        <f>"62-00-13"</f>
        <v>62-00-13</v>
      </c>
      <c r="C500" s="91" t="str">
        <f>"693102617131"</f>
        <v>693102617131</v>
      </c>
      <c r="D500" s="92" t="s">
        <v>516</v>
      </c>
      <c r="E500" s="93" t="s">
        <v>515</v>
      </c>
      <c r="F500" s="94">
        <v>15.0</v>
      </c>
      <c r="G500" s="94">
        <v>7.5</v>
      </c>
      <c r="H500" s="95">
        <v>0.6039999999999999</v>
      </c>
      <c r="I500" s="96">
        <v>7.128</v>
      </c>
      <c r="J500" s="93" t="s">
        <v>31</v>
      </c>
      <c r="K500" s="97"/>
      <c r="L500" s="93" t="str">
        <f t="shared" si="1"/>
        <v/>
      </c>
      <c r="M500" s="98">
        <f t="shared" si="2"/>
        <v>0</v>
      </c>
      <c r="N500" s="77"/>
      <c r="O500" s="90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</row>
    <row r="501" ht="18.0" customHeight="1">
      <c r="A501" s="81"/>
      <c r="B501" s="91" t="str">
        <f>"62-00-02"</f>
        <v>62-00-02</v>
      </c>
      <c r="C501" s="91" t="str">
        <f>"693102200029"</f>
        <v>693102200029</v>
      </c>
      <c r="D501" s="92" t="s">
        <v>517</v>
      </c>
      <c r="E501" s="93" t="s">
        <v>515</v>
      </c>
      <c r="F501" s="94">
        <v>15.0</v>
      </c>
      <c r="G501" s="94">
        <v>7.5</v>
      </c>
      <c r="H501" s="95">
        <v>0.6039999999999999</v>
      </c>
      <c r="I501" s="96">
        <v>7.128</v>
      </c>
      <c r="J501" s="93" t="s">
        <v>31</v>
      </c>
      <c r="K501" s="97"/>
      <c r="L501" s="93" t="str">
        <f t="shared" si="1"/>
        <v/>
      </c>
      <c r="M501" s="98">
        <f t="shared" si="2"/>
        <v>0</v>
      </c>
      <c r="N501" s="77"/>
      <c r="O501" s="90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</row>
    <row r="502" ht="18.0" customHeight="1">
      <c r="A502" s="81"/>
      <c r="B502" s="91" t="str">
        <f>"64-00-79"</f>
        <v>64-00-79</v>
      </c>
      <c r="C502" s="91" t="str">
        <f>"693102400795"</f>
        <v>693102400795</v>
      </c>
      <c r="D502" s="92" t="s">
        <v>518</v>
      </c>
      <c r="E502" s="93" t="s">
        <v>515</v>
      </c>
      <c r="F502" s="94">
        <v>15.0</v>
      </c>
      <c r="G502" s="94">
        <v>7.5</v>
      </c>
      <c r="H502" s="95">
        <v>0.6039999999999999</v>
      </c>
      <c r="I502" s="96">
        <v>7.128</v>
      </c>
      <c r="J502" s="93" t="s">
        <v>31</v>
      </c>
      <c r="K502" s="97"/>
      <c r="L502" s="93" t="str">
        <f t="shared" si="1"/>
        <v/>
      </c>
      <c r="M502" s="98">
        <f t="shared" si="2"/>
        <v>0</v>
      </c>
      <c r="N502" s="77"/>
      <c r="O502" s="90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</row>
    <row r="503" ht="18.0" customHeight="1">
      <c r="A503" s="81"/>
      <c r="B503" s="91" t="str">
        <f>"62-00-12"</f>
        <v>62-00-12</v>
      </c>
      <c r="C503" s="91" t="str">
        <f>"693102617124"</f>
        <v>693102617124</v>
      </c>
      <c r="D503" s="92" t="s">
        <v>519</v>
      </c>
      <c r="E503" s="93" t="s">
        <v>515</v>
      </c>
      <c r="F503" s="94">
        <v>15.0</v>
      </c>
      <c r="G503" s="94">
        <v>7.5</v>
      </c>
      <c r="H503" s="95">
        <v>0.6039999999999999</v>
      </c>
      <c r="I503" s="96">
        <v>7.128</v>
      </c>
      <c r="J503" s="93" t="s">
        <v>31</v>
      </c>
      <c r="K503" s="97"/>
      <c r="L503" s="93" t="str">
        <f t="shared" si="1"/>
        <v/>
      </c>
      <c r="M503" s="98">
        <f t="shared" si="2"/>
        <v>0</v>
      </c>
      <c r="N503" s="77"/>
      <c r="O503" s="90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</row>
    <row r="504" ht="18.0" customHeight="1">
      <c r="A504" s="81"/>
      <c r="B504" s="91" t="str">
        <f>"62-00-26"</f>
        <v>62-00-26</v>
      </c>
      <c r="C504" s="91" t="str">
        <f>"693102200265"</f>
        <v>693102200265</v>
      </c>
      <c r="D504" s="92" t="s">
        <v>520</v>
      </c>
      <c r="E504" s="93" t="s">
        <v>515</v>
      </c>
      <c r="F504" s="94">
        <v>15.0</v>
      </c>
      <c r="G504" s="94">
        <v>7.5</v>
      </c>
      <c r="H504" s="95">
        <v>0.6039999999999999</v>
      </c>
      <c r="I504" s="96">
        <v>7.128</v>
      </c>
      <c r="J504" s="93" t="s">
        <v>31</v>
      </c>
      <c r="K504" s="97"/>
      <c r="L504" s="93" t="str">
        <f t="shared" si="1"/>
        <v/>
      </c>
      <c r="M504" s="98">
        <f t="shared" si="2"/>
        <v>0</v>
      </c>
      <c r="N504" s="77"/>
      <c r="O504" s="90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</row>
    <row r="505" ht="18.0" customHeight="1">
      <c r="A505" s="81"/>
      <c r="B505" s="91" t="str">
        <f>"65-00-31"</f>
        <v>65-00-31</v>
      </c>
      <c r="C505" s="91" t="str">
        <f>"693102500310"</f>
        <v>693102500310</v>
      </c>
      <c r="D505" s="92" t="s">
        <v>521</v>
      </c>
      <c r="E505" s="93" t="s">
        <v>515</v>
      </c>
      <c r="F505" s="94">
        <v>15.0</v>
      </c>
      <c r="G505" s="94">
        <v>7.5</v>
      </c>
      <c r="H505" s="95">
        <v>0.6039999999999999</v>
      </c>
      <c r="I505" s="96">
        <v>7.128</v>
      </c>
      <c r="J505" s="93" t="s">
        <v>31</v>
      </c>
      <c r="K505" s="97"/>
      <c r="L505" s="93" t="str">
        <f t="shared" si="1"/>
        <v/>
      </c>
      <c r="M505" s="98">
        <f t="shared" si="2"/>
        <v>0</v>
      </c>
      <c r="N505" s="77"/>
      <c r="O505" s="90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</row>
    <row r="506" ht="18.0" customHeight="1">
      <c r="A506" s="81"/>
      <c r="B506" s="91" t="str">
        <f>"63-00-85"</f>
        <v>63-00-85</v>
      </c>
      <c r="C506" s="91" t="str">
        <f>"693102300859"</f>
        <v>693102300859</v>
      </c>
      <c r="D506" s="92" t="s">
        <v>522</v>
      </c>
      <c r="E506" s="93" t="s">
        <v>515</v>
      </c>
      <c r="F506" s="94">
        <v>15.0</v>
      </c>
      <c r="G506" s="94">
        <v>7.5</v>
      </c>
      <c r="H506" s="95">
        <v>0.6039999999999999</v>
      </c>
      <c r="I506" s="96">
        <v>7.128</v>
      </c>
      <c r="J506" s="93" t="s">
        <v>31</v>
      </c>
      <c r="K506" s="97"/>
      <c r="L506" s="93" t="str">
        <f t="shared" si="1"/>
        <v/>
      </c>
      <c r="M506" s="98">
        <f t="shared" si="2"/>
        <v>0</v>
      </c>
      <c r="N506" s="77"/>
      <c r="O506" s="90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</row>
    <row r="507" ht="18.0" customHeight="1">
      <c r="A507" s="81"/>
      <c r="B507" s="91" t="str">
        <f>"64-00-95"</f>
        <v>64-00-95</v>
      </c>
      <c r="C507" s="91" t="str">
        <f>"693102400955"</f>
        <v>693102400955</v>
      </c>
      <c r="D507" s="92" t="s">
        <v>523</v>
      </c>
      <c r="E507" s="93" t="s">
        <v>515</v>
      </c>
      <c r="F507" s="94">
        <v>15.0</v>
      </c>
      <c r="G507" s="94">
        <v>7.5</v>
      </c>
      <c r="H507" s="95">
        <v>0.6039999999999999</v>
      </c>
      <c r="I507" s="96">
        <v>7.128</v>
      </c>
      <c r="J507" s="93" t="s">
        <v>31</v>
      </c>
      <c r="K507" s="97"/>
      <c r="L507" s="93" t="str">
        <f t="shared" si="1"/>
        <v/>
      </c>
      <c r="M507" s="98">
        <f t="shared" si="2"/>
        <v>0</v>
      </c>
      <c r="N507" s="77"/>
      <c r="O507" s="90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</row>
    <row r="508" ht="18.0" customHeight="1">
      <c r="A508" s="81"/>
      <c r="B508" s="91" t="str">
        <f>"63-00-83"</f>
        <v>63-00-83</v>
      </c>
      <c r="C508" s="91" t="str">
        <f>"693102300835"</f>
        <v>693102300835</v>
      </c>
      <c r="D508" s="92" t="s">
        <v>524</v>
      </c>
      <c r="E508" s="93" t="s">
        <v>515</v>
      </c>
      <c r="F508" s="94">
        <v>15.0</v>
      </c>
      <c r="G508" s="94">
        <v>7.5</v>
      </c>
      <c r="H508" s="95">
        <v>0.6039999999999999</v>
      </c>
      <c r="I508" s="96">
        <v>7.128</v>
      </c>
      <c r="J508" s="93" t="s">
        <v>31</v>
      </c>
      <c r="K508" s="97"/>
      <c r="L508" s="93" t="str">
        <f t="shared" si="1"/>
        <v/>
      </c>
      <c r="M508" s="98">
        <f t="shared" si="2"/>
        <v>0</v>
      </c>
      <c r="N508" s="77"/>
      <c r="O508" s="90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</row>
    <row r="509" ht="18.0" customHeight="1">
      <c r="A509" s="81"/>
      <c r="B509" s="91" t="str">
        <f>"63-00-82"</f>
        <v>63-00-82</v>
      </c>
      <c r="C509" s="91" t="str">
        <f>"693102300828"</f>
        <v>693102300828</v>
      </c>
      <c r="D509" s="92" t="s">
        <v>525</v>
      </c>
      <c r="E509" s="93" t="s">
        <v>515</v>
      </c>
      <c r="F509" s="94">
        <v>15.0</v>
      </c>
      <c r="G509" s="94">
        <v>7.5</v>
      </c>
      <c r="H509" s="95">
        <v>0.6039999999999999</v>
      </c>
      <c r="I509" s="96">
        <v>7.128</v>
      </c>
      <c r="J509" s="93" t="s">
        <v>31</v>
      </c>
      <c r="K509" s="97"/>
      <c r="L509" s="93" t="str">
        <f t="shared" si="1"/>
        <v/>
      </c>
      <c r="M509" s="98">
        <f t="shared" si="2"/>
        <v>0</v>
      </c>
      <c r="N509" s="77"/>
      <c r="O509" s="90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</row>
    <row r="510" ht="18.0" customHeight="1">
      <c r="A510" s="81"/>
      <c r="B510" s="91" t="str">
        <f>"62-00-16"</f>
        <v>62-00-16</v>
      </c>
      <c r="C510" s="91" t="str">
        <f>"693102617162"</f>
        <v>693102617162</v>
      </c>
      <c r="D510" s="92" t="s">
        <v>526</v>
      </c>
      <c r="E510" s="93" t="s">
        <v>515</v>
      </c>
      <c r="F510" s="94">
        <v>15.0</v>
      </c>
      <c r="G510" s="94">
        <v>7.5</v>
      </c>
      <c r="H510" s="95">
        <v>0.6039999999999999</v>
      </c>
      <c r="I510" s="96">
        <v>7.128</v>
      </c>
      <c r="J510" s="93" t="s">
        <v>31</v>
      </c>
      <c r="K510" s="97"/>
      <c r="L510" s="93" t="str">
        <f t="shared" si="1"/>
        <v/>
      </c>
      <c r="M510" s="98">
        <f t="shared" si="2"/>
        <v>0</v>
      </c>
      <c r="N510" s="77"/>
      <c r="O510" s="90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</row>
    <row r="511" ht="18.0" customHeight="1">
      <c r="A511" s="81"/>
      <c r="B511" s="91" t="str">
        <f>"62-00-26"</f>
        <v>62-00-26</v>
      </c>
      <c r="C511" s="91" t="str">
        <f>"693102"</f>
        <v>693102</v>
      </c>
      <c r="D511" s="92" t="s">
        <v>527</v>
      </c>
      <c r="E511" s="93" t="s">
        <v>515</v>
      </c>
      <c r="F511" s="94">
        <v>15.0</v>
      </c>
      <c r="G511" s="94">
        <v>7.5</v>
      </c>
      <c r="H511" s="95">
        <v>0.6039999999999999</v>
      </c>
      <c r="I511" s="96">
        <v>7.128</v>
      </c>
      <c r="J511" s="93" t="s">
        <v>31</v>
      </c>
      <c r="K511" s="97"/>
      <c r="L511" s="93" t="str">
        <f t="shared" si="1"/>
        <v/>
      </c>
      <c r="M511" s="98">
        <f t="shared" si="2"/>
        <v>0</v>
      </c>
      <c r="N511" s="77"/>
      <c r="O511" s="90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</row>
    <row r="512" ht="18.0" customHeight="1">
      <c r="A512" s="81"/>
      <c r="B512" s="91" t="str">
        <f>"62-00-41"</f>
        <v>62-00-41</v>
      </c>
      <c r="C512" s="91" t="str">
        <f>"693102200418"</f>
        <v>693102200418</v>
      </c>
      <c r="D512" s="92" t="s">
        <v>528</v>
      </c>
      <c r="E512" s="93" t="s">
        <v>515</v>
      </c>
      <c r="F512" s="94">
        <v>15.0</v>
      </c>
      <c r="G512" s="94">
        <v>7.5</v>
      </c>
      <c r="H512" s="95">
        <v>0.6039999999999999</v>
      </c>
      <c r="I512" s="96">
        <v>7.128</v>
      </c>
      <c r="J512" s="93" t="s">
        <v>31</v>
      </c>
      <c r="K512" s="97"/>
      <c r="L512" s="93" t="str">
        <f t="shared" si="1"/>
        <v/>
      </c>
      <c r="M512" s="98">
        <f t="shared" si="2"/>
        <v>0</v>
      </c>
      <c r="N512" s="77"/>
      <c r="O512" s="90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</row>
    <row r="513" ht="18.0" customHeight="1">
      <c r="A513" s="81"/>
      <c r="B513" s="91" t="str">
        <f>"62-00-01"</f>
        <v>62-00-01</v>
      </c>
      <c r="C513" s="91" t="str">
        <f>"693102617018"</f>
        <v>693102617018</v>
      </c>
      <c r="D513" s="92" t="s">
        <v>529</v>
      </c>
      <c r="E513" s="93" t="s">
        <v>515</v>
      </c>
      <c r="F513" s="94">
        <v>15.0</v>
      </c>
      <c r="G513" s="94">
        <v>7.5</v>
      </c>
      <c r="H513" s="95">
        <v>0.6039999999999999</v>
      </c>
      <c r="I513" s="96">
        <v>7.128</v>
      </c>
      <c r="J513" s="93" t="s">
        <v>31</v>
      </c>
      <c r="K513" s="97"/>
      <c r="L513" s="93" t="str">
        <f t="shared" si="1"/>
        <v/>
      </c>
      <c r="M513" s="98">
        <f t="shared" si="2"/>
        <v>0</v>
      </c>
      <c r="N513" s="77"/>
      <c r="O513" s="90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</row>
    <row r="514" ht="18.0" customHeight="1">
      <c r="A514" s="81"/>
      <c r="B514" s="91" t="str">
        <f>"62-00-11"</f>
        <v>62-00-11</v>
      </c>
      <c r="C514" s="91" t="str">
        <f>"693102617117"</f>
        <v>693102617117</v>
      </c>
      <c r="D514" s="92" t="s">
        <v>530</v>
      </c>
      <c r="E514" s="93" t="s">
        <v>515</v>
      </c>
      <c r="F514" s="94">
        <v>15.0</v>
      </c>
      <c r="G514" s="94">
        <v>7.5</v>
      </c>
      <c r="H514" s="95">
        <v>0.6039999999999999</v>
      </c>
      <c r="I514" s="96">
        <v>7.128</v>
      </c>
      <c r="J514" s="93" t="s">
        <v>31</v>
      </c>
      <c r="K514" s="97"/>
      <c r="L514" s="93" t="str">
        <f t="shared" si="1"/>
        <v/>
      </c>
      <c r="M514" s="98">
        <f t="shared" si="2"/>
        <v>0</v>
      </c>
      <c r="N514" s="77"/>
      <c r="O514" s="90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</row>
    <row r="515" ht="18.0" customHeight="1">
      <c r="A515" s="81"/>
      <c r="B515" s="91" t="str">
        <f>"63-00-84"</f>
        <v>63-00-84</v>
      </c>
      <c r="C515" s="91" t="str">
        <f>"693102300842"</f>
        <v>693102300842</v>
      </c>
      <c r="D515" s="92" t="s">
        <v>531</v>
      </c>
      <c r="E515" s="93" t="s">
        <v>515</v>
      </c>
      <c r="F515" s="94">
        <v>15.0</v>
      </c>
      <c r="G515" s="94">
        <v>7.5</v>
      </c>
      <c r="H515" s="95">
        <v>0.6039999999999999</v>
      </c>
      <c r="I515" s="96">
        <v>7.128</v>
      </c>
      <c r="J515" s="93" t="s">
        <v>31</v>
      </c>
      <c r="K515" s="97"/>
      <c r="L515" s="93" t="str">
        <f t="shared" si="1"/>
        <v/>
      </c>
      <c r="M515" s="98">
        <f t="shared" si="2"/>
        <v>0</v>
      </c>
      <c r="N515" s="77"/>
      <c r="O515" s="90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</row>
    <row r="516" ht="18.0" customHeight="1">
      <c r="A516" s="81"/>
      <c r="B516" s="91" t="str">
        <f>"61710"</f>
        <v>61710</v>
      </c>
      <c r="C516" s="91" t="str">
        <f>"693102617100"</f>
        <v>693102617100</v>
      </c>
      <c r="D516" s="92" t="s">
        <v>532</v>
      </c>
      <c r="E516" s="93" t="s">
        <v>515</v>
      </c>
      <c r="F516" s="94">
        <v>15.0</v>
      </c>
      <c r="G516" s="94">
        <v>7.5</v>
      </c>
      <c r="H516" s="95">
        <v>0.6039999999999999</v>
      </c>
      <c r="I516" s="96">
        <v>7.128</v>
      </c>
      <c r="J516" s="93" t="s">
        <v>31</v>
      </c>
      <c r="K516" s="97"/>
      <c r="L516" s="93" t="str">
        <f t="shared" si="1"/>
        <v/>
      </c>
      <c r="M516" s="98">
        <f t="shared" si="2"/>
        <v>0</v>
      </c>
      <c r="N516" s="77"/>
      <c r="O516" s="90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</row>
    <row r="517" ht="18.0" customHeight="1">
      <c r="A517" s="81"/>
      <c r="B517" s="91" t="str">
        <f>"62-00-00"</f>
        <v>62-00-00</v>
      </c>
      <c r="C517" s="91" t="str">
        <f>"693102620001"</f>
        <v>693102620001</v>
      </c>
      <c r="D517" s="92" t="s">
        <v>533</v>
      </c>
      <c r="E517" s="93" t="s">
        <v>515</v>
      </c>
      <c r="F517" s="94">
        <v>15.0</v>
      </c>
      <c r="G517" s="94">
        <v>7.5</v>
      </c>
      <c r="H517" s="95">
        <v>0.6039999999999999</v>
      </c>
      <c r="I517" s="96">
        <v>7.128</v>
      </c>
      <c r="J517" s="93" t="s">
        <v>31</v>
      </c>
      <c r="K517" s="97"/>
      <c r="L517" s="93" t="str">
        <f t="shared" si="1"/>
        <v/>
      </c>
      <c r="M517" s="98">
        <f t="shared" si="2"/>
        <v>0</v>
      </c>
      <c r="N517" s="77"/>
      <c r="O517" s="90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</row>
    <row r="518" ht="18.0" customHeight="1">
      <c r="A518" s="81"/>
      <c r="B518" s="91" t="str">
        <f>"62-00-43"</f>
        <v>62-00-43</v>
      </c>
      <c r="C518" s="91" t="str">
        <f>"693102200432"</f>
        <v>693102200432</v>
      </c>
      <c r="D518" s="92" t="s">
        <v>534</v>
      </c>
      <c r="E518" s="93" t="s">
        <v>515</v>
      </c>
      <c r="F518" s="94">
        <v>15.0</v>
      </c>
      <c r="G518" s="94">
        <v>7.5</v>
      </c>
      <c r="H518" s="95">
        <v>0.6039999999999999</v>
      </c>
      <c r="I518" s="96">
        <v>7.128</v>
      </c>
      <c r="J518" s="93" t="s">
        <v>31</v>
      </c>
      <c r="K518" s="97"/>
      <c r="L518" s="93" t="str">
        <f t="shared" si="1"/>
        <v/>
      </c>
      <c r="M518" s="98">
        <f t="shared" si="2"/>
        <v>0</v>
      </c>
      <c r="N518" s="77"/>
      <c r="O518" s="90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</row>
    <row r="519" ht="18.0" customHeight="1">
      <c r="A519" s="81"/>
      <c r="B519" s="91" t="str">
        <f>"62-00-04"</f>
        <v>62-00-04</v>
      </c>
      <c r="C519" s="91" t="str">
        <f>"693102617049"</f>
        <v>693102617049</v>
      </c>
      <c r="D519" s="92" t="s">
        <v>535</v>
      </c>
      <c r="E519" s="93" t="s">
        <v>515</v>
      </c>
      <c r="F519" s="94">
        <v>15.0</v>
      </c>
      <c r="G519" s="94">
        <v>7.5</v>
      </c>
      <c r="H519" s="95">
        <v>0.6039999999999999</v>
      </c>
      <c r="I519" s="96">
        <v>7.128</v>
      </c>
      <c r="J519" s="93" t="s">
        <v>31</v>
      </c>
      <c r="K519" s="97"/>
      <c r="L519" s="93" t="str">
        <f t="shared" si="1"/>
        <v/>
      </c>
      <c r="M519" s="98">
        <f t="shared" si="2"/>
        <v>0</v>
      </c>
      <c r="N519" s="77"/>
      <c r="O519" s="90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</row>
    <row r="520" ht="18.0" customHeight="1">
      <c r="A520" s="81"/>
      <c r="B520" s="91" t="str">
        <f>"62-00-15"</f>
        <v>62-00-15</v>
      </c>
      <c r="C520" s="91" t="str">
        <f>"693102617155"</f>
        <v>693102617155</v>
      </c>
      <c r="D520" s="92" t="s">
        <v>536</v>
      </c>
      <c r="E520" s="93" t="s">
        <v>515</v>
      </c>
      <c r="F520" s="94">
        <v>15.0</v>
      </c>
      <c r="G520" s="94">
        <v>7.5</v>
      </c>
      <c r="H520" s="95">
        <v>0.6039999999999999</v>
      </c>
      <c r="I520" s="96">
        <v>7.128</v>
      </c>
      <c r="J520" s="93" t="s">
        <v>31</v>
      </c>
      <c r="K520" s="97"/>
      <c r="L520" s="93" t="str">
        <f t="shared" si="1"/>
        <v/>
      </c>
      <c r="M520" s="98">
        <f t="shared" si="2"/>
        <v>0</v>
      </c>
      <c r="N520" s="77"/>
      <c r="O520" s="90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</row>
    <row r="521" ht="18.0" customHeight="1">
      <c r="A521" s="81"/>
      <c r="B521" s="91" t="str">
        <f>"65-00-01"</f>
        <v>65-00-01</v>
      </c>
      <c r="C521" s="91" t="str">
        <f>"693102618015"</f>
        <v>693102618015</v>
      </c>
      <c r="D521" s="92" t="s">
        <v>537</v>
      </c>
      <c r="E521" s="93" t="s">
        <v>515</v>
      </c>
      <c r="F521" s="94">
        <v>15.0</v>
      </c>
      <c r="G521" s="94">
        <v>7.5</v>
      </c>
      <c r="H521" s="95">
        <v>0.6039999999999999</v>
      </c>
      <c r="I521" s="96">
        <v>7.128</v>
      </c>
      <c r="J521" s="93" t="s">
        <v>31</v>
      </c>
      <c r="K521" s="97"/>
      <c r="L521" s="93" t="str">
        <f t="shared" si="1"/>
        <v/>
      </c>
      <c r="M521" s="98">
        <f t="shared" si="2"/>
        <v>0</v>
      </c>
      <c r="N521" s="77"/>
      <c r="O521" s="90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</row>
    <row r="522" ht="18.0" customHeight="1">
      <c r="A522" s="81"/>
      <c r="B522" s="91" t="str">
        <f>"65-00-07"</f>
        <v>65-00-07</v>
      </c>
      <c r="C522" s="91" t="str">
        <f>"693102500075"</f>
        <v>693102500075</v>
      </c>
      <c r="D522" s="92" t="s">
        <v>538</v>
      </c>
      <c r="E522" s="93" t="s">
        <v>515</v>
      </c>
      <c r="F522" s="94">
        <v>15.0</v>
      </c>
      <c r="G522" s="94">
        <v>7.5</v>
      </c>
      <c r="H522" s="95">
        <v>0.6039999999999999</v>
      </c>
      <c r="I522" s="96">
        <v>7.128</v>
      </c>
      <c r="J522" s="93" t="s">
        <v>31</v>
      </c>
      <c r="K522" s="97"/>
      <c r="L522" s="93" t="str">
        <f t="shared" si="1"/>
        <v/>
      </c>
      <c r="M522" s="98">
        <f t="shared" si="2"/>
        <v>0</v>
      </c>
      <c r="N522" s="77"/>
      <c r="O522" s="90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</row>
    <row r="523" ht="18.0" customHeight="1">
      <c r="A523" s="81"/>
      <c r="B523" s="91" t="str">
        <f>"65-00-08"</f>
        <v>65-00-08</v>
      </c>
      <c r="C523" s="91" t="str">
        <f>"693102500082"</f>
        <v>693102500082</v>
      </c>
      <c r="D523" s="92" t="s">
        <v>539</v>
      </c>
      <c r="E523" s="93" t="s">
        <v>515</v>
      </c>
      <c r="F523" s="94">
        <v>15.0</v>
      </c>
      <c r="G523" s="94">
        <v>7.5</v>
      </c>
      <c r="H523" s="95">
        <v>0.6039999999999999</v>
      </c>
      <c r="I523" s="96">
        <v>7.128</v>
      </c>
      <c r="J523" s="93" t="s">
        <v>31</v>
      </c>
      <c r="K523" s="97"/>
      <c r="L523" s="93" t="str">
        <f t="shared" si="1"/>
        <v/>
      </c>
      <c r="M523" s="98">
        <f t="shared" si="2"/>
        <v>0</v>
      </c>
      <c r="N523" s="77"/>
      <c r="O523" s="90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</row>
    <row r="524" ht="18.0" customHeight="1">
      <c r="A524" s="81"/>
      <c r="B524" s="91" t="str">
        <f>"65-00-09"</f>
        <v>65-00-09</v>
      </c>
      <c r="C524" s="91" t="str">
        <f>"693102617094"</f>
        <v>693102617094</v>
      </c>
      <c r="D524" s="92" t="s">
        <v>540</v>
      </c>
      <c r="E524" s="93" t="s">
        <v>515</v>
      </c>
      <c r="F524" s="94">
        <v>15.0</v>
      </c>
      <c r="G524" s="94">
        <v>7.5</v>
      </c>
      <c r="H524" s="95">
        <v>0.6039999999999999</v>
      </c>
      <c r="I524" s="96">
        <v>7.128</v>
      </c>
      <c r="J524" s="93" t="s">
        <v>31</v>
      </c>
      <c r="K524" s="97"/>
      <c r="L524" s="93" t="str">
        <f t="shared" si="1"/>
        <v/>
      </c>
      <c r="M524" s="98">
        <f t="shared" si="2"/>
        <v>0</v>
      </c>
      <c r="N524" s="77"/>
      <c r="O524" s="90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</row>
    <row r="525" ht="18.0" customHeight="1">
      <c r="A525" s="81"/>
      <c r="B525" s="91" t="str">
        <f>"65-00-12"</f>
        <v>65-00-12</v>
      </c>
      <c r="C525" s="91" t="str">
        <f>"693102618121"</f>
        <v>693102618121</v>
      </c>
      <c r="D525" s="92" t="s">
        <v>541</v>
      </c>
      <c r="E525" s="93" t="s">
        <v>515</v>
      </c>
      <c r="F525" s="94">
        <v>15.0</v>
      </c>
      <c r="G525" s="94">
        <v>7.5</v>
      </c>
      <c r="H525" s="95">
        <v>0.6039999999999999</v>
      </c>
      <c r="I525" s="96">
        <v>7.128</v>
      </c>
      <c r="J525" s="93" t="s">
        <v>31</v>
      </c>
      <c r="K525" s="97"/>
      <c r="L525" s="93" t="str">
        <f t="shared" si="1"/>
        <v/>
      </c>
      <c r="M525" s="98">
        <f t="shared" si="2"/>
        <v>0</v>
      </c>
      <c r="N525" s="77"/>
      <c r="O525" s="90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</row>
    <row r="526" ht="18.0" customHeight="1">
      <c r="A526" s="81"/>
      <c r="B526" s="91" t="str">
        <f>"65-00-13"</f>
        <v>65-00-13</v>
      </c>
      <c r="C526" s="91" t="str">
        <f>"693102618138"</f>
        <v>693102618138</v>
      </c>
      <c r="D526" s="92" t="s">
        <v>542</v>
      </c>
      <c r="E526" s="93" t="s">
        <v>515</v>
      </c>
      <c r="F526" s="94">
        <v>15.0</v>
      </c>
      <c r="G526" s="94">
        <v>7.5</v>
      </c>
      <c r="H526" s="95">
        <v>0.6039999999999999</v>
      </c>
      <c r="I526" s="96">
        <v>7.128</v>
      </c>
      <c r="J526" s="93" t="s">
        <v>31</v>
      </c>
      <c r="K526" s="97"/>
      <c r="L526" s="93" t="str">
        <f t="shared" si="1"/>
        <v/>
      </c>
      <c r="M526" s="98">
        <f t="shared" si="2"/>
        <v>0</v>
      </c>
      <c r="N526" s="77"/>
      <c r="O526" s="90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</row>
    <row r="527" ht="18.0" customHeight="1">
      <c r="A527" s="81"/>
      <c r="B527" s="91" t="str">
        <f>"65-00-14"</f>
        <v>65-00-14</v>
      </c>
      <c r="C527" s="91" t="str">
        <f>"693102617148"</f>
        <v>693102617148</v>
      </c>
      <c r="D527" s="92" t="s">
        <v>543</v>
      </c>
      <c r="E527" s="93" t="s">
        <v>515</v>
      </c>
      <c r="F527" s="94">
        <v>15.0</v>
      </c>
      <c r="G527" s="94">
        <v>7.5</v>
      </c>
      <c r="H527" s="95">
        <v>0.6039999999999999</v>
      </c>
      <c r="I527" s="96">
        <v>7.128</v>
      </c>
      <c r="J527" s="93" t="s">
        <v>31</v>
      </c>
      <c r="K527" s="97"/>
      <c r="L527" s="93" t="str">
        <f t="shared" si="1"/>
        <v/>
      </c>
      <c r="M527" s="98">
        <f t="shared" si="2"/>
        <v>0</v>
      </c>
      <c r="N527" s="77"/>
      <c r="O527" s="90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</row>
    <row r="528" ht="18.0" customHeight="1">
      <c r="A528" s="81"/>
      <c r="B528" s="91" t="str">
        <f>"65-00-15"</f>
        <v>65-00-15</v>
      </c>
      <c r="C528" s="91" t="str">
        <f>"693102618152"</f>
        <v>693102618152</v>
      </c>
      <c r="D528" s="92" t="s">
        <v>544</v>
      </c>
      <c r="E528" s="93" t="s">
        <v>515</v>
      </c>
      <c r="F528" s="94">
        <v>15.0</v>
      </c>
      <c r="G528" s="94">
        <v>7.5</v>
      </c>
      <c r="H528" s="95">
        <v>0.6039999999999999</v>
      </c>
      <c r="I528" s="96">
        <v>7.128</v>
      </c>
      <c r="J528" s="93" t="s">
        <v>31</v>
      </c>
      <c r="K528" s="97"/>
      <c r="L528" s="93" t="str">
        <f t="shared" si="1"/>
        <v/>
      </c>
      <c r="M528" s="98">
        <f t="shared" si="2"/>
        <v>0</v>
      </c>
      <c r="N528" s="77"/>
      <c r="O528" s="90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</row>
    <row r="529" ht="18.0" customHeight="1">
      <c r="A529" s="81"/>
      <c r="B529" s="91" t="str">
        <f>"65-00-18"</f>
        <v>65-00-18</v>
      </c>
      <c r="C529" s="91" t="str">
        <f>"693102617186"</f>
        <v>693102617186</v>
      </c>
      <c r="D529" s="92" t="s">
        <v>545</v>
      </c>
      <c r="E529" s="93" t="s">
        <v>515</v>
      </c>
      <c r="F529" s="94">
        <v>15.0</v>
      </c>
      <c r="G529" s="94">
        <v>7.5</v>
      </c>
      <c r="H529" s="95">
        <v>0.6039999999999999</v>
      </c>
      <c r="I529" s="96">
        <v>7.128</v>
      </c>
      <c r="J529" s="93" t="s">
        <v>31</v>
      </c>
      <c r="K529" s="97"/>
      <c r="L529" s="93" t="str">
        <f t="shared" si="1"/>
        <v/>
      </c>
      <c r="M529" s="98">
        <f t="shared" si="2"/>
        <v>0</v>
      </c>
      <c r="N529" s="77"/>
      <c r="O529" s="90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</row>
    <row r="530" ht="18.0" customHeight="1">
      <c r="A530" s="81"/>
      <c r="B530" s="91" t="str">
        <f>"65-00-19"</f>
        <v>65-00-19</v>
      </c>
      <c r="C530" s="91" t="str">
        <f>"693102617193"</f>
        <v>693102617193</v>
      </c>
      <c r="D530" s="92" t="s">
        <v>546</v>
      </c>
      <c r="E530" s="93" t="s">
        <v>515</v>
      </c>
      <c r="F530" s="94">
        <v>15.0</v>
      </c>
      <c r="G530" s="94">
        <v>7.5</v>
      </c>
      <c r="H530" s="95">
        <v>0.6039999999999999</v>
      </c>
      <c r="I530" s="96">
        <v>7.128</v>
      </c>
      <c r="J530" s="93" t="s">
        <v>31</v>
      </c>
      <c r="K530" s="97"/>
      <c r="L530" s="93" t="str">
        <f t="shared" si="1"/>
        <v/>
      </c>
      <c r="M530" s="98">
        <f t="shared" si="2"/>
        <v>0</v>
      </c>
      <c r="N530" s="77"/>
      <c r="O530" s="90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</row>
    <row r="531" ht="18.0" customHeight="1">
      <c r="A531" s="81"/>
      <c r="B531" s="91" t="str">
        <f>"65-00-20"</f>
        <v>65-00-20</v>
      </c>
      <c r="C531" s="91" t="str">
        <f>"693102617209"</f>
        <v>693102617209</v>
      </c>
      <c r="D531" s="92" t="s">
        <v>547</v>
      </c>
      <c r="E531" s="93" t="s">
        <v>515</v>
      </c>
      <c r="F531" s="94">
        <v>15.0</v>
      </c>
      <c r="G531" s="94">
        <v>7.5</v>
      </c>
      <c r="H531" s="95">
        <v>0.6039999999999999</v>
      </c>
      <c r="I531" s="96">
        <v>7.128</v>
      </c>
      <c r="J531" s="93" t="s">
        <v>31</v>
      </c>
      <c r="K531" s="97"/>
      <c r="L531" s="93" t="str">
        <f t="shared" si="1"/>
        <v/>
      </c>
      <c r="M531" s="98">
        <f t="shared" si="2"/>
        <v>0</v>
      </c>
      <c r="N531" s="77"/>
      <c r="O531" s="90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</row>
    <row r="532" ht="18.0" customHeight="1">
      <c r="A532" s="81"/>
      <c r="B532" s="91" t="str">
        <f>"65-00-21"</f>
        <v>65-00-21</v>
      </c>
      <c r="C532" s="91" t="str">
        <f>"693102617216"</f>
        <v>693102617216</v>
      </c>
      <c r="D532" s="92" t="s">
        <v>548</v>
      </c>
      <c r="E532" s="93" t="s">
        <v>515</v>
      </c>
      <c r="F532" s="94">
        <v>15.0</v>
      </c>
      <c r="G532" s="94">
        <v>7.5</v>
      </c>
      <c r="H532" s="95">
        <v>0.6039999999999999</v>
      </c>
      <c r="I532" s="96">
        <v>7.128</v>
      </c>
      <c r="J532" s="93" t="s">
        <v>31</v>
      </c>
      <c r="K532" s="97"/>
      <c r="L532" s="93" t="str">
        <f t="shared" si="1"/>
        <v/>
      </c>
      <c r="M532" s="98">
        <f t="shared" si="2"/>
        <v>0</v>
      </c>
      <c r="N532" s="77"/>
      <c r="O532" s="90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</row>
    <row r="533" ht="18.0" customHeight="1">
      <c r="A533" s="81"/>
      <c r="B533" s="91" t="str">
        <f>"65-00-22"</f>
        <v>65-00-22</v>
      </c>
      <c r="C533" s="91" t="str">
        <f>"693102617223"</f>
        <v>693102617223</v>
      </c>
      <c r="D533" s="92" t="s">
        <v>549</v>
      </c>
      <c r="E533" s="93" t="s">
        <v>515</v>
      </c>
      <c r="F533" s="94">
        <v>15.0</v>
      </c>
      <c r="G533" s="94">
        <v>7.5</v>
      </c>
      <c r="H533" s="95">
        <v>0.6039999999999999</v>
      </c>
      <c r="I533" s="96">
        <v>7.128</v>
      </c>
      <c r="J533" s="93" t="s">
        <v>31</v>
      </c>
      <c r="K533" s="97"/>
      <c r="L533" s="93" t="str">
        <f t="shared" si="1"/>
        <v/>
      </c>
      <c r="M533" s="98">
        <f t="shared" si="2"/>
        <v>0</v>
      </c>
      <c r="N533" s="77"/>
      <c r="O533" s="90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</row>
    <row r="534" ht="18.0" customHeight="1">
      <c r="A534" s="81"/>
      <c r="B534" s="91" t="str">
        <f>"65-00-23"</f>
        <v>65-00-23</v>
      </c>
      <c r="C534" s="91" t="str">
        <f>"693102617230"</f>
        <v>693102617230</v>
      </c>
      <c r="D534" s="92" t="s">
        <v>550</v>
      </c>
      <c r="E534" s="93" t="s">
        <v>515</v>
      </c>
      <c r="F534" s="94">
        <v>15.0</v>
      </c>
      <c r="G534" s="94">
        <v>7.5</v>
      </c>
      <c r="H534" s="95">
        <v>0.6039999999999999</v>
      </c>
      <c r="I534" s="96">
        <v>7.128</v>
      </c>
      <c r="J534" s="93" t="s">
        <v>31</v>
      </c>
      <c r="K534" s="97"/>
      <c r="L534" s="93" t="str">
        <f t="shared" si="1"/>
        <v/>
      </c>
      <c r="M534" s="98">
        <f t="shared" si="2"/>
        <v>0</v>
      </c>
      <c r="N534" s="77"/>
      <c r="O534" s="90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</row>
    <row r="535" ht="18.0" customHeight="1">
      <c r="A535" s="81"/>
      <c r="B535" s="91" t="str">
        <f>"65-00-25"</f>
        <v>65-00-25</v>
      </c>
      <c r="C535" s="91" t="str">
        <f>"693102617254"</f>
        <v>693102617254</v>
      </c>
      <c r="D535" s="92" t="s">
        <v>551</v>
      </c>
      <c r="E535" s="93" t="s">
        <v>515</v>
      </c>
      <c r="F535" s="94">
        <v>15.0</v>
      </c>
      <c r="G535" s="94">
        <v>7.5</v>
      </c>
      <c r="H535" s="95">
        <v>0.6039999999999999</v>
      </c>
      <c r="I535" s="96">
        <v>7.128</v>
      </c>
      <c r="J535" s="93" t="s">
        <v>31</v>
      </c>
      <c r="K535" s="97"/>
      <c r="L535" s="93" t="str">
        <f t="shared" si="1"/>
        <v/>
      </c>
      <c r="M535" s="98">
        <f t="shared" si="2"/>
        <v>0</v>
      </c>
      <c r="N535" s="77"/>
      <c r="O535" s="90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</row>
    <row r="536" ht="18.0" customHeight="1">
      <c r="A536" s="81"/>
      <c r="B536" s="91" t="str">
        <f>"65-00-26"</f>
        <v>65-00-26</v>
      </c>
      <c r="C536" s="91" t="str">
        <f>"693102500266"</f>
        <v>693102500266</v>
      </c>
      <c r="D536" s="92" t="s">
        <v>552</v>
      </c>
      <c r="E536" s="93" t="s">
        <v>515</v>
      </c>
      <c r="F536" s="94">
        <v>15.0</v>
      </c>
      <c r="G536" s="94">
        <v>7.5</v>
      </c>
      <c r="H536" s="95">
        <v>0.6039999999999999</v>
      </c>
      <c r="I536" s="96">
        <v>7.128</v>
      </c>
      <c r="J536" s="93" t="s">
        <v>31</v>
      </c>
      <c r="K536" s="97"/>
      <c r="L536" s="93" t="str">
        <f t="shared" si="1"/>
        <v/>
      </c>
      <c r="M536" s="98">
        <f t="shared" si="2"/>
        <v>0</v>
      </c>
      <c r="N536" s="77"/>
      <c r="O536" s="90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</row>
    <row r="537" ht="18.0" customHeight="1">
      <c r="A537" s="81"/>
      <c r="B537" s="91" t="str">
        <f>"65-00-27"</f>
        <v>65-00-27</v>
      </c>
      <c r="C537" s="91" t="str">
        <f>"693102500273"</f>
        <v>693102500273</v>
      </c>
      <c r="D537" s="92" t="s">
        <v>553</v>
      </c>
      <c r="E537" s="93" t="s">
        <v>515</v>
      </c>
      <c r="F537" s="94">
        <v>15.0</v>
      </c>
      <c r="G537" s="94">
        <v>7.5</v>
      </c>
      <c r="H537" s="95">
        <v>0.6039999999999999</v>
      </c>
      <c r="I537" s="96">
        <v>7.128</v>
      </c>
      <c r="J537" s="93" t="s">
        <v>31</v>
      </c>
      <c r="K537" s="97"/>
      <c r="L537" s="93" t="str">
        <f t="shared" si="1"/>
        <v/>
      </c>
      <c r="M537" s="98">
        <f t="shared" si="2"/>
        <v>0</v>
      </c>
      <c r="N537" s="77"/>
      <c r="O537" s="90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</row>
    <row r="538" ht="18.0" customHeight="1">
      <c r="A538" s="81"/>
      <c r="B538" s="91" t="str">
        <f>"65-00-28"</f>
        <v>65-00-28</v>
      </c>
      <c r="C538" s="91" t="str">
        <f>"693102500280"</f>
        <v>693102500280</v>
      </c>
      <c r="D538" s="92" t="s">
        <v>554</v>
      </c>
      <c r="E538" s="93" t="s">
        <v>515</v>
      </c>
      <c r="F538" s="94">
        <v>15.0</v>
      </c>
      <c r="G538" s="94">
        <v>7.5</v>
      </c>
      <c r="H538" s="95">
        <v>0.6039999999999999</v>
      </c>
      <c r="I538" s="96">
        <v>7.128</v>
      </c>
      <c r="J538" s="93" t="s">
        <v>31</v>
      </c>
      <c r="K538" s="97"/>
      <c r="L538" s="93" t="str">
        <f t="shared" si="1"/>
        <v/>
      </c>
      <c r="M538" s="98">
        <f t="shared" si="2"/>
        <v>0</v>
      </c>
      <c r="N538" s="77"/>
      <c r="O538" s="90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</row>
    <row r="539" ht="18.0" customHeight="1">
      <c r="A539" s="81"/>
      <c r="B539" s="91" t="str">
        <f>"65-00-29"</f>
        <v>65-00-29</v>
      </c>
      <c r="C539" s="91" t="str">
        <f>"693102500297"</f>
        <v>693102500297</v>
      </c>
      <c r="D539" s="92" t="s">
        <v>555</v>
      </c>
      <c r="E539" s="93" t="s">
        <v>515</v>
      </c>
      <c r="F539" s="94">
        <v>15.0</v>
      </c>
      <c r="G539" s="94">
        <v>7.5</v>
      </c>
      <c r="H539" s="95">
        <v>0.6039999999999999</v>
      </c>
      <c r="I539" s="96">
        <v>7.128</v>
      </c>
      <c r="J539" s="93" t="s">
        <v>31</v>
      </c>
      <c r="K539" s="97"/>
      <c r="L539" s="93" t="str">
        <f t="shared" si="1"/>
        <v/>
      </c>
      <c r="M539" s="98">
        <f t="shared" si="2"/>
        <v>0</v>
      </c>
      <c r="N539" s="77"/>
      <c r="O539" s="90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</row>
    <row r="540" ht="18.0" customHeight="1">
      <c r="A540" s="81"/>
      <c r="B540" s="91" t="str">
        <f>"65-00-30"</f>
        <v>65-00-30</v>
      </c>
      <c r="C540" s="91" t="str">
        <f>"693102500303"</f>
        <v>693102500303</v>
      </c>
      <c r="D540" s="92" t="s">
        <v>556</v>
      </c>
      <c r="E540" s="93" t="s">
        <v>515</v>
      </c>
      <c r="F540" s="94">
        <v>15.0</v>
      </c>
      <c r="G540" s="94">
        <v>7.5</v>
      </c>
      <c r="H540" s="95">
        <v>0.6039999999999999</v>
      </c>
      <c r="I540" s="96">
        <v>7.128</v>
      </c>
      <c r="J540" s="93" t="s">
        <v>31</v>
      </c>
      <c r="K540" s="97"/>
      <c r="L540" s="93" t="str">
        <f t="shared" si="1"/>
        <v/>
      </c>
      <c r="M540" s="98">
        <f t="shared" si="2"/>
        <v>0</v>
      </c>
      <c r="N540" s="77"/>
      <c r="O540" s="90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</row>
    <row r="541" ht="18.0" customHeight="1">
      <c r="A541" s="81"/>
      <c r="B541" s="91" t="str">
        <f>"63-00-70"</f>
        <v>63-00-70</v>
      </c>
      <c r="C541" s="91" t="str">
        <f>"693102300705"</f>
        <v>693102300705</v>
      </c>
      <c r="D541" s="92" t="s">
        <v>557</v>
      </c>
      <c r="E541" s="93" t="s">
        <v>515</v>
      </c>
      <c r="F541" s="94">
        <v>15.0</v>
      </c>
      <c r="G541" s="94">
        <v>7.5</v>
      </c>
      <c r="H541" s="95">
        <v>0.6039999999999999</v>
      </c>
      <c r="I541" s="96">
        <v>7.128</v>
      </c>
      <c r="J541" s="93" t="s">
        <v>31</v>
      </c>
      <c r="K541" s="97"/>
      <c r="L541" s="93" t="str">
        <f t="shared" si="1"/>
        <v/>
      </c>
      <c r="M541" s="98">
        <f t="shared" si="2"/>
        <v>0</v>
      </c>
      <c r="N541" s="77"/>
      <c r="O541" s="90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</row>
    <row r="542" ht="18.0" customHeight="1">
      <c r="A542" s="81"/>
      <c r="B542" s="91" t="str">
        <f>"63-00-71"</f>
        <v>63-00-71</v>
      </c>
      <c r="C542" s="91" t="str">
        <f>"693102300712"</f>
        <v>693102300712</v>
      </c>
      <c r="D542" s="92" t="s">
        <v>558</v>
      </c>
      <c r="E542" s="93" t="s">
        <v>515</v>
      </c>
      <c r="F542" s="94">
        <v>15.0</v>
      </c>
      <c r="G542" s="94">
        <v>7.5</v>
      </c>
      <c r="H542" s="95">
        <v>0.6039999999999999</v>
      </c>
      <c r="I542" s="96">
        <v>7.128</v>
      </c>
      <c r="J542" s="93" t="s">
        <v>31</v>
      </c>
      <c r="K542" s="97"/>
      <c r="L542" s="93" t="str">
        <f t="shared" si="1"/>
        <v/>
      </c>
      <c r="M542" s="98">
        <f t="shared" si="2"/>
        <v>0</v>
      </c>
      <c r="N542" s="77"/>
      <c r="O542" s="90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</row>
    <row r="543" ht="18.0" customHeight="1">
      <c r="A543" s="81"/>
      <c r="B543" s="91" t="str">
        <f>"63-00-72"</f>
        <v>63-00-72</v>
      </c>
      <c r="C543" s="91" t="str">
        <f>"693102300729"</f>
        <v>693102300729</v>
      </c>
      <c r="D543" s="92" t="s">
        <v>559</v>
      </c>
      <c r="E543" s="93" t="s">
        <v>515</v>
      </c>
      <c r="F543" s="94">
        <v>15.0</v>
      </c>
      <c r="G543" s="94">
        <v>7.5</v>
      </c>
      <c r="H543" s="95">
        <v>0.6039999999999999</v>
      </c>
      <c r="I543" s="96">
        <v>7.128</v>
      </c>
      <c r="J543" s="93" t="s">
        <v>31</v>
      </c>
      <c r="K543" s="97"/>
      <c r="L543" s="93" t="str">
        <f t="shared" si="1"/>
        <v/>
      </c>
      <c r="M543" s="98">
        <f t="shared" si="2"/>
        <v>0</v>
      </c>
      <c r="N543" s="77"/>
      <c r="O543" s="90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</row>
    <row r="544" ht="18.0" customHeight="1">
      <c r="A544" s="81"/>
      <c r="B544" s="91" t="str">
        <f>"63-00-73"</f>
        <v>63-00-73</v>
      </c>
      <c r="C544" s="91" t="str">
        <f>"693102300736"</f>
        <v>693102300736</v>
      </c>
      <c r="D544" s="92" t="s">
        <v>560</v>
      </c>
      <c r="E544" s="93" t="s">
        <v>515</v>
      </c>
      <c r="F544" s="94">
        <v>15.0</v>
      </c>
      <c r="G544" s="94">
        <v>7.5</v>
      </c>
      <c r="H544" s="95">
        <v>0.6039999999999999</v>
      </c>
      <c r="I544" s="96">
        <v>7.128</v>
      </c>
      <c r="J544" s="93" t="s">
        <v>31</v>
      </c>
      <c r="K544" s="97"/>
      <c r="L544" s="93" t="str">
        <f t="shared" si="1"/>
        <v/>
      </c>
      <c r="M544" s="98">
        <f t="shared" si="2"/>
        <v>0</v>
      </c>
      <c r="N544" s="77"/>
      <c r="O544" s="90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</row>
    <row r="545" ht="18.0" customHeight="1">
      <c r="A545" s="81"/>
      <c r="B545" s="91" t="str">
        <f>"63-00-74"</f>
        <v>63-00-74</v>
      </c>
      <c r="C545" s="91" t="str">
        <f>"693102300743"</f>
        <v>693102300743</v>
      </c>
      <c r="D545" s="92" t="s">
        <v>561</v>
      </c>
      <c r="E545" s="93" t="s">
        <v>515</v>
      </c>
      <c r="F545" s="94">
        <v>15.0</v>
      </c>
      <c r="G545" s="94">
        <v>7.5</v>
      </c>
      <c r="H545" s="95">
        <v>0.6039999999999999</v>
      </c>
      <c r="I545" s="96">
        <v>7.128</v>
      </c>
      <c r="J545" s="93" t="s">
        <v>31</v>
      </c>
      <c r="K545" s="97"/>
      <c r="L545" s="93" t="str">
        <f t="shared" si="1"/>
        <v/>
      </c>
      <c r="M545" s="98">
        <f t="shared" si="2"/>
        <v>0</v>
      </c>
      <c r="N545" s="77"/>
      <c r="O545" s="90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</row>
    <row r="546" ht="18.0" customHeight="1">
      <c r="A546" s="81"/>
      <c r="B546" s="91" t="str">
        <f>"63-00-75"</f>
        <v>63-00-75</v>
      </c>
      <c r="C546" s="91" t="str">
        <f>"693102300750"</f>
        <v>693102300750</v>
      </c>
      <c r="D546" s="92" t="s">
        <v>562</v>
      </c>
      <c r="E546" s="93" t="s">
        <v>515</v>
      </c>
      <c r="F546" s="94">
        <v>15.0</v>
      </c>
      <c r="G546" s="94">
        <v>7.5</v>
      </c>
      <c r="H546" s="95">
        <v>0.6039999999999999</v>
      </c>
      <c r="I546" s="96">
        <v>7.128</v>
      </c>
      <c r="J546" s="93" t="s">
        <v>31</v>
      </c>
      <c r="K546" s="97"/>
      <c r="L546" s="93" t="str">
        <f t="shared" si="1"/>
        <v/>
      </c>
      <c r="M546" s="98">
        <f t="shared" si="2"/>
        <v>0</v>
      </c>
      <c r="N546" s="77"/>
      <c r="O546" s="90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</row>
    <row r="547" ht="18.0" customHeight="1">
      <c r="A547" s="81"/>
      <c r="B547" s="91" t="str">
        <f>"63-00-76"</f>
        <v>63-00-76</v>
      </c>
      <c r="C547" s="91" t="str">
        <f>"693102300767"</f>
        <v>693102300767</v>
      </c>
      <c r="D547" s="92" t="s">
        <v>563</v>
      </c>
      <c r="E547" s="93" t="s">
        <v>515</v>
      </c>
      <c r="F547" s="94">
        <v>15.0</v>
      </c>
      <c r="G547" s="94">
        <v>7.5</v>
      </c>
      <c r="H547" s="95">
        <v>0.6039999999999999</v>
      </c>
      <c r="I547" s="96">
        <v>7.128</v>
      </c>
      <c r="J547" s="93" t="s">
        <v>31</v>
      </c>
      <c r="K547" s="97"/>
      <c r="L547" s="93" t="str">
        <f t="shared" si="1"/>
        <v/>
      </c>
      <c r="M547" s="98">
        <f t="shared" si="2"/>
        <v>0</v>
      </c>
      <c r="N547" s="77"/>
      <c r="O547" s="90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</row>
    <row r="548" ht="18.0" customHeight="1">
      <c r="A548" s="81"/>
      <c r="B548" s="91" t="str">
        <f>"63-00-77"</f>
        <v>63-00-77</v>
      </c>
      <c r="C548" s="91" t="str">
        <f>"693102300774"</f>
        <v>693102300774</v>
      </c>
      <c r="D548" s="92" t="s">
        <v>564</v>
      </c>
      <c r="E548" s="93" t="s">
        <v>515</v>
      </c>
      <c r="F548" s="94">
        <v>15.0</v>
      </c>
      <c r="G548" s="94">
        <v>7.5</v>
      </c>
      <c r="H548" s="95">
        <v>0.6039999999999999</v>
      </c>
      <c r="I548" s="96">
        <v>7.128</v>
      </c>
      <c r="J548" s="93" t="s">
        <v>31</v>
      </c>
      <c r="K548" s="97"/>
      <c r="L548" s="93" t="str">
        <f t="shared" si="1"/>
        <v/>
      </c>
      <c r="M548" s="98">
        <f t="shared" si="2"/>
        <v>0</v>
      </c>
      <c r="N548" s="77"/>
      <c r="O548" s="90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</row>
    <row r="549" ht="18.0" customHeight="1">
      <c r="A549" s="81"/>
      <c r="B549" s="91" t="str">
        <f>"65-00-32"</f>
        <v>65-00-32</v>
      </c>
      <c r="C549" s="91" t="str">
        <f>"693102500327"</f>
        <v>693102500327</v>
      </c>
      <c r="D549" s="92" t="s">
        <v>565</v>
      </c>
      <c r="E549" s="93" t="s">
        <v>245</v>
      </c>
      <c r="F549" s="94">
        <v>20.0</v>
      </c>
      <c r="G549" s="94">
        <v>10.0</v>
      </c>
      <c r="H549" s="95">
        <v>0.604</v>
      </c>
      <c r="I549" s="96">
        <v>9.504</v>
      </c>
      <c r="J549" s="93" t="s">
        <v>31</v>
      </c>
      <c r="K549" s="97"/>
      <c r="L549" s="93" t="str">
        <f t="shared" si="1"/>
        <v/>
      </c>
      <c r="M549" s="98">
        <f t="shared" si="2"/>
        <v>0</v>
      </c>
      <c r="N549" s="77"/>
      <c r="O549" s="90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</row>
    <row r="550" ht="18.0" customHeight="1">
      <c r="A550" s="81"/>
      <c r="B550" s="91" t="str">
        <f>"65700"</f>
        <v>65700</v>
      </c>
      <c r="C550" s="91" t="str">
        <f>"693102657007"</f>
        <v>693102657007</v>
      </c>
      <c r="D550" s="92" t="s">
        <v>566</v>
      </c>
      <c r="E550" s="93" t="s">
        <v>245</v>
      </c>
      <c r="F550" s="94">
        <v>20.0</v>
      </c>
      <c r="G550" s="94">
        <v>10.0</v>
      </c>
      <c r="H550" s="95">
        <v>0.604</v>
      </c>
      <c r="I550" s="96">
        <v>9.504</v>
      </c>
      <c r="J550" s="93" t="s">
        <v>31</v>
      </c>
      <c r="K550" s="97"/>
      <c r="L550" s="93" t="str">
        <f t="shared" si="1"/>
        <v/>
      </c>
      <c r="M550" s="98">
        <f t="shared" si="2"/>
        <v>0</v>
      </c>
      <c r="N550" s="77"/>
      <c r="O550" s="90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</row>
    <row r="551" ht="18.0" customHeight="1">
      <c r="A551" s="81"/>
      <c r="B551" s="91" t="str">
        <f>"65-00-33"</f>
        <v>65-00-33</v>
      </c>
      <c r="C551" s="91" t="str">
        <f>"693102500334"</f>
        <v>693102500334</v>
      </c>
      <c r="D551" s="92" t="s">
        <v>567</v>
      </c>
      <c r="E551" s="93" t="s">
        <v>245</v>
      </c>
      <c r="F551" s="94">
        <v>20.0</v>
      </c>
      <c r="G551" s="94">
        <v>10.0</v>
      </c>
      <c r="H551" s="95">
        <v>0.604</v>
      </c>
      <c r="I551" s="96">
        <v>9.504</v>
      </c>
      <c r="J551" s="93" t="s">
        <v>31</v>
      </c>
      <c r="K551" s="97"/>
      <c r="L551" s="93" t="str">
        <f t="shared" si="1"/>
        <v/>
      </c>
      <c r="M551" s="98">
        <f t="shared" si="2"/>
        <v>0</v>
      </c>
      <c r="N551" s="77"/>
      <c r="O551" s="90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</row>
    <row r="552" ht="18.0" customHeight="1">
      <c r="A552" s="81"/>
      <c r="B552" s="91" t="str">
        <f>"65744"</f>
        <v>65744</v>
      </c>
      <c r="C552" s="91" t="str">
        <f>"693102657441"</f>
        <v>693102657441</v>
      </c>
      <c r="D552" s="92" t="s">
        <v>568</v>
      </c>
      <c r="E552" s="93" t="s">
        <v>245</v>
      </c>
      <c r="F552" s="94">
        <v>20.0</v>
      </c>
      <c r="G552" s="94">
        <v>10.0</v>
      </c>
      <c r="H552" s="95">
        <v>0.604</v>
      </c>
      <c r="I552" s="96">
        <v>9.504</v>
      </c>
      <c r="J552" s="93" t="s">
        <v>31</v>
      </c>
      <c r="K552" s="97"/>
      <c r="L552" s="93" t="str">
        <f t="shared" si="1"/>
        <v/>
      </c>
      <c r="M552" s="98">
        <f t="shared" si="2"/>
        <v>0</v>
      </c>
      <c r="N552" s="77"/>
      <c r="O552" s="90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</row>
    <row r="553" ht="18.0" customHeight="1">
      <c r="A553" s="81"/>
      <c r="B553" s="91" t="str">
        <f>"65-00-77"</f>
        <v>65-00-77</v>
      </c>
      <c r="C553" s="91" t="str">
        <f>"693102500778"</f>
        <v>693102500778</v>
      </c>
      <c r="D553" s="92" t="s">
        <v>569</v>
      </c>
      <c r="E553" s="93" t="s">
        <v>245</v>
      </c>
      <c r="F553" s="94">
        <v>20.0</v>
      </c>
      <c r="G553" s="94">
        <v>10.0</v>
      </c>
      <c r="H553" s="95">
        <v>0.604</v>
      </c>
      <c r="I553" s="96">
        <v>9.504</v>
      </c>
      <c r="J553" s="93" t="s">
        <v>31</v>
      </c>
      <c r="K553" s="97"/>
      <c r="L553" s="93" t="str">
        <f t="shared" si="1"/>
        <v/>
      </c>
      <c r="M553" s="98">
        <f t="shared" si="2"/>
        <v>0</v>
      </c>
      <c r="N553" s="77"/>
      <c r="O553" s="90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</row>
    <row r="554" ht="18.0" customHeight="1">
      <c r="A554" s="81"/>
      <c r="B554" s="91" t="str">
        <f>"65723"</f>
        <v>65723</v>
      </c>
      <c r="C554" s="91" t="str">
        <f>"693102657236"</f>
        <v>693102657236</v>
      </c>
      <c r="D554" s="92" t="s">
        <v>570</v>
      </c>
      <c r="E554" s="93" t="s">
        <v>245</v>
      </c>
      <c r="F554" s="94">
        <v>20.0</v>
      </c>
      <c r="G554" s="94">
        <v>10.0</v>
      </c>
      <c r="H554" s="95">
        <v>0.604</v>
      </c>
      <c r="I554" s="96">
        <v>9.504</v>
      </c>
      <c r="J554" s="93" t="s">
        <v>31</v>
      </c>
      <c r="K554" s="97"/>
      <c r="L554" s="93" t="str">
        <f t="shared" si="1"/>
        <v/>
      </c>
      <c r="M554" s="98">
        <f t="shared" si="2"/>
        <v>0</v>
      </c>
      <c r="N554" s="77"/>
      <c r="O554" s="90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</row>
    <row r="555" ht="18.0" customHeight="1">
      <c r="A555" s="81"/>
      <c r="B555" s="91" t="str">
        <f>"65-00-41"</f>
        <v>65-00-41</v>
      </c>
      <c r="C555" s="91" t="str">
        <f>"693102500419"</f>
        <v>693102500419</v>
      </c>
      <c r="D555" s="92" t="s">
        <v>571</v>
      </c>
      <c r="E555" s="93" t="s">
        <v>245</v>
      </c>
      <c r="F555" s="94">
        <v>20.0</v>
      </c>
      <c r="G555" s="94">
        <v>10.0</v>
      </c>
      <c r="H555" s="95">
        <v>0.604</v>
      </c>
      <c r="I555" s="96">
        <v>9.504</v>
      </c>
      <c r="J555" s="93" t="s">
        <v>31</v>
      </c>
      <c r="K555" s="97"/>
      <c r="L555" s="93" t="str">
        <f t="shared" si="1"/>
        <v/>
      </c>
      <c r="M555" s="98">
        <f t="shared" si="2"/>
        <v>0</v>
      </c>
      <c r="N555" s="77"/>
      <c r="O555" s="90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</row>
    <row r="556" ht="18.0" customHeight="1">
      <c r="A556" s="81"/>
      <c r="B556" s="91" t="str">
        <f>"65-00-84"</f>
        <v>65-00-84</v>
      </c>
      <c r="C556" s="91" t="str">
        <f>"693102500846"</f>
        <v>693102500846</v>
      </c>
      <c r="D556" s="92" t="s">
        <v>572</v>
      </c>
      <c r="E556" s="93" t="s">
        <v>245</v>
      </c>
      <c r="F556" s="94">
        <v>20.0</v>
      </c>
      <c r="G556" s="94">
        <v>10.0</v>
      </c>
      <c r="H556" s="95">
        <v>0.604</v>
      </c>
      <c r="I556" s="96">
        <v>9.504</v>
      </c>
      <c r="J556" s="93" t="s">
        <v>31</v>
      </c>
      <c r="K556" s="97"/>
      <c r="L556" s="93" t="str">
        <f t="shared" si="1"/>
        <v/>
      </c>
      <c r="M556" s="98">
        <f t="shared" si="2"/>
        <v>0</v>
      </c>
      <c r="N556" s="77"/>
      <c r="O556" s="90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</row>
    <row r="557" ht="18.0" customHeight="1">
      <c r="A557" s="81"/>
      <c r="B557" s="91" t="str">
        <f>"65702"</f>
        <v>65702</v>
      </c>
      <c r="C557" s="91" t="str">
        <f>"693102657021"</f>
        <v>693102657021</v>
      </c>
      <c r="D557" s="92" t="s">
        <v>573</v>
      </c>
      <c r="E557" s="93" t="s">
        <v>245</v>
      </c>
      <c r="F557" s="94">
        <v>20.0</v>
      </c>
      <c r="G557" s="94">
        <v>10.0</v>
      </c>
      <c r="H557" s="95">
        <v>0.604</v>
      </c>
      <c r="I557" s="96">
        <v>9.504</v>
      </c>
      <c r="J557" s="93" t="s">
        <v>31</v>
      </c>
      <c r="K557" s="97"/>
      <c r="L557" s="93" t="str">
        <f t="shared" si="1"/>
        <v/>
      </c>
      <c r="M557" s="98">
        <f t="shared" si="2"/>
        <v>0</v>
      </c>
      <c r="N557" s="77"/>
      <c r="O557" s="90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</row>
    <row r="558" ht="18.0" customHeight="1">
      <c r="A558" s="81"/>
      <c r="B558" s="91" t="str">
        <f>"65712"</f>
        <v>65712</v>
      </c>
      <c r="C558" s="91" t="str">
        <f>"693102657120"</f>
        <v>693102657120</v>
      </c>
      <c r="D558" s="92" t="s">
        <v>574</v>
      </c>
      <c r="E558" s="93" t="s">
        <v>245</v>
      </c>
      <c r="F558" s="94">
        <v>20.0</v>
      </c>
      <c r="G558" s="94">
        <v>10.0</v>
      </c>
      <c r="H558" s="95">
        <v>0.604</v>
      </c>
      <c r="I558" s="96">
        <v>9.504</v>
      </c>
      <c r="J558" s="93" t="s">
        <v>31</v>
      </c>
      <c r="K558" s="97"/>
      <c r="L558" s="93" t="str">
        <f t="shared" si="1"/>
        <v/>
      </c>
      <c r="M558" s="98">
        <f t="shared" si="2"/>
        <v>0</v>
      </c>
      <c r="N558" s="77"/>
      <c r="O558" s="90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</row>
    <row r="559" ht="18.0" customHeight="1">
      <c r="A559" s="81"/>
      <c r="B559" s="91" t="str">
        <f>"65716"</f>
        <v>65716</v>
      </c>
      <c r="C559" s="91" t="str">
        <f>"693102657168"</f>
        <v>693102657168</v>
      </c>
      <c r="D559" s="92" t="s">
        <v>575</v>
      </c>
      <c r="E559" s="93" t="s">
        <v>245</v>
      </c>
      <c r="F559" s="94">
        <v>20.0</v>
      </c>
      <c r="G559" s="94">
        <v>10.0</v>
      </c>
      <c r="H559" s="95">
        <v>0.604</v>
      </c>
      <c r="I559" s="96">
        <v>9.504</v>
      </c>
      <c r="J559" s="93" t="s">
        <v>31</v>
      </c>
      <c r="K559" s="97"/>
      <c r="L559" s="93" t="str">
        <f t="shared" si="1"/>
        <v/>
      </c>
      <c r="M559" s="98">
        <f t="shared" si="2"/>
        <v>0</v>
      </c>
      <c r="N559" s="77"/>
      <c r="O559" s="90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</row>
    <row r="560" ht="18.0" customHeight="1">
      <c r="A560" s="81"/>
      <c r="B560" s="91" t="str">
        <f>"65-00-60"</f>
        <v>65-00-60</v>
      </c>
      <c r="C560" s="91" t="str">
        <f>"693102500600"</f>
        <v>693102500600</v>
      </c>
      <c r="D560" s="92" t="s">
        <v>576</v>
      </c>
      <c r="E560" s="93" t="s">
        <v>245</v>
      </c>
      <c r="F560" s="94">
        <v>20.0</v>
      </c>
      <c r="G560" s="94">
        <v>10.0</v>
      </c>
      <c r="H560" s="95">
        <v>0.604</v>
      </c>
      <c r="I560" s="96">
        <v>9.504</v>
      </c>
      <c r="J560" s="93" t="s">
        <v>31</v>
      </c>
      <c r="K560" s="97"/>
      <c r="L560" s="93" t="str">
        <f t="shared" si="1"/>
        <v/>
      </c>
      <c r="M560" s="98">
        <f t="shared" si="2"/>
        <v>0</v>
      </c>
      <c r="N560" s="77"/>
      <c r="O560" s="90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</row>
    <row r="561" ht="18.0" customHeight="1">
      <c r="A561" s="81"/>
      <c r="B561" s="91" t="str">
        <f>"35052"</f>
        <v>35052</v>
      </c>
      <c r="C561" s="91" t="str">
        <f>"693102350526"</f>
        <v>693102350526</v>
      </c>
      <c r="D561" s="92" t="s">
        <v>577</v>
      </c>
      <c r="E561" s="93" t="s">
        <v>245</v>
      </c>
      <c r="F561" s="94">
        <v>20.0</v>
      </c>
      <c r="G561" s="94">
        <v>10.0</v>
      </c>
      <c r="H561" s="95">
        <v>0.604</v>
      </c>
      <c r="I561" s="96">
        <v>9.504</v>
      </c>
      <c r="J561" s="93" t="s">
        <v>31</v>
      </c>
      <c r="K561" s="97"/>
      <c r="L561" s="93" t="str">
        <f t="shared" si="1"/>
        <v/>
      </c>
      <c r="M561" s="98">
        <f t="shared" si="2"/>
        <v>0</v>
      </c>
      <c r="N561" s="77"/>
      <c r="O561" s="90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</row>
    <row r="562" ht="18.0" customHeight="1">
      <c r="A562" s="81"/>
      <c r="B562" s="91" t="str">
        <f>"65713"</f>
        <v>65713</v>
      </c>
      <c r="C562" s="91" t="str">
        <f>"693102657137"</f>
        <v>693102657137</v>
      </c>
      <c r="D562" s="92" t="s">
        <v>578</v>
      </c>
      <c r="E562" s="93" t="s">
        <v>245</v>
      </c>
      <c r="F562" s="94">
        <v>20.0</v>
      </c>
      <c r="G562" s="94">
        <v>10.0</v>
      </c>
      <c r="H562" s="95">
        <v>0.604</v>
      </c>
      <c r="I562" s="96">
        <v>9.504</v>
      </c>
      <c r="J562" s="93" t="s">
        <v>31</v>
      </c>
      <c r="K562" s="97"/>
      <c r="L562" s="93" t="str">
        <f t="shared" si="1"/>
        <v/>
      </c>
      <c r="M562" s="98">
        <f t="shared" si="2"/>
        <v>0</v>
      </c>
      <c r="N562" s="77"/>
      <c r="O562" s="90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</row>
    <row r="563" ht="18.0" customHeight="1">
      <c r="A563" s="81"/>
      <c r="B563" s="91" t="str">
        <f>"65-00-70"</f>
        <v>65-00-70</v>
      </c>
      <c r="C563" s="91" t="str">
        <f>"693102500709"</f>
        <v>693102500709</v>
      </c>
      <c r="D563" s="92" t="s">
        <v>579</v>
      </c>
      <c r="E563" s="93" t="s">
        <v>245</v>
      </c>
      <c r="F563" s="94">
        <v>20.0</v>
      </c>
      <c r="G563" s="94">
        <v>10.0</v>
      </c>
      <c r="H563" s="95">
        <v>0.604</v>
      </c>
      <c r="I563" s="96">
        <v>9.504</v>
      </c>
      <c r="J563" s="93" t="s">
        <v>31</v>
      </c>
      <c r="K563" s="97"/>
      <c r="L563" s="93" t="str">
        <f t="shared" si="1"/>
        <v/>
      </c>
      <c r="M563" s="98">
        <f t="shared" si="2"/>
        <v>0</v>
      </c>
      <c r="N563" s="77"/>
      <c r="O563" s="90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</row>
    <row r="564" ht="18.0" customHeight="1">
      <c r="A564" s="81"/>
      <c r="B564" s="91" t="str">
        <f>"65-00-67"</f>
        <v>65-00-67</v>
      </c>
      <c r="C564" s="91" t="str">
        <f>"693102500679"</f>
        <v>693102500679</v>
      </c>
      <c r="D564" s="92" t="s">
        <v>580</v>
      </c>
      <c r="E564" s="93" t="s">
        <v>245</v>
      </c>
      <c r="F564" s="94">
        <v>20.0</v>
      </c>
      <c r="G564" s="94">
        <v>10.0</v>
      </c>
      <c r="H564" s="95">
        <v>0.604</v>
      </c>
      <c r="I564" s="96">
        <v>9.504</v>
      </c>
      <c r="J564" s="93" t="s">
        <v>31</v>
      </c>
      <c r="K564" s="97"/>
      <c r="L564" s="93" t="str">
        <f t="shared" si="1"/>
        <v/>
      </c>
      <c r="M564" s="98">
        <f t="shared" si="2"/>
        <v>0</v>
      </c>
      <c r="N564" s="77"/>
      <c r="O564" s="90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</row>
    <row r="565" ht="18.0" customHeight="1">
      <c r="A565" s="81"/>
      <c r="B565" s="91" t="str">
        <f>"65703"</f>
        <v>65703</v>
      </c>
      <c r="C565" s="91" t="str">
        <f>"693102657038"</f>
        <v>693102657038</v>
      </c>
      <c r="D565" s="92" t="s">
        <v>581</v>
      </c>
      <c r="E565" s="93" t="s">
        <v>245</v>
      </c>
      <c r="F565" s="94">
        <v>20.0</v>
      </c>
      <c r="G565" s="94">
        <v>10.0</v>
      </c>
      <c r="H565" s="95">
        <v>0.604</v>
      </c>
      <c r="I565" s="96">
        <v>9.504</v>
      </c>
      <c r="J565" s="93" t="s">
        <v>31</v>
      </c>
      <c r="K565" s="97"/>
      <c r="L565" s="93" t="str">
        <f t="shared" si="1"/>
        <v/>
      </c>
      <c r="M565" s="98">
        <f t="shared" si="2"/>
        <v>0</v>
      </c>
      <c r="N565" s="77"/>
      <c r="O565" s="90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</row>
    <row r="566" ht="18.0" customHeight="1">
      <c r="A566" s="81"/>
      <c r="B566" s="91" t="str">
        <f>"65-00-76"</f>
        <v>65-00-76</v>
      </c>
      <c r="C566" s="91" t="str">
        <f>"693102500761"</f>
        <v>693102500761</v>
      </c>
      <c r="D566" s="92" t="s">
        <v>582</v>
      </c>
      <c r="E566" s="93" t="s">
        <v>245</v>
      </c>
      <c r="F566" s="94">
        <v>20.0</v>
      </c>
      <c r="G566" s="94">
        <v>10.0</v>
      </c>
      <c r="H566" s="95">
        <v>0.604</v>
      </c>
      <c r="I566" s="96">
        <v>9.504</v>
      </c>
      <c r="J566" s="93" t="s">
        <v>31</v>
      </c>
      <c r="K566" s="97"/>
      <c r="L566" s="93" t="str">
        <f t="shared" si="1"/>
        <v/>
      </c>
      <c r="M566" s="98">
        <f t="shared" si="2"/>
        <v>0</v>
      </c>
      <c r="N566" s="77"/>
      <c r="O566" s="90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</row>
    <row r="567" ht="18.0" customHeight="1">
      <c r="A567" s="81"/>
      <c r="B567" s="91" t="str">
        <f>"53102"</f>
        <v>53102</v>
      </c>
      <c r="C567" s="91" t="str">
        <f>"693102531024"</f>
        <v>693102531024</v>
      </c>
      <c r="D567" s="92" t="s">
        <v>583</v>
      </c>
      <c r="E567" s="93" t="s">
        <v>245</v>
      </c>
      <c r="F567" s="94">
        <v>20.0</v>
      </c>
      <c r="G567" s="94">
        <v>10.0</v>
      </c>
      <c r="H567" s="95">
        <v>0.604</v>
      </c>
      <c r="I567" s="96">
        <v>9.504</v>
      </c>
      <c r="J567" s="93" t="s">
        <v>31</v>
      </c>
      <c r="K567" s="97"/>
      <c r="L567" s="93" t="str">
        <f t="shared" si="1"/>
        <v/>
      </c>
      <c r="M567" s="98">
        <f t="shared" si="2"/>
        <v>0</v>
      </c>
      <c r="N567" s="77"/>
      <c r="O567" s="90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</row>
    <row r="568" ht="18.0" customHeight="1">
      <c r="A568" s="81"/>
      <c r="B568" s="91" t="str">
        <f>"65-00-92"</f>
        <v>65-00-92</v>
      </c>
      <c r="C568" s="91" t="str">
        <f>"693102500921"</f>
        <v>693102500921</v>
      </c>
      <c r="D568" s="92" t="s">
        <v>584</v>
      </c>
      <c r="E568" s="93" t="s">
        <v>245</v>
      </c>
      <c r="F568" s="94">
        <v>20.0</v>
      </c>
      <c r="G568" s="94">
        <v>10.0</v>
      </c>
      <c r="H568" s="95">
        <v>0.604</v>
      </c>
      <c r="I568" s="96">
        <v>9.504</v>
      </c>
      <c r="J568" s="93" t="s">
        <v>31</v>
      </c>
      <c r="K568" s="97"/>
      <c r="L568" s="93" t="str">
        <f t="shared" si="1"/>
        <v/>
      </c>
      <c r="M568" s="98">
        <f t="shared" si="2"/>
        <v>0</v>
      </c>
      <c r="N568" s="77"/>
      <c r="O568" s="90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</row>
    <row r="569" ht="18.0" customHeight="1">
      <c r="A569" s="81"/>
      <c r="B569" s="91" t="str">
        <f>"65-00-78"</f>
        <v>65-00-78</v>
      </c>
      <c r="C569" s="91" t="str">
        <f>"693102500785"</f>
        <v>693102500785</v>
      </c>
      <c r="D569" s="92" t="s">
        <v>585</v>
      </c>
      <c r="E569" s="93" t="s">
        <v>245</v>
      </c>
      <c r="F569" s="94">
        <v>20.0</v>
      </c>
      <c r="G569" s="94">
        <v>10.0</v>
      </c>
      <c r="H569" s="95">
        <v>0.604</v>
      </c>
      <c r="I569" s="96">
        <v>9.504</v>
      </c>
      <c r="J569" s="93" t="s">
        <v>31</v>
      </c>
      <c r="K569" s="97"/>
      <c r="L569" s="93" t="str">
        <f t="shared" si="1"/>
        <v/>
      </c>
      <c r="M569" s="98">
        <f t="shared" si="2"/>
        <v>0</v>
      </c>
      <c r="N569" s="77"/>
      <c r="O569" s="90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</row>
    <row r="570" ht="18.0" customHeight="1">
      <c r="A570" s="81"/>
      <c r="B570" s="91" t="str">
        <f>"65-00-75"</f>
        <v>65-00-75</v>
      </c>
      <c r="C570" s="91" t="str">
        <f>"693102500754"</f>
        <v>693102500754</v>
      </c>
      <c r="D570" s="92" t="s">
        <v>586</v>
      </c>
      <c r="E570" s="93" t="s">
        <v>245</v>
      </c>
      <c r="F570" s="94">
        <v>20.0</v>
      </c>
      <c r="G570" s="94">
        <v>10.0</v>
      </c>
      <c r="H570" s="95">
        <v>0.604</v>
      </c>
      <c r="I570" s="96">
        <v>9.504</v>
      </c>
      <c r="J570" s="93" t="s">
        <v>31</v>
      </c>
      <c r="K570" s="97"/>
      <c r="L570" s="93" t="str">
        <f t="shared" si="1"/>
        <v/>
      </c>
      <c r="M570" s="98">
        <f t="shared" si="2"/>
        <v>0</v>
      </c>
      <c r="N570" s="77"/>
      <c r="O570" s="90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</row>
    <row r="571" ht="18.0" customHeight="1">
      <c r="A571" s="81"/>
      <c r="B571" s="91" t="str">
        <f>"35099"</f>
        <v>35099</v>
      </c>
      <c r="C571" s="91" t="str">
        <f>"693102350991"</f>
        <v>693102350991</v>
      </c>
      <c r="D571" s="92" t="s">
        <v>587</v>
      </c>
      <c r="E571" s="93" t="s">
        <v>245</v>
      </c>
      <c r="F571" s="94">
        <v>20.0</v>
      </c>
      <c r="G571" s="94">
        <v>10.0</v>
      </c>
      <c r="H571" s="95">
        <v>0.604</v>
      </c>
      <c r="I571" s="96">
        <v>9.504</v>
      </c>
      <c r="J571" s="93" t="s">
        <v>31</v>
      </c>
      <c r="K571" s="97"/>
      <c r="L571" s="93" t="str">
        <f t="shared" si="1"/>
        <v/>
      </c>
      <c r="M571" s="98">
        <f t="shared" si="2"/>
        <v>0</v>
      </c>
      <c r="N571" s="77"/>
      <c r="O571" s="90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</row>
    <row r="572" ht="18.0" customHeight="1">
      <c r="A572" s="81"/>
      <c r="B572" s="91" t="str">
        <f>"65-00-96"</f>
        <v>65-00-96</v>
      </c>
      <c r="C572" s="91" t="str">
        <f>"693102500969"</f>
        <v>693102500969</v>
      </c>
      <c r="D572" s="92" t="s">
        <v>588</v>
      </c>
      <c r="E572" s="93" t="s">
        <v>245</v>
      </c>
      <c r="F572" s="94">
        <v>20.0</v>
      </c>
      <c r="G572" s="94">
        <v>10.0</v>
      </c>
      <c r="H572" s="95">
        <v>0.604</v>
      </c>
      <c r="I572" s="96">
        <v>9.504</v>
      </c>
      <c r="J572" s="93" t="s">
        <v>31</v>
      </c>
      <c r="K572" s="97"/>
      <c r="L572" s="93" t="str">
        <f t="shared" si="1"/>
        <v/>
      </c>
      <c r="M572" s="98">
        <f t="shared" si="2"/>
        <v>0</v>
      </c>
      <c r="N572" s="77"/>
      <c r="O572" s="90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</row>
    <row r="573" ht="18.0" customHeight="1">
      <c r="A573" s="81"/>
      <c r="B573" s="91" t="str">
        <f>"65-00-42"</f>
        <v>65-00-42</v>
      </c>
      <c r="C573" s="91" t="str">
        <f>"693102500426"</f>
        <v>693102500426</v>
      </c>
      <c r="D573" s="92" t="s">
        <v>589</v>
      </c>
      <c r="E573" s="93" t="s">
        <v>245</v>
      </c>
      <c r="F573" s="94">
        <v>20.0</v>
      </c>
      <c r="G573" s="94">
        <v>10.0</v>
      </c>
      <c r="H573" s="95">
        <v>0.604</v>
      </c>
      <c r="I573" s="96">
        <v>9.504</v>
      </c>
      <c r="J573" s="93" t="s">
        <v>31</v>
      </c>
      <c r="K573" s="97"/>
      <c r="L573" s="93" t="str">
        <f t="shared" si="1"/>
        <v/>
      </c>
      <c r="M573" s="98">
        <f t="shared" si="2"/>
        <v>0</v>
      </c>
      <c r="N573" s="77"/>
      <c r="O573" s="90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</row>
    <row r="574" ht="18.0" customHeight="1">
      <c r="A574" s="81"/>
      <c r="B574" s="91" t="str">
        <f>"65-00-74"</f>
        <v>65-00-74</v>
      </c>
      <c r="C574" s="91" t="str">
        <f>"693102500747"</f>
        <v>693102500747</v>
      </c>
      <c r="D574" s="92" t="s">
        <v>590</v>
      </c>
      <c r="E574" s="93" t="s">
        <v>245</v>
      </c>
      <c r="F574" s="94">
        <v>20.0</v>
      </c>
      <c r="G574" s="94">
        <v>10.0</v>
      </c>
      <c r="H574" s="95">
        <v>0.604</v>
      </c>
      <c r="I574" s="96">
        <v>9.504</v>
      </c>
      <c r="J574" s="93" t="s">
        <v>31</v>
      </c>
      <c r="K574" s="97"/>
      <c r="L574" s="93" t="str">
        <f t="shared" si="1"/>
        <v/>
      </c>
      <c r="M574" s="98">
        <f t="shared" si="2"/>
        <v>0</v>
      </c>
      <c r="N574" s="77"/>
      <c r="O574" s="90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</row>
    <row r="575" ht="18.0" customHeight="1">
      <c r="A575" s="81"/>
      <c r="B575" s="91" t="str">
        <f>"65707"</f>
        <v>65707</v>
      </c>
      <c r="C575" s="91" t="str">
        <f>"693102657076"</f>
        <v>693102657076</v>
      </c>
      <c r="D575" s="92" t="s">
        <v>591</v>
      </c>
      <c r="E575" s="93" t="s">
        <v>245</v>
      </c>
      <c r="F575" s="94">
        <v>20.0</v>
      </c>
      <c r="G575" s="94">
        <v>10.0</v>
      </c>
      <c r="H575" s="95">
        <v>0.604</v>
      </c>
      <c r="I575" s="96">
        <v>9.504</v>
      </c>
      <c r="J575" s="93" t="s">
        <v>31</v>
      </c>
      <c r="K575" s="97"/>
      <c r="L575" s="93" t="str">
        <f t="shared" si="1"/>
        <v/>
      </c>
      <c r="M575" s="98">
        <f t="shared" si="2"/>
        <v>0</v>
      </c>
      <c r="N575" s="77"/>
      <c r="O575" s="90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</row>
    <row r="576" ht="18.0" customHeight="1">
      <c r="A576" s="81"/>
      <c r="B576" s="91" t="str">
        <f>"65727"</f>
        <v>65727</v>
      </c>
      <c r="C576" s="91" t="str">
        <f>"693102657274"</f>
        <v>693102657274</v>
      </c>
      <c r="D576" s="92" t="s">
        <v>592</v>
      </c>
      <c r="E576" s="93" t="s">
        <v>245</v>
      </c>
      <c r="F576" s="94">
        <v>20.0</v>
      </c>
      <c r="G576" s="94">
        <v>10.0</v>
      </c>
      <c r="H576" s="95">
        <v>0.604</v>
      </c>
      <c r="I576" s="96">
        <v>9.504</v>
      </c>
      <c r="J576" s="93" t="s">
        <v>31</v>
      </c>
      <c r="K576" s="97"/>
      <c r="L576" s="93" t="str">
        <f t="shared" si="1"/>
        <v/>
      </c>
      <c r="M576" s="98">
        <f t="shared" si="2"/>
        <v>0</v>
      </c>
      <c r="N576" s="77"/>
      <c r="O576" s="90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</row>
    <row r="577" ht="18.0" customHeight="1">
      <c r="A577" s="81"/>
      <c r="B577" s="91" t="str">
        <f>"65-00-85"</f>
        <v>65-00-85</v>
      </c>
      <c r="C577" s="91" t="str">
        <f>"693102500853"</f>
        <v>693102500853</v>
      </c>
      <c r="D577" s="92" t="s">
        <v>593</v>
      </c>
      <c r="E577" s="93" t="s">
        <v>245</v>
      </c>
      <c r="F577" s="94">
        <v>20.0</v>
      </c>
      <c r="G577" s="94">
        <v>10.0</v>
      </c>
      <c r="H577" s="95">
        <v>0.604</v>
      </c>
      <c r="I577" s="96">
        <v>9.504</v>
      </c>
      <c r="J577" s="93" t="s">
        <v>31</v>
      </c>
      <c r="K577" s="97"/>
      <c r="L577" s="93" t="str">
        <f t="shared" si="1"/>
        <v/>
      </c>
      <c r="M577" s="98">
        <f t="shared" si="2"/>
        <v>0</v>
      </c>
      <c r="N577" s="77"/>
      <c r="O577" s="90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</row>
    <row r="578" ht="18.0" customHeight="1">
      <c r="A578" s="81"/>
      <c r="B578" s="91" t="str">
        <f>"65-00-86"</f>
        <v>65-00-86</v>
      </c>
      <c r="C578" s="91" t="str">
        <f>"693102500860"</f>
        <v>693102500860</v>
      </c>
      <c r="D578" s="92" t="s">
        <v>594</v>
      </c>
      <c r="E578" s="93" t="s">
        <v>245</v>
      </c>
      <c r="F578" s="94">
        <v>20.0</v>
      </c>
      <c r="G578" s="94">
        <v>10.0</v>
      </c>
      <c r="H578" s="95">
        <v>0.604</v>
      </c>
      <c r="I578" s="96">
        <v>9.504</v>
      </c>
      <c r="J578" s="93" t="s">
        <v>31</v>
      </c>
      <c r="K578" s="97"/>
      <c r="L578" s="93" t="str">
        <f t="shared" si="1"/>
        <v/>
      </c>
      <c r="M578" s="98">
        <f t="shared" si="2"/>
        <v>0</v>
      </c>
      <c r="N578" s="77"/>
      <c r="O578" s="90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</row>
    <row r="579" ht="18.0" customHeight="1">
      <c r="A579" s="81"/>
      <c r="B579" s="91" t="str">
        <f>"35104"</f>
        <v>35104</v>
      </c>
      <c r="C579" s="91" t="str">
        <f>"693102351042"</f>
        <v>693102351042</v>
      </c>
      <c r="D579" s="92" t="s">
        <v>595</v>
      </c>
      <c r="E579" s="93" t="s">
        <v>245</v>
      </c>
      <c r="F579" s="94">
        <v>20.0</v>
      </c>
      <c r="G579" s="94">
        <v>10.0</v>
      </c>
      <c r="H579" s="95">
        <v>0.604</v>
      </c>
      <c r="I579" s="96">
        <v>9.504</v>
      </c>
      <c r="J579" s="93" t="s">
        <v>31</v>
      </c>
      <c r="K579" s="97"/>
      <c r="L579" s="93" t="str">
        <f t="shared" si="1"/>
        <v/>
      </c>
      <c r="M579" s="98">
        <f t="shared" si="2"/>
        <v>0</v>
      </c>
      <c r="N579" s="77"/>
      <c r="O579" s="90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</row>
    <row r="580" ht="18.0" customHeight="1">
      <c r="A580" s="81"/>
      <c r="B580" s="91" t="str">
        <f>"65736"</f>
        <v>65736</v>
      </c>
      <c r="C580" s="91" t="str">
        <f>"693102657366"</f>
        <v>693102657366</v>
      </c>
      <c r="D580" s="92" t="s">
        <v>596</v>
      </c>
      <c r="E580" s="93" t="s">
        <v>245</v>
      </c>
      <c r="F580" s="94">
        <v>20.0</v>
      </c>
      <c r="G580" s="94">
        <v>10.0</v>
      </c>
      <c r="H580" s="95">
        <v>0.604</v>
      </c>
      <c r="I580" s="96">
        <v>9.504</v>
      </c>
      <c r="J580" s="93" t="s">
        <v>31</v>
      </c>
      <c r="K580" s="97"/>
      <c r="L580" s="93" t="str">
        <f t="shared" si="1"/>
        <v/>
      </c>
      <c r="M580" s="98">
        <f t="shared" si="2"/>
        <v>0</v>
      </c>
      <c r="N580" s="77"/>
      <c r="O580" s="90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</row>
    <row r="581" ht="18.0" customHeight="1">
      <c r="A581" s="81"/>
      <c r="B581" s="91" t="str">
        <f>"65-00-72"</f>
        <v>65-00-72</v>
      </c>
      <c r="C581" s="91" t="str">
        <f>"693102500723"</f>
        <v>693102500723</v>
      </c>
      <c r="D581" s="92" t="s">
        <v>597</v>
      </c>
      <c r="E581" s="93" t="s">
        <v>245</v>
      </c>
      <c r="F581" s="94">
        <v>20.0</v>
      </c>
      <c r="G581" s="94">
        <v>10.0</v>
      </c>
      <c r="H581" s="95">
        <v>0.604</v>
      </c>
      <c r="I581" s="96">
        <v>9.504</v>
      </c>
      <c r="J581" s="93" t="s">
        <v>31</v>
      </c>
      <c r="K581" s="97"/>
      <c r="L581" s="93" t="str">
        <f t="shared" si="1"/>
        <v/>
      </c>
      <c r="M581" s="98">
        <f t="shared" si="2"/>
        <v>0</v>
      </c>
      <c r="N581" s="77"/>
      <c r="O581" s="90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</row>
    <row r="582" ht="18.0" customHeight="1">
      <c r="A582" s="81"/>
      <c r="B582" s="91" t="str">
        <f>"65-00-69"</f>
        <v>65-00-69</v>
      </c>
      <c r="C582" s="91" t="str">
        <f>"693102500693"</f>
        <v>693102500693</v>
      </c>
      <c r="D582" s="92" t="s">
        <v>598</v>
      </c>
      <c r="E582" s="93" t="s">
        <v>245</v>
      </c>
      <c r="F582" s="94">
        <v>20.0</v>
      </c>
      <c r="G582" s="94">
        <v>10.0</v>
      </c>
      <c r="H582" s="95">
        <v>0.604</v>
      </c>
      <c r="I582" s="96">
        <v>9.504</v>
      </c>
      <c r="J582" s="93" t="s">
        <v>31</v>
      </c>
      <c r="K582" s="97"/>
      <c r="L582" s="93" t="str">
        <f t="shared" si="1"/>
        <v/>
      </c>
      <c r="M582" s="98">
        <f t="shared" si="2"/>
        <v>0</v>
      </c>
      <c r="N582" s="77"/>
      <c r="O582" s="90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</row>
    <row r="583" ht="18.0" customHeight="1">
      <c r="A583" s="81"/>
      <c r="B583" s="91" t="str">
        <f>"65735"</f>
        <v>65735</v>
      </c>
      <c r="C583" s="91" t="str">
        <f>"693102657359"</f>
        <v>693102657359</v>
      </c>
      <c r="D583" s="92" t="s">
        <v>599</v>
      </c>
      <c r="E583" s="93" t="s">
        <v>245</v>
      </c>
      <c r="F583" s="94">
        <v>20.0</v>
      </c>
      <c r="G583" s="94">
        <v>10.0</v>
      </c>
      <c r="H583" s="95">
        <v>0.604</v>
      </c>
      <c r="I583" s="96">
        <v>9.504</v>
      </c>
      <c r="J583" s="93" t="s">
        <v>31</v>
      </c>
      <c r="K583" s="97"/>
      <c r="L583" s="93" t="str">
        <f t="shared" si="1"/>
        <v/>
      </c>
      <c r="M583" s="98">
        <f t="shared" si="2"/>
        <v>0</v>
      </c>
      <c r="N583" s="77"/>
      <c r="O583" s="90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</row>
    <row r="584" ht="18.0" customHeight="1">
      <c r="A584" s="81"/>
      <c r="B584" s="91" t="str">
        <f>"65-00-34"</f>
        <v>65-00-34</v>
      </c>
      <c r="C584" s="91" t="str">
        <f>"693102500341"</f>
        <v>693102500341</v>
      </c>
      <c r="D584" s="92" t="s">
        <v>600</v>
      </c>
      <c r="E584" s="93" t="s">
        <v>245</v>
      </c>
      <c r="F584" s="94">
        <v>20.0</v>
      </c>
      <c r="G584" s="94">
        <v>10.0</v>
      </c>
      <c r="H584" s="95">
        <v>0.604</v>
      </c>
      <c r="I584" s="96">
        <v>9.504</v>
      </c>
      <c r="J584" s="93" t="s">
        <v>31</v>
      </c>
      <c r="K584" s="97"/>
      <c r="L584" s="93" t="str">
        <f t="shared" si="1"/>
        <v/>
      </c>
      <c r="M584" s="98">
        <f t="shared" si="2"/>
        <v>0</v>
      </c>
      <c r="N584" s="77"/>
      <c r="O584" s="90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</row>
    <row r="585" ht="18.0" customHeight="1">
      <c r="A585" s="81"/>
      <c r="B585" s="91" t="str">
        <f>"65-00-48"</f>
        <v>65-00-48</v>
      </c>
      <c r="C585" s="91" t="str">
        <f>"693102500488"</f>
        <v>693102500488</v>
      </c>
      <c r="D585" s="92" t="s">
        <v>601</v>
      </c>
      <c r="E585" s="93" t="s">
        <v>245</v>
      </c>
      <c r="F585" s="94">
        <v>20.0</v>
      </c>
      <c r="G585" s="94">
        <v>10.0</v>
      </c>
      <c r="H585" s="95">
        <v>0.604</v>
      </c>
      <c r="I585" s="96">
        <v>9.504</v>
      </c>
      <c r="J585" s="93" t="s">
        <v>31</v>
      </c>
      <c r="K585" s="97"/>
      <c r="L585" s="93" t="str">
        <f t="shared" si="1"/>
        <v/>
      </c>
      <c r="M585" s="98">
        <f t="shared" si="2"/>
        <v>0</v>
      </c>
      <c r="N585" s="77"/>
      <c r="O585" s="90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</row>
    <row r="586" ht="18.0" customHeight="1">
      <c r="A586" s="81"/>
      <c r="B586" s="91" t="str">
        <f>"65737"</f>
        <v>65737</v>
      </c>
      <c r="C586" s="91" t="str">
        <f>"693102657373"</f>
        <v>693102657373</v>
      </c>
      <c r="D586" s="92" t="s">
        <v>602</v>
      </c>
      <c r="E586" s="93" t="s">
        <v>245</v>
      </c>
      <c r="F586" s="94">
        <v>20.0</v>
      </c>
      <c r="G586" s="94">
        <v>10.0</v>
      </c>
      <c r="H586" s="95">
        <v>0.604</v>
      </c>
      <c r="I586" s="96">
        <v>9.504</v>
      </c>
      <c r="J586" s="93" t="s">
        <v>31</v>
      </c>
      <c r="K586" s="97"/>
      <c r="L586" s="93" t="str">
        <f t="shared" si="1"/>
        <v/>
      </c>
      <c r="M586" s="98">
        <f t="shared" si="2"/>
        <v>0</v>
      </c>
      <c r="N586" s="77"/>
      <c r="O586" s="90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</row>
    <row r="587" ht="18.0" customHeight="1">
      <c r="A587" s="81"/>
      <c r="B587" s="91" t="str">
        <f>"65-00-79"</f>
        <v>65-00-79</v>
      </c>
      <c r="C587" s="91" t="str">
        <f>"693102500792"</f>
        <v>693102500792</v>
      </c>
      <c r="D587" s="92" t="s">
        <v>603</v>
      </c>
      <c r="E587" s="93" t="s">
        <v>245</v>
      </c>
      <c r="F587" s="94">
        <v>20.0</v>
      </c>
      <c r="G587" s="94">
        <v>10.0</v>
      </c>
      <c r="H587" s="95">
        <v>0.604</v>
      </c>
      <c r="I587" s="96">
        <v>9.504</v>
      </c>
      <c r="J587" s="93" t="s">
        <v>31</v>
      </c>
      <c r="K587" s="97"/>
      <c r="L587" s="93" t="str">
        <f t="shared" si="1"/>
        <v/>
      </c>
      <c r="M587" s="98">
        <f t="shared" si="2"/>
        <v>0</v>
      </c>
      <c r="N587" s="77"/>
      <c r="O587" s="90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</row>
    <row r="588" ht="18.0" customHeight="1">
      <c r="A588" s="81"/>
      <c r="B588" s="91" t="str">
        <f>"35085"</f>
        <v>35085</v>
      </c>
      <c r="C588" s="91" t="str">
        <f>"693102350854"</f>
        <v>693102350854</v>
      </c>
      <c r="D588" s="92" t="s">
        <v>604</v>
      </c>
      <c r="E588" s="93" t="s">
        <v>245</v>
      </c>
      <c r="F588" s="94">
        <v>20.0</v>
      </c>
      <c r="G588" s="94">
        <v>10.0</v>
      </c>
      <c r="H588" s="95">
        <v>0.604</v>
      </c>
      <c r="I588" s="96">
        <v>9.504</v>
      </c>
      <c r="J588" s="93" t="s">
        <v>31</v>
      </c>
      <c r="K588" s="97"/>
      <c r="L588" s="93" t="str">
        <f t="shared" si="1"/>
        <v/>
      </c>
      <c r="M588" s="98">
        <f t="shared" si="2"/>
        <v>0</v>
      </c>
      <c r="N588" s="77"/>
      <c r="O588" s="90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</row>
    <row r="589" ht="18.0" customHeight="1">
      <c r="A589" s="81"/>
      <c r="B589" s="91" t="str">
        <f>"35090"</f>
        <v>35090</v>
      </c>
      <c r="C589" s="91" t="str">
        <f>"693102350908"</f>
        <v>693102350908</v>
      </c>
      <c r="D589" s="92" t="s">
        <v>605</v>
      </c>
      <c r="E589" s="93" t="s">
        <v>245</v>
      </c>
      <c r="F589" s="94">
        <v>20.0</v>
      </c>
      <c r="G589" s="94">
        <v>10.0</v>
      </c>
      <c r="H589" s="95">
        <v>0.604</v>
      </c>
      <c r="I589" s="96">
        <v>9.504</v>
      </c>
      <c r="J589" s="93" t="s">
        <v>31</v>
      </c>
      <c r="K589" s="97"/>
      <c r="L589" s="93" t="str">
        <f t="shared" si="1"/>
        <v/>
      </c>
      <c r="M589" s="98">
        <f t="shared" si="2"/>
        <v>0</v>
      </c>
      <c r="N589" s="77"/>
      <c r="O589" s="90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</row>
    <row r="590" ht="18.0" customHeight="1">
      <c r="A590" s="81"/>
      <c r="B590" s="91" t="str">
        <f>"65-00-37"</f>
        <v>65-00-37</v>
      </c>
      <c r="C590" s="91" t="str">
        <f>"693102500372"</f>
        <v>693102500372</v>
      </c>
      <c r="D590" s="92" t="s">
        <v>606</v>
      </c>
      <c r="E590" s="93" t="s">
        <v>245</v>
      </c>
      <c r="F590" s="94">
        <v>20.0</v>
      </c>
      <c r="G590" s="94">
        <v>10.0</v>
      </c>
      <c r="H590" s="95">
        <v>0.604</v>
      </c>
      <c r="I590" s="96">
        <v>9.504</v>
      </c>
      <c r="J590" s="93" t="s">
        <v>31</v>
      </c>
      <c r="K590" s="97"/>
      <c r="L590" s="93" t="str">
        <f t="shared" si="1"/>
        <v/>
      </c>
      <c r="M590" s="98">
        <f t="shared" si="2"/>
        <v>0</v>
      </c>
      <c r="N590" s="77"/>
      <c r="O590" s="90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</row>
    <row r="591" ht="18.0" customHeight="1">
      <c r="A591" s="81"/>
      <c r="B591" s="91" t="str">
        <f>"65714"</f>
        <v>65714</v>
      </c>
      <c r="C591" s="91" t="str">
        <f>"693102657144"</f>
        <v>693102657144</v>
      </c>
      <c r="D591" s="92" t="s">
        <v>607</v>
      </c>
      <c r="E591" s="93" t="s">
        <v>245</v>
      </c>
      <c r="F591" s="94">
        <v>20.0</v>
      </c>
      <c r="G591" s="94">
        <v>10.0</v>
      </c>
      <c r="H591" s="95">
        <v>0.604</v>
      </c>
      <c r="I591" s="96">
        <v>9.504</v>
      </c>
      <c r="J591" s="93" t="s">
        <v>31</v>
      </c>
      <c r="K591" s="97"/>
      <c r="L591" s="93" t="str">
        <f t="shared" si="1"/>
        <v/>
      </c>
      <c r="M591" s="98">
        <f t="shared" si="2"/>
        <v>0</v>
      </c>
      <c r="N591" s="77"/>
      <c r="O591" s="90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</row>
    <row r="592" ht="18.0" customHeight="1">
      <c r="A592" s="81"/>
      <c r="B592" s="91" t="str">
        <f>"65-00-53"</f>
        <v>65-00-53</v>
      </c>
      <c r="C592" s="91" t="str">
        <f>"693102500532"</f>
        <v>693102500532</v>
      </c>
      <c r="D592" s="92" t="s">
        <v>608</v>
      </c>
      <c r="E592" s="93" t="s">
        <v>245</v>
      </c>
      <c r="F592" s="94">
        <v>20.0</v>
      </c>
      <c r="G592" s="94">
        <v>10.0</v>
      </c>
      <c r="H592" s="95">
        <v>0.604</v>
      </c>
      <c r="I592" s="96">
        <v>9.504</v>
      </c>
      <c r="J592" s="93" t="s">
        <v>31</v>
      </c>
      <c r="K592" s="97"/>
      <c r="L592" s="93" t="str">
        <f t="shared" si="1"/>
        <v/>
      </c>
      <c r="M592" s="98">
        <f t="shared" si="2"/>
        <v>0</v>
      </c>
      <c r="N592" s="77"/>
      <c r="O592" s="90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</row>
    <row r="593" ht="18.0" customHeight="1">
      <c r="A593" s="81"/>
      <c r="B593" s="91" t="str">
        <f>"35056"</f>
        <v>35056</v>
      </c>
      <c r="C593" s="91" t="str">
        <f>"693102350564"</f>
        <v>693102350564</v>
      </c>
      <c r="D593" s="92" t="s">
        <v>609</v>
      </c>
      <c r="E593" s="93" t="s">
        <v>245</v>
      </c>
      <c r="F593" s="94">
        <v>20.0</v>
      </c>
      <c r="G593" s="94">
        <v>10.0</v>
      </c>
      <c r="H593" s="95">
        <v>0.604</v>
      </c>
      <c r="I593" s="96">
        <v>9.504</v>
      </c>
      <c r="J593" s="93" t="s">
        <v>31</v>
      </c>
      <c r="K593" s="97"/>
      <c r="L593" s="93" t="str">
        <f t="shared" si="1"/>
        <v/>
      </c>
      <c r="M593" s="98">
        <f t="shared" si="2"/>
        <v>0</v>
      </c>
      <c r="N593" s="77"/>
      <c r="O593" s="90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</row>
    <row r="594" ht="18.0" customHeight="1">
      <c r="A594" s="81"/>
      <c r="B594" s="91" t="str">
        <f>"35045"</f>
        <v>35045</v>
      </c>
      <c r="C594" s="91" t="str">
        <f>"693102350458"</f>
        <v>693102350458</v>
      </c>
      <c r="D594" s="92" t="s">
        <v>610</v>
      </c>
      <c r="E594" s="93" t="s">
        <v>245</v>
      </c>
      <c r="F594" s="94">
        <v>20.0</v>
      </c>
      <c r="G594" s="94">
        <v>10.0</v>
      </c>
      <c r="H594" s="95">
        <v>0.604</v>
      </c>
      <c r="I594" s="96">
        <v>9.504</v>
      </c>
      <c r="J594" s="93" t="s">
        <v>31</v>
      </c>
      <c r="K594" s="97"/>
      <c r="L594" s="93" t="str">
        <f t="shared" si="1"/>
        <v/>
      </c>
      <c r="M594" s="98">
        <f t="shared" si="2"/>
        <v>0</v>
      </c>
      <c r="N594" s="77"/>
      <c r="O594" s="90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</row>
    <row r="595" ht="18.0" customHeight="1">
      <c r="A595" s="81"/>
      <c r="B595" s="91" t="str">
        <f>"65-00-61"</f>
        <v>65-00-61</v>
      </c>
      <c r="C595" s="91" t="str">
        <f>"693102500617"</f>
        <v>693102500617</v>
      </c>
      <c r="D595" s="92" t="s">
        <v>611</v>
      </c>
      <c r="E595" s="93" t="s">
        <v>245</v>
      </c>
      <c r="F595" s="94">
        <v>20.0</v>
      </c>
      <c r="G595" s="94">
        <v>10.0</v>
      </c>
      <c r="H595" s="95">
        <v>0.604</v>
      </c>
      <c r="I595" s="96">
        <v>9.504</v>
      </c>
      <c r="J595" s="93" t="s">
        <v>31</v>
      </c>
      <c r="K595" s="97"/>
      <c r="L595" s="93" t="str">
        <f t="shared" si="1"/>
        <v/>
      </c>
      <c r="M595" s="98">
        <f t="shared" si="2"/>
        <v>0</v>
      </c>
      <c r="N595" s="77"/>
      <c r="O595" s="90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</row>
    <row r="596" ht="18.0" customHeight="1">
      <c r="A596" s="81"/>
      <c r="B596" s="91" t="str">
        <f>"65-00-68"</f>
        <v>65-00-68</v>
      </c>
      <c r="C596" s="91" t="str">
        <f>"693102500686"</f>
        <v>693102500686</v>
      </c>
      <c r="D596" s="92" t="s">
        <v>612</v>
      </c>
      <c r="E596" s="93" t="s">
        <v>245</v>
      </c>
      <c r="F596" s="94">
        <v>20.0</v>
      </c>
      <c r="G596" s="94">
        <v>10.0</v>
      </c>
      <c r="H596" s="95">
        <v>0.604</v>
      </c>
      <c r="I596" s="96">
        <v>9.504</v>
      </c>
      <c r="J596" s="93" t="s">
        <v>31</v>
      </c>
      <c r="K596" s="97"/>
      <c r="L596" s="93" t="str">
        <f t="shared" si="1"/>
        <v/>
      </c>
      <c r="M596" s="98">
        <f t="shared" si="2"/>
        <v>0</v>
      </c>
      <c r="N596" s="77"/>
      <c r="O596" s="90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</row>
    <row r="597" ht="18.0" customHeight="1">
      <c r="A597" s="81"/>
      <c r="B597" s="91" t="str">
        <f>"65-00-99"</f>
        <v>65-00-99</v>
      </c>
      <c r="C597" s="91" t="str">
        <f>"693102500990"</f>
        <v>693102500990</v>
      </c>
      <c r="D597" s="92" t="s">
        <v>613</v>
      </c>
      <c r="E597" s="93" t="s">
        <v>245</v>
      </c>
      <c r="F597" s="94">
        <v>20.0</v>
      </c>
      <c r="G597" s="94">
        <v>10.0</v>
      </c>
      <c r="H597" s="95">
        <v>0.604</v>
      </c>
      <c r="I597" s="96">
        <v>9.504</v>
      </c>
      <c r="J597" s="93" t="s">
        <v>31</v>
      </c>
      <c r="K597" s="97"/>
      <c r="L597" s="93" t="str">
        <f t="shared" si="1"/>
        <v/>
      </c>
      <c r="M597" s="98">
        <f t="shared" si="2"/>
        <v>0</v>
      </c>
      <c r="N597" s="77"/>
      <c r="O597" s="90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</row>
    <row r="598" ht="18.0" customHeight="1">
      <c r="A598" s="81"/>
      <c r="B598" s="91" t="str">
        <f>"65-00-63"</f>
        <v>65-00-63</v>
      </c>
      <c r="C598" s="91" t="str">
        <f>"693102500631"</f>
        <v>693102500631</v>
      </c>
      <c r="D598" s="92" t="s">
        <v>614</v>
      </c>
      <c r="E598" s="93" t="s">
        <v>245</v>
      </c>
      <c r="F598" s="94">
        <v>20.0</v>
      </c>
      <c r="G598" s="94">
        <v>10.0</v>
      </c>
      <c r="H598" s="95">
        <v>0.604</v>
      </c>
      <c r="I598" s="96">
        <v>9.504</v>
      </c>
      <c r="J598" s="93" t="s">
        <v>31</v>
      </c>
      <c r="K598" s="97"/>
      <c r="L598" s="93" t="str">
        <f t="shared" si="1"/>
        <v/>
      </c>
      <c r="M598" s="98">
        <f t="shared" si="2"/>
        <v>0</v>
      </c>
      <c r="N598" s="77"/>
      <c r="O598" s="90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</row>
    <row r="599" ht="18.0" customHeight="1">
      <c r="A599" s="81"/>
      <c r="B599" s="91" t="str">
        <f>"65-00-97"</f>
        <v>65-00-97</v>
      </c>
      <c r="C599" s="91" t="str">
        <f>"693102500976"</f>
        <v>693102500976</v>
      </c>
      <c r="D599" s="92" t="s">
        <v>615</v>
      </c>
      <c r="E599" s="93" t="s">
        <v>245</v>
      </c>
      <c r="F599" s="94">
        <v>20.0</v>
      </c>
      <c r="G599" s="94">
        <v>10.0</v>
      </c>
      <c r="H599" s="95">
        <v>0.604</v>
      </c>
      <c r="I599" s="96">
        <v>9.504</v>
      </c>
      <c r="J599" s="93" t="s">
        <v>31</v>
      </c>
      <c r="K599" s="97"/>
      <c r="L599" s="93" t="str">
        <f t="shared" si="1"/>
        <v/>
      </c>
      <c r="M599" s="98">
        <f t="shared" si="2"/>
        <v>0</v>
      </c>
      <c r="N599" s="77"/>
      <c r="O599" s="90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</row>
    <row r="600" ht="18.0" customHeight="1">
      <c r="A600" s="81"/>
      <c r="B600" s="91" t="str">
        <f>"65-00-51"</f>
        <v>65-00-51</v>
      </c>
      <c r="C600" s="91" t="str">
        <f>"693102500518"</f>
        <v>693102500518</v>
      </c>
      <c r="D600" s="92" t="s">
        <v>616</v>
      </c>
      <c r="E600" s="93" t="s">
        <v>245</v>
      </c>
      <c r="F600" s="94">
        <v>20.0</v>
      </c>
      <c r="G600" s="94">
        <v>10.0</v>
      </c>
      <c r="H600" s="95">
        <v>0.604</v>
      </c>
      <c r="I600" s="96">
        <v>9.504</v>
      </c>
      <c r="J600" s="93" t="s">
        <v>31</v>
      </c>
      <c r="K600" s="97"/>
      <c r="L600" s="93" t="str">
        <f t="shared" si="1"/>
        <v/>
      </c>
      <c r="M600" s="98">
        <f t="shared" si="2"/>
        <v>0</v>
      </c>
      <c r="N600" s="77"/>
      <c r="O600" s="90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</row>
    <row r="601" ht="18.0" customHeight="1">
      <c r="A601" s="81"/>
      <c r="B601" s="91" t="str">
        <f>"65-00-49"</f>
        <v>65-00-49</v>
      </c>
      <c r="C601" s="91" t="str">
        <f>"693102500495"</f>
        <v>693102500495</v>
      </c>
      <c r="D601" s="92" t="s">
        <v>617</v>
      </c>
      <c r="E601" s="93" t="s">
        <v>245</v>
      </c>
      <c r="F601" s="94">
        <v>20.0</v>
      </c>
      <c r="G601" s="94">
        <v>10.0</v>
      </c>
      <c r="H601" s="95">
        <v>0.604</v>
      </c>
      <c r="I601" s="96">
        <v>9.504</v>
      </c>
      <c r="J601" s="93" t="s">
        <v>31</v>
      </c>
      <c r="K601" s="97"/>
      <c r="L601" s="93" t="str">
        <f t="shared" si="1"/>
        <v/>
      </c>
      <c r="M601" s="98">
        <f t="shared" si="2"/>
        <v>0</v>
      </c>
      <c r="N601" s="77"/>
      <c r="O601" s="90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</row>
    <row r="602" ht="18.0" customHeight="1">
      <c r="A602" s="81"/>
      <c r="B602" s="91" t="str">
        <f>"65-00-82"</f>
        <v>65-00-82</v>
      </c>
      <c r="C602" s="91" t="str">
        <f>"693102500822"</f>
        <v>693102500822</v>
      </c>
      <c r="D602" s="92" t="s">
        <v>618</v>
      </c>
      <c r="E602" s="93" t="s">
        <v>245</v>
      </c>
      <c r="F602" s="94">
        <v>20.0</v>
      </c>
      <c r="G602" s="94">
        <v>10.0</v>
      </c>
      <c r="H602" s="95">
        <v>0.604</v>
      </c>
      <c r="I602" s="96">
        <v>9.504</v>
      </c>
      <c r="J602" s="93" t="s">
        <v>31</v>
      </c>
      <c r="K602" s="97"/>
      <c r="L602" s="93" t="str">
        <f t="shared" si="1"/>
        <v/>
      </c>
      <c r="M602" s="98">
        <f t="shared" si="2"/>
        <v>0</v>
      </c>
      <c r="N602" s="77"/>
      <c r="O602" s="90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</row>
    <row r="603" ht="18.0" customHeight="1">
      <c r="A603" s="81"/>
      <c r="B603" s="91" t="str">
        <f>"35078"</f>
        <v>35078</v>
      </c>
      <c r="C603" s="91" t="str">
        <f>"693102350786"</f>
        <v>693102350786</v>
      </c>
      <c r="D603" s="92" t="s">
        <v>619</v>
      </c>
      <c r="E603" s="93" t="s">
        <v>245</v>
      </c>
      <c r="F603" s="94">
        <v>20.0</v>
      </c>
      <c r="G603" s="94">
        <v>10.0</v>
      </c>
      <c r="H603" s="95">
        <v>0.604</v>
      </c>
      <c r="I603" s="96">
        <v>9.504</v>
      </c>
      <c r="J603" s="93" t="s">
        <v>31</v>
      </c>
      <c r="K603" s="97"/>
      <c r="L603" s="93" t="str">
        <f t="shared" si="1"/>
        <v/>
      </c>
      <c r="M603" s="98">
        <f t="shared" si="2"/>
        <v>0</v>
      </c>
      <c r="N603" s="77"/>
      <c r="O603" s="90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</row>
    <row r="604" ht="18.0" customHeight="1">
      <c r="A604" s="81"/>
      <c r="B604" s="91" t="str">
        <f>"65-00-50"</f>
        <v>65-00-50</v>
      </c>
      <c r="C604" s="91" t="str">
        <f>"693102500501"</f>
        <v>693102500501</v>
      </c>
      <c r="D604" s="92" t="s">
        <v>620</v>
      </c>
      <c r="E604" s="93" t="s">
        <v>245</v>
      </c>
      <c r="F604" s="94">
        <v>20.0</v>
      </c>
      <c r="G604" s="94">
        <v>10.0</v>
      </c>
      <c r="H604" s="95">
        <v>0.604</v>
      </c>
      <c r="I604" s="96">
        <v>9.504</v>
      </c>
      <c r="J604" s="93" t="s">
        <v>31</v>
      </c>
      <c r="K604" s="97"/>
      <c r="L604" s="93" t="str">
        <f t="shared" si="1"/>
        <v/>
      </c>
      <c r="M604" s="98">
        <f t="shared" si="2"/>
        <v>0</v>
      </c>
      <c r="N604" s="77"/>
      <c r="O604" s="90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</row>
    <row r="605" ht="18.0" customHeight="1">
      <c r="A605" s="81"/>
      <c r="B605" s="91" t="str">
        <f>"65-00-95"</f>
        <v>65-00-95</v>
      </c>
      <c r="C605" s="91" t="str">
        <f>"693102500952"</f>
        <v>693102500952</v>
      </c>
      <c r="D605" s="92" t="s">
        <v>621</v>
      </c>
      <c r="E605" s="93" t="s">
        <v>245</v>
      </c>
      <c r="F605" s="94">
        <v>20.0</v>
      </c>
      <c r="G605" s="94">
        <v>10.0</v>
      </c>
      <c r="H605" s="95">
        <v>0.604</v>
      </c>
      <c r="I605" s="96">
        <v>9.504</v>
      </c>
      <c r="J605" s="93" t="s">
        <v>31</v>
      </c>
      <c r="K605" s="97"/>
      <c r="L605" s="93" t="str">
        <f t="shared" si="1"/>
        <v/>
      </c>
      <c r="M605" s="98">
        <f t="shared" si="2"/>
        <v>0</v>
      </c>
      <c r="N605" s="77"/>
      <c r="O605" s="90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</row>
    <row r="606" ht="18.0" customHeight="1">
      <c r="A606" s="81"/>
      <c r="B606" s="91" t="str">
        <f>"10612"</f>
        <v>10612</v>
      </c>
      <c r="C606" s="91" t="str">
        <f>"693102106123"</f>
        <v>693102106123</v>
      </c>
      <c r="D606" s="92" t="s">
        <v>622</v>
      </c>
      <c r="E606" s="93" t="s">
        <v>245</v>
      </c>
      <c r="F606" s="94">
        <v>20.0</v>
      </c>
      <c r="G606" s="94">
        <v>10.0</v>
      </c>
      <c r="H606" s="95">
        <v>0.604</v>
      </c>
      <c r="I606" s="96">
        <v>9.504</v>
      </c>
      <c r="J606" s="93" t="s">
        <v>31</v>
      </c>
      <c r="K606" s="97"/>
      <c r="L606" s="93" t="str">
        <f t="shared" si="1"/>
        <v/>
      </c>
      <c r="M606" s="98">
        <f t="shared" si="2"/>
        <v>0</v>
      </c>
      <c r="N606" s="77"/>
      <c r="O606" s="90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</row>
    <row r="607" ht="18.0" customHeight="1">
      <c r="A607" s="81"/>
      <c r="B607" s="91" t="str">
        <f>"65725"</f>
        <v>65725</v>
      </c>
      <c r="C607" s="91" t="str">
        <f>"693102657250"</f>
        <v>693102657250</v>
      </c>
      <c r="D607" s="92" t="s">
        <v>623</v>
      </c>
      <c r="E607" s="93" t="s">
        <v>245</v>
      </c>
      <c r="F607" s="94">
        <v>20.0</v>
      </c>
      <c r="G607" s="94">
        <v>10.0</v>
      </c>
      <c r="H607" s="95">
        <v>0.604</v>
      </c>
      <c r="I607" s="96">
        <v>9.504</v>
      </c>
      <c r="J607" s="93" t="s">
        <v>31</v>
      </c>
      <c r="K607" s="97"/>
      <c r="L607" s="93" t="str">
        <f t="shared" si="1"/>
        <v/>
      </c>
      <c r="M607" s="98">
        <f t="shared" si="2"/>
        <v>0</v>
      </c>
      <c r="N607" s="77"/>
      <c r="O607" s="90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</row>
    <row r="608" ht="18.0" customHeight="1">
      <c r="A608" s="81"/>
      <c r="B608" s="91" t="str">
        <f>"65-00-55"</f>
        <v>65-00-55</v>
      </c>
      <c r="C608" s="91" t="str">
        <f>"693102500556"</f>
        <v>693102500556</v>
      </c>
      <c r="D608" s="92" t="s">
        <v>624</v>
      </c>
      <c r="E608" s="93" t="s">
        <v>245</v>
      </c>
      <c r="F608" s="94">
        <v>20.0</v>
      </c>
      <c r="G608" s="94">
        <v>10.0</v>
      </c>
      <c r="H608" s="95">
        <v>0.604</v>
      </c>
      <c r="I608" s="96">
        <v>9.504</v>
      </c>
      <c r="J608" s="93" t="s">
        <v>31</v>
      </c>
      <c r="K608" s="97"/>
      <c r="L608" s="93" t="str">
        <f t="shared" si="1"/>
        <v/>
      </c>
      <c r="M608" s="98">
        <f t="shared" si="2"/>
        <v>0</v>
      </c>
      <c r="N608" s="77"/>
      <c r="O608" s="90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</row>
    <row r="609" ht="18.0" customHeight="1">
      <c r="A609" s="81"/>
      <c r="B609" s="91" t="str">
        <f>"65-00-58"</f>
        <v>65-00-58</v>
      </c>
      <c r="C609" s="91" t="str">
        <f>"693102500587"</f>
        <v>693102500587</v>
      </c>
      <c r="D609" s="92" t="s">
        <v>625</v>
      </c>
      <c r="E609" s="93" t="s">
        <v>245</v>
      </c>
      <c r="F609" s="94">
        <v>20.0</v>
      </c>
      <c r="G609" s="94">
        <v>10.0</v>
      </c>
      <c r="H609" s="95">
        <v>0.604</v>
      </c>
      <c r="I609" s="96">
        <v>9.504</v>
      </c>
      <c r="J609" s="93" t="s">
        <v>31</v>
      </c>
      <c r="K609" s="97"/>
      <c r="L609" s="93" t="str">
        <f t="shared" si="1"/>
        <v/>
      </c>
      <c r="M609" s="98">
        <f t="shared" si="2"/>
        <v>0</v>
      </c>
      <c r="N609" s="77"/>
      <c r="O609" s="90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</row>
    <row r="610" ht="18.0" customHeight="1">
      <c r="A610" s="81"/>
      <c r="B610" s="91" t="str">
        <f>"65-00-35"</f>
        <v>65-00-35</v>
      </c>
      <c r="C610" s="91" t="str">
        <f>"693102500358"</f>
        <v>693102500358</v>
      </c>
      <c r="D610" s="92" t="s">
        <v>626</v>
      </c>
      <c r="E610" s="93" t="s">
        <v>245</v>
      </c>
      <c r="F610" s="94">
        <v>20.0</v>
      </c>
      <c r="G610" s="94">
        <v>10.0</v>
      </c>
      <c r="H610" s="95">
        <v>0.604</v>
      </c>
      <c r="I610" s="96">
        <v>9.504</v>
      </c>
      <c r="J610" s="93" t="s">
        <v>31</v>
      </c>
      <c r="K610" s="97"/>
      <c r="L610" s="93" t="str">
        <f t="shared" si="1"/>
        <v/>
      </c>
      <c r="M610" s="98">
        <f t="shared" si="2"/>
        <v>0</v>
      </c>
      <c r="N610" s="77"/>
      <c r="O610" s="90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</row>
    <row r="611" ht="18.0" customHeight="1">
      <c r="A611" s="81"/>
      <c r="B611" s="91" t="str">
        <f>"65726"</f>
        <v>65726</v>
      </c>
      <c r="C611" s="91" t="str">
        <f>"693102657267"</f>
        <v>693102657267</v>
      </c>
      <c r="D611" s="92" t="s">
        <v>627</v>
      </c>
      <c r="E611" s="93" t="s">
        <v>245</v>
      </c>
      <c r="F611" s="94">
        <v>20.0</v>
      </c>
      <c r="G611" s="94">
        <v>10.0</v>
      </c>
      <c r="H611" s="95">
        <v>0.604</v>
      </c>
      <c r="I611" s="96">
        <v>9.504</v>
      </c>
      <c r="J611" s="93" t="s">
        <v>31</v>
      </c>
      <c r="K611" s="97"/>
      <c r="L611" s="93" t="str">
        <f t="shared" si="1"/>
        <v/>
      </c>
      <c r="M611" s="98">
        <f t="shared" si="2"/>
        <v>0</v>
      </c>
      <c r="N611" s="77"/>
      <c r="O611" s="90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</row>
    <row r="612" ht="18.0" customHeight="1">
      <c r="A612" s="81"/>
      <c r="B612" s="91" t="str">
        <f>"65734"</f>
        <v>65734</v>
      </c>
      <c r="C612" s="91" t="str">
        <f>"693102657342"</f>
        <v>693102657342</v>
      </c>
      <c r="D612" s="92" t="s">
        <v>628</v>
      </c>
      <c r="E612" s="93" t="s">
        <v>245</v>
      </c>
      <c r="F612" s="94">
        <v>20.0</v>
      </c>
      <c r="G612" s="94">
        <v>10.0</v>
      </c>
      <c r="H612" s="95">
        <v>0.604</v>
      </c>
      <c r="I612" s="96">
        <v>9.504</v>
      </c>
      <c r="J612" s="93" t="s">
        <v>31</v>
      </c>
      <c r="K612" s="97"/>
      <c r="L612" s="93" t="str">
        <f t="shared" si="1"/>
        <v/>
      </c>
      <c r="M612" s="98">
        <f t="shared" si="2"/>
        <v>0</v>
      </c>
      <c r="N612" s="77"/>
      <c r="O612" s="90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</row>
    <row r="613" ht="18.0" customHeight="1">
      <c r="A613" s="81"/>
      <c r="B613" s="91" t="str">
        <f>"65-00-66"</f>
        <v>65-00-66</v>
      </c>
      <c r="C613" s="91" t="str">
        <f>"693102500662"</f>
        <v>693102500662</v>
      </c>
      <c r="D613" s="92" t="s">
        <v>629</v>
      </c>
      <c r="E613" s="93" t="s">
        <v>245</v>
      </c>
      <c r="F613" s="94">
        <v>20.0</v>
      </c>
      <c r="G613" s="94">
        <v>10.0</v>
      </c>
      <c r="H613" s="95">
        <v>0.604</v>
      </c>
      <c r="I613" s="96">
        <v>9.504</v>
      </c>
      <c r="J613" s="93" t="s">
        <v>31</v>
      </c>
      <c r="K613" s="97"/>
      <c r="L613" s="93" t="str">
        <f t="shared" si="1"/>
        <v/>
      </c>
      <c r="M613" s="98">
        <f t="shared" si="2"/>
        <v>0</v>
      </c>
      <c r="N613" s="77"/>
      <c r="O613" s="90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</row>
    <row r="614" ht="18.0" customHeight="1">
      <c r="A614" s="81"/>
      <c r="B614" s="91" t="str">
        <f>"65-00-54"</f>
        <v>65-00-54</v>
      </c>
      <c r="C614" s="91" t="str">
        <f>"693102500549"</f>
        <v>693102500549</v>
      </c>
      <c r="D614" s="92" t="s">
        <v>630</v>
      </c>
      <c r="E614" s="93" t="s">
        <v>245</v>
      </c>
      <c r="F614" s="94">
        <v>20.0</v>
      </c>
      <c r="G614" s="94">
        <v>10.0</v>
      </c>
      <c r="H614" s="95">
        <v>0.604</v>
      </c>
      <c r="I614" s="96">
        <v>9.504</v>
      </c>
      <c r="J614" s="93" t="s">
        <v>31</v>
      </c>
      <c r="K614" s="97"/>
      <c r="L614" s="93" t="str">
        <f t="shared" si="1"/>
        <v/>
      </c>
      <c r="M614" s="98">
        <f t="shared" si="2"/>
        <v>0</v>
      </c>
      <c r="N614" s="77"/>
      <c r="O614" s="90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</row>
    <row r="615" ht="18.0" customHeight="1">
      <c r="A615" s="81"/>
      <c r="B615" s="91" t="str">
        <f>"65733"</f>
        <v>65733</v>
      </c>
      <c r="C615" s="91" t="str">
        <f>"693102657335"</f>
        <v>693102657335</v>
      </c>
      <c r="D615" s="92" t="s">
        <v>631</v>
      </c>
      <c r="E615" s="93" t="s">
        <v>245</v>
      </c>
      <c r="F615" s="94">
        <v>20.0</v>
      </c>
      <c r="G615" s="94">
        <v>10.0</v>
      </c>
      <c r="H615" s="95">
        <v>0.604</v>
      </c>
      <c r="I615" s="96">
        <v>9.504</v>
      </c>
      <c r="J615" s="93" t="s">
        <v>31</v>
      </c>
      <c r="K615" s="97"/>
      <c r="L615" s="93" t="str">
        <f t="shared" si="1"/>
        <v/>
      </c>
      <c r="M615" s="98">
        <f t="shared" si="2"/>
        <v>0</v>
      </c>
      <c r="N615" s="77"/>
      <c r="O615" s="90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</row>
    <row r="616" ht="18.0" customHeight="1">
      <c r="A616" s="81"/>
      <c r="B616" s="91" t="str">
        <f>"65717"</f>
        <v>65717</v>
      </c>
      <c r="C616" s="91" t="str">
        <f>"693102657175"</f>
        <v>693102657175</v>
      </c>
      <c r="D616" s="92" t="s">
        <v>632</v>
      </c>
      <c r="E616" s="93" t="s">
        <v>245</v>
      </c>
      <c r="F616" s="94">
        <v>20.0</v>
      </c>
      <c r="G616" s="94">
        <v>10.0</v>
      </c>
      <c r="H616" s="95">
        <v>0.604</v>
      </c>
      <c r="I616" s="96">
        <v>9.504</v>
      </c>
      <c r="J616" s="93" t="s">
        <v>31</v>
      </c>
      <c r="K616" s="97"/>
      <c r="L616" s="93" t="str">
        <f t="shared" si="1"/>
        <v/>
      </c>
      <c r="M616" s="98">
        <f t="shared" si="2"/>
        <v>0</v>
      </c>
      <c r="N616" s="77"/>
      <c r="O616" s="90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</row>
    <row r="617" ht="18.0" customHeight="1">
      <c r="A617" s="81"/>
      <c r="B617" s="91" t="str">
        <f>"65715"</f>
        <v>65715</v>
      </c>
      <c r="C617" s="91" t="str">
        <f>"693102657151"</f>
        <v>693102657151</v>
      </c>
      <c r="D617" s="92" t="s">
        <v>633</v>
      </c>
      <c r="E617" s="93" t="s">
        <v>245</v>
      </c>
      <c r="F617" s="94">
        <v>20.0</v>
      </c>
      <c r="G617" s="94">
        <v>10.0</v>
      </c>
      <c r="H617" s="95">
        <v>0.604</v>
      </c>
      <c r="I617" s="96">
        <v>9.504</v>
      </c>
      <c r="J617" s="93" t="s">
        <v>31</v>
      </c>
      <c r="K617" s="97"/>
      <c r="L617" s="93" t="str">
        <f t="shared" si="1"/>
        <v/>
      </c>
      <c r="M617" s="98">
        <f t="shared" si="2"/>
        <v>0</v>
      </c>
      <c r="N617" s="77"/>
      <c r="O617" s="90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</row>
    <row r="618" ht="18.0" customHeight="1">
      <c r="A618" s="81"/>
      <c r="B618" s="91" t="str">
        <f>"65-00-59"</f>
        <v>65-00-59</v>
      </c>
      <c r="C618" s="91" t="str">
        <f>"693102500594"</f>
        <v>693102500594</v>
      </c>
      <c r="D618" s="92" t="s">
        <v>634</v>
      </c>
      <c r="E618" s="93" t="s">
        <v>245</v>
      </c>
      <c r="F618" s="94">
        <v>20.0</v>
      </c>
      <c r="G618" s="94">
        <v>10.0</v>
      </c>
      <c r="H618" s="95">
        <v>0.604</v>
      </c>
      <c r="I618" s="96">
        <v>9.504</v>
      </c>
      <c r="J618" s="93" t="s">
        <v>31</v>
      </c>
      <c r="K618" s="97"/>
      <c r="L618" s="93" t="str">
        <f t="shared" si="1"/>
        <v/>
      </c>
      <c r="M618" s="98">
        <f t="shared" si="2"/>
        <v>0</v>
      </c>
      <c r="N618" s="77"/>
      <c r="O618" s="90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</row>
    <row r="619" ht="18.0" customHeight="1">
      <c r="A619" s="81"/>
      <c r="B619" s="91" t="str">
        <f>"65-00-38"</f>
        <v>65-00-38</v>
      </c>
      <c r="C619" s="91" t="str">
        <f>"693102500389"</f>
        <v>693102500389</v>
      </c>
      <c r="D619" s="92" t="s">
        <v>635</v>
      </c>
      <c r="E619" s="93" t="s">
        <v>245</v>
      </c>
      <c r="F619" s="94">
        <v>20.0</v>
      </c>
      <c r="G619" s="94">
        <v>10.0</v>
      </c>
      <c r="H619" s="95">
        <v>0.604</v>
      </c>
      <c r="I619" s="96">
        <v>9.504</v>
      </c>
      <c r="J619" s="93" t="s">
        <v>31</v>
      </c>
      <c r="K619" s="97"/>
      <c r="L619" s="93" t="str">
        <f t="shared" si="1"/>
        <v/>
      </c>
      <c r="M619" s="98">
        <f t="shared" si="2"/>
        <v>0</v>
      </c>
      <c r="N619" s="77"/>
      <c r="O619" s="90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</row>
    <row r="620" ht="18.0" customHeight="1">
      <c r="A620" s="81"/>
      <c r="B620" s="91" t="str">
        <f>"65-00-81"</f>
        <v>65-00-81</v>
      </c>
      <c r="C620" s="91" t="str">
        <f>"693102500815"</f>
        <v>693102500815</v>
      </c>
      <c r="D620" s="92" t="s">
        <v>636</v>
      </c>
      <c r="E620" s="93" t="s">
        <v>245</v>
      </c>
      <c r="F620" s="94">
        <v>20.0</v>
      </c>
      <c r="G620" s="94">
        <v>10.0</v>
      </c>
      <c r="H620" s="95">
        <v>0.604</v>
      </c>
      <c r="I620" s="96">
        <v>9.504</v>
      </c>
      <c r="J620" s="93" t="s">
        <v>31</v>
      </c>
      <c r="K620" s="97"/>
      <c r="L620" s="93" t="str">
        <f t="shared" si="1"/>
        <v/>
      </c>
      <c r="M620" s="98">
        <f t="shared" si="2"/>
        <v>0</v>
      </c>
      <c r="N620" s="77"/>
      <c r="O620" s="90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</row>
    <row r="621" ht="18.0" customHeight="1">
      <c r="A621" s="81"/>
      <c r="B621" s="91" t="str">
        <f>"65-00-56"</f>
        <v>65-00-56</v>
      </c>
      <c r="C621" s="91" t="str">
        <f>"693102500563"</f>
        <v>693102500563</v>
      </c>
      <c r="D621" s="92" t="s">
        <v>637</v>
      </c>
      <c r="E621" s="93" t="s">
        <v>245</v>
      </c>
      <c r="F621" s="94">
        <v>20.0</v>
      </c>
      <c r="G621" s="94">
        <v>10.0</v>
      </c>
      <c r="H621" s="95">
        <v>0.604</v>
      </c>
      <c r="I621" s="96">
        <v>9.504</v>
      </c>
      <c r="J621" s="93" t="s">
        <v>31</v>
      </c>
      <c r="K621" s="97"/>
      <c r="L621" s="93" t="str">
        <f t="shared" si="1"/>
        <v/>
      </c>
      <c r="M621" s="98">
        <f t="shared" si="2"/>
        <v>0</v>
      </c>
      <c r="N621" s="77"/>
      <c r="O621" s="90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</row>
    <row r="622" ht="18.0" customHeight="1">
      <c r="A622" s="81"/>
      <c r="B622" s="91" t="str">
        <f>"65724"</f>
        <v>65724</v>
      </c>
      <c r="C622" s="91" t="str">
        <f>"693102657243"</f>
        <v>693102657243</v>
      </c>
      <c r="D622" s="92" t="s">
        <v>638</v>
      </c>
      <c r="E622" s="93" t="s">
        <v>245</v>
      </c>
      <c r="F622" s="94">
        <v>20.0</v>
      </c>
      <c r="G622" s="94">
        <v>10.0</v>
      </c>
      <c r="H622" s="95">
        <v>0.604</v>
      </c>
      <c r="I622" s="96">
        <v>9.504</v>
      </c>
      <c r="J622" s="93" t="s">
        <v>31</v>
      </c>
      <c r="K622" s="97"/>
      <c r="L622" s="93" t="str">
        <f t="shared" si="1"/>
        <v/>
      </c>
      <c r="M622" s="98">
        <f t="shared" si="2"/>
        <v>0</v>
      </c>
      <c r="N622" s="77"/>
      <c r="O622" s="90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</row>
    <row r="623" ht="18.0" customHeight="1">
      <c r="A623" s="81"/>
      <c r="B623" s="91" t="str">
        <f>"65728"</f>
        <v>65728</v>
      </c>
      <c r="C623" s="91" t="str">
        <f>"693102657281"</f>
        <v>693102657281</v>
      </c>
      <c r="D623" s="92" t="s">
        <v>639</v>
      </c>
      <c r="E623" s="93" t="s">
        <v>245</v>
      </c>
      <c r="F623" s="94">
        <v>20.0</v>
      </c>
      <c r="G623" s="94">
        <v>10.0</v>
      </c>
      <c r="H623" s="95">
        <v>0.604</v>
      </c>
      <c r="I623" s="96">
        <v>9.504</v>
      </c>
      <c r="J623" s="93" t="s">
        <v>31</v>
      </c>
      <c r="K623" s="97"/>
      <c r="L623" s="93" t="str">
        <f t="shared" si="1"/>
        <v/>
      </c>
      <c r="M623" s="98">
        <f t="shared" si="2"/>
        <v>0</v>
      </c>
      <c r="N623" s="77"/>
      <c r="O623" s="90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</row>
    <row r="624" ht="18.0" customHeight="1">
      <c r="A624" s="81"/>
      <c r="B624" s="91" t="str">
        <f>"65-00-36"</f>
        <v>65-00-36</v>
      </c>
      <c r="C624" s="91" t="str">
        <f>"693102500365"</f>
        <v>693102500365</v>
      </c>
      <c r="D624" s="92" t="s">
        <v>640</v>
      </c>
      <c r="E624" s="93" t="s">
        <v>245</v>
      </c>
      <c r="F624" s="94">
        <v>20.0</v>
      </c>
      <c r="G624" s="94">
        <v>10.0</v>
      </c>
      <c r="H624" s="95">
        <v>0.604</v>
      </c>
      <c r="I624" s="96">
        <v>9.504</v>
      </c>
      <c r="J624" s="93" t="s">
        <v>31</v>
      </c>
      <c r="K624" s="97"/>
      <c r="L624" s="93" t="str">
        <f t="shared" si="1"/>
        <v/>
      </c>
      <c r="M624" s="98">
        <f t="shared" si="2"/>
        <v>0</v>
      </c>
      <c r="N624" s="77"/>
      <c r="O624" s="90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</row>
    <row r="625" ht="18.0" customHeight="1">
      <c r="A625" s="81"/>
      <c r="B625" s="91" t="str">
        <f>"65-00-94"</f>
        <v>65-00-94</v>
      </c>
      <c r="C625" s="91" t="str">
        <f>"693102500945"</f>
        <v>693102500945</v>
      </c>
      <c r="D625" s="92" t="s">
        <v>641</v>
      </c>
      <c r="E625" s="93" t="s">
        <v>245</v>
      </c>
      <c r="F625" s="94">
        <v>20.0</v>
      </c>
      <c r="G625" s="94">
        <v>10.0</v>
      </c>
      <c r="H625" s="95">
        <v>0.604</v>
      </c>
      <c r="I625" s="96">
        <v>9.504</v>
      </c>
      <c r="J625" s="93" t="s">
        <v>31</v>
      </c>
      <c r="K625" s="97"/>
      <c r="L625" s="93" t="str">
        <f t="shared" si="1"/>
        <v/>
      </c>
      <c r="M625" s="98">
        <f t="shared" si="2"/>
        <v>0</v>
      </c>
      <c r="N625" s="77"/>
      <c r="O625" s="90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</row>
    <row r="626" ht="18.0" customHeight="1">
      <c r="A626" s="81"/>
      <c r="B626" s="91" t="str">
        <f>"65-00-52"</f>
        <v>65-00-52</v>
      </c>
      <c r="C626" s="91" t="str">
        <f>"693102500525"</f>
        <v>693102500525</v>
      </c>
      <c r="D626" s="92" t="s">
        <v>642</v>
      </c>
      <c r="E626" s="93" t="s">
        <v>245</v>
      </c>
      <c r="F626" s="94">
        <v>20.0</v>
      </c>
      <c r="G626" s="94">
        <v>10.0</v>
      </c>
      <c r="H626" s="95">
        <v>0.604</v>
      </c>
      <c r="I626" s="96">
        <v>9.504</v>
      </c>
      <c r="J626" s="93" t="s">
        <v>31</v>
      </c>
      <c r="K626" s="97"/>
      <c r="L626" s="93" t="str">
        <f t="shared" si="1"/>
        <v/>
      </c>
      <c r="M626" s="98">
        <f t="shared" si="2"/>
        <v>0</v>
      </c>
      <c r="N626" s="77"/>
      <c r="O626" s="90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</row>
    <row r="627" ht="18.0" customHeight="1">
      <c r="A627" s="81"/>
      <c r="B627" s="91" t="str">
        <f>"35053"</f>
        <v>35053</v>
      </c>
      <c r="C627" s="91" t="str">
        <f>"693102350533"</f>
        <v>693102350533</v>
      </c>
      <c r="D627" s="92" t="s">
        <v>643</v>
      </c>
      <c r="E627" s="93" t="s">
        <v>245</v>
      </c>
      <c r="F627" s="94">
        <v>20.0</v>
      </c>
      <c r="G627" s="94">
        <v>10.0</v>
      </c>
      <c r="H627" s="95">
        <v>0.604</v>
      </c>
      <c r="I627" s="96">
        <v>9.504</v>
      </c>
      <c r="J627" s="93" t="s">
        <v>31</v>
      </c>
      <c r="K627" s="97"/>
      <c r="L627" s="93" t="str">
        <f t="shared" si="1"/>
        <v/>
      </c>
      <c r="M627" s="98">
        <f t="shared" si="2"/>
        <v>0</v>
      </c>
      <c r="N627" s="77"/>
      <c r="O627" s="90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</row>
    <row r="628" ht="18.0" customHeight="1">
      <c r="A628" s="81"/>
      <c r="B628" s="91" t="str">
        <f>"65-00-71"</f>
        <v>65-00-71</v>
      </c>
      <c r="C628" s="91" t="str">
        <f>"693102500716"</f>
        <v>693102500716</v>
      </c>
      <c r="D628" s="92" t="s">
        <v>644</v>
      </c>
      <c r="E628" s="93" t="s">
        <v>245</v>
      </c>
      <c r="F628" s="94">
        <v>20.0</v>
      </c>
      <c r="G628" s="94">
        <v>10.0</v>
      </c>
      <c r="H628" s="95">
        <v>0.604</v>
      </c>
      <c r="I628" s="96">
        <v>9.504</v>
      </c>
      <c r="J628" s="93" t="s">
        <v>31</v>
      </c>
      <c r="K628" s="97"/>
      <c r="L628" s="93" t="str">
        <f t="shared" si="1"/>
        <v/>
      </c>
      <c r="M628" s="98">
        <f t="shared" si="2"/>
        <v>0</v>
      </c>
      <c r="N628" s="77"/>
      <c r="O628" s="90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</row>
    <row r="629" ht="18.0" customHeight="1">
      <c r="A629" s="81"/>
      <c r="B629" s="91" t="str">
        <f>"35019"</f>
        <v>35019</v>
      </c>
      <c r="C629" s="91" t="str">
        <f>"693102350199"</f>
        <v>693102350199</v>
      </c>
      <c r="D629" s="92" t="s">
        <v>645</v>
      </c>
      <c r="E629" s="93" t="s">
        <v>245</v>
      </c>
      <c r="F629" s="94">
        <v>20.0</v>
      </c>
      <c r="G629" s="94">
        <v>10.0</v>
      </c>
      <c r="H629" s="95">
        <v>0.604</v>
      </c>
      <c r="I629" s="96">
        <v>9.504</v>
      </c>
      <c r="J629" s="93" t="s">
        <v>31</v>
      </c>
      <c r="K629" s="97"/>
      <c r="L629" s="93" t="str">
        <f t="shared" si="1"/>
        <v/>
      </c>
      <c r="M629" s="98">
        <f t="shared" si="2"/>
        <v>0</v>
      </c>
      <c r="N629" s="77"/>
      <c r="O629" s="90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</row>
    <row r="630" ht="18.0" customHeight="1">
      <c r="A630" s="81"/>
      <c r="B630" s="91" t="str">
        <f>"65-00-40"</f>
        <v>65-00-40</v>
      </c>
      <c r="C630" s="91" t="str">
        <f>"693102500402"</f>
        <v>693102500402</v>
      </c>
      <c r="D630" s="92" t="s">
        <v>646</v>
      </c>
      <c r="E630" s="93" t="s">
        <v>245</v>
      </c>
      <c r="F630" s="94">
        <v>20.0</v>
      </c>
      <c r="G630" s="94">
        <v>10.0</v>
      </c>
      <c r="H630" s="95">
        <v>0.604</v>
      </c>
      <c r="I630" s="96">
        <v>9.504</v>
      </c>
      <c r="J630" s="93" t="s">
        <v>31</v>
      </c>
      <c r="K630" s="97"/>
      <c r="L630" s="93" t="str">
        <f t="shared" si="1"/>
        <v/>
      </c>
      <c r="M630" s="98">
        <f t="shared" si="2"/>
        <v>0</v>
      </c>
      <c r="N630" s="77"/>
      <c r="O630" s="90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</row>
    <row r="631" ht="18.0" customHeight="1">
      <c r="A631" s="81"/>
      <c r="B631" s="91" t="str">
        <f>"65-00-43"</f>
        <v>65-00-43</v>
      </c>
      <c r="C631" s="91" t="str">
        <f>"693102500433"</f>
        <v>693102500433</v>
      </c>
      <c r="D631" s="92" t="s">
        <v>647</v>
      </c>
      <c r="E631" s="93" t="s">
        <v>245</v>
      </c>
      <c r="F631" s="94">
        <v>20.0</v>
      </c>
      <c r="G631" s="94">
        <v>10.0</v>
      </c>
      <c r="H631" s="95">
        <v>0.604</v>
      </c>
      <c r="I631" s="96">
        <v>9.504</v>
      </c>
      <c r="J631" s="93" t="s">
        <v>31</v>
      </c>
      <c r="K631" s="97"/>
      <c r="L631" s="93" t="str">
        <f t="shared" si="1"/>
        <v/>
      </c>
      <c r="M631" s="98">
        <f t="shared" si="2"/>
        <v>0</v>
      </c>
      <c r="N631" s="77"/>
      <c r="O631" s="90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</row>
    <row r="632" ht="18.0" customHeight="1">
      <c r="A632" s="81"/>
      <c r="B632" s="91" t="str">
        <f>"65729"</f>
        <v>65729</v>
      </c>
      <c r="C632" s="91" t="str">
        <f>"693102657298"</f>
        <v>693102657298</v>
      </c>
      <c r="D632" s="92" t="s">
        <v>648</v>
      </c>
      <c r="E632" s="93" t="s">
        <v>245</v>
      </c>
      <c r="F632" s="94">
        <v>20.0</v>
      </c>
      <c r="G632" s="94">
        <v>10.0</v>
      </c>
      <c r="H632" s="95">
        <v>0.604</v>
      </c>
      <c r="I632" s="96">
        <v>9.504</v>
      </c>
      <c r="J632" s="93" t="s">
        <v>31</v>
      </c>
      <c r="K632" s="97"/>
      <c r="L632" s="93" t="str">
        <f t="shared" si="1"/>
        <v/>
      </c>
      <c r="M632" s="98">
        <f t="shared" si="2"/>
        <v>0</v>
      </c>
      <c r="N632" s="77"/>
      <c r="O632" s="90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</row>
    <row r="633" ht="18.0" customHeight="1">
      <c r="A633" s="81"/>
      <c r="B633" s="91" t="str">
        <f>"65-00-91"</f>
        <v>65-00-91</v>
      </c>
      <c r="C633" s="91" t="str">
        <f>"693102500914"</f>
        <v>693102500914</v>
      </c>
      <c r="D633" s="92" t="s">
        <v>649</v>
      </c>
      <c r="E633" s="93" t="s">
        <v>245</v>
      </c>
      <c r="F633" s="94">
        <v>20.0</v>
      </c>
      <c r="G633" s="94">
        <v>10.0</v>
      </c>
      <c r="H633" s="95">
        <v>0.604</v>
      </c>
      <c r="I633" s="96">
        <v>9.504</v>
      </c>
      <c r="J633" s="93" t="s">
        <v>31</v>
      </c>
      <c r="K633" s="97"/>
      <c r="L633" s="93" t="str">
        <f t="shared" si="1"/>
        <v/>
      </c>
      <c r="M633" s="98">
        <f t="shared" si="2"/>
        <v>0</v>
      </c>
      <c r="N633" s="77"/>
      <c r="O633" s="90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</row>
    <row r="634" ht="18.0" customHeight="1">
      <c r="A634" s="81"/>
      <c r="B634" s="91" t="str">
        <f>"65-00-62"</f>
        <v>65-00-62</v>
      </c>
      <c r="C634" s="91" t="str">
        <f>"693102500624"</f>
        <v>693102500624</v>
      </c>
      <c r="D634" s="92" t="s">
        <v>650</v>
      </c>
      <c r="E634" s="93" t="s">
        <v>245</v>
      </c>
      <c r="F634" s="94">
        <v>20.0</v>
      </c>
      <c r="G634" s="94">
        <v>10.0</v>
      </c>
      <c r="H634" s="95">
        <v>0.604</v>
      </c>
      <c r="I634" s="96">
        <v>9.504</v>
      </c>
      <c r="J634" s="93" t="s">
        <v>31</v>
      </c>
      <c r="K634" s="97"/>
      <c r="L634" s="93" t="str">
        <f t="shared" si="1"/>
        <v/>
      </c>
      <c r="M634" s="98">
        <f t="shared" si="2"/>
        <v>0</v>
      </c>
      <c r="N634" s="77"/>
      <c r="O634" s="90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</row>
    <row r="635" ht="18.0" customHeight="1">
      <c r="A635" s="81"/>
      <c r="B635" s="91" t="str">
        <f>"65704"</f>
        <v>65704</v>
      </c>
      <c r="C635" s="91" t="str">
        <f>"693102500884"</f>
        <v>693102500884</v>
      </c>
      <c r="D635" s="92" t="s">
        <v>651</v>
      </c>
      <c r="E635" s="93" t="s">
        <v>245</v>
      </c>
      <c r="F635" s="94">
        <v>20.0</v>
      </c>
      <c r="G635" s="94">
        <v>10.0</v>
      </c>
      <c r="H635" s="95">
        <v>0.604</v>
      </c>
      <c r="I635" s="96">
        <v>9.504</v>
      </c>
      <c r="J635" s="93" t="s">
        <v>31</v>
      </c>
      <c r="K635" s="97"/>
      <c r="L635" s="93" t="str">
        <f t="shared" si="1"/>
        <v/>
      </c>
      <c r="M635" s="98">
        <f t="shared" si="2"/>
        <v>0</v>
      </c>
      <c r="N635" s="77"/>
      <c r="O635" s="90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</row>
    <row r="636" ht="18.0" customHeight="1">
      <c r="A636" s="81"/>
      <c r="B636" s="91" t="str">
        <f>"65-00-57"</f>
        <v>65-00-57</v>
      </c>
      <c r="C636" s="91" t="str">
        <f>"693102500570"</f>
        <v>693102500570</v>
      </c>
      <c r="D636" s="92" t="s">
        <v>652</v>
      </c>
      <c r="E636" s="93" t="s">
        <v>245</v>
      </c>
      <c r="F636" s="94">
        <v>20.0</v>
      </c>
      <c r="G636" s="94">
        <v>10.0</v>
      </c>
      <c r="H636" s="95">
        <v>0.604</v>
      </c>
      <c r="I636" s="96">
        <v>9.504</v>
      </c>
      <c r="J636" s="93" t="s">
        <v>31</v>
      </c>
      <c r="K636" s="97"/>
      <c r="L636" s="93" t="str">
        <f t="shared" si="1"/>
        <v/>
      </c>
      <c r="M636" s="98">
        <f t="shared" si="2"/>
        <v>0</v>
      </c>
      <c r="N636" s="77"/>
      <c r="O636" s="90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</row>
    <row r="637" ht="18.0" customHeight="1">
      <c r="A637" s="81"/>
      <c r="B637" s="91" t="str">
        <f>"65718"</f>
        <v>65718</v>
      </c>
      <c r="C637" s="91" t="str">
        <f>"693102657182"</f>
        <v>693102657182</v>
      </c>
      <c r="D637" s="92" t="s">
        <v>653</v>
      </c>
      <c r="E637" s="93" t="s">
        <v>245</v>
      </c>
      <c r="F637" s="94">
        <v>20.0</v>
      </c>
      <c r="G637" s="94">
        <v>10.0</v>
      </c>
      <c r="H637" s="95">
        <v>0.604</v>
      </c>
      <c r="I637" s="96">
        <v>9.504</v>
      </c>
      <c r="J637" s="93" t="s">
        <v>31</v>
      </c>
      <c r="K637" s="97"/>
      <c r="L637" s="93" t="str">
        <f t="shared" si="1"/>
        <v/>
      </c>
      <c r="M637" s="98">
        <f t="shared" si="2"/>
        <v>0</v>
      </c>
      <c r="N637" s="77"/>
      <c r="O637" s="90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</row>
    <row r="638" ht="18.0" customHeight="1">
      <c r="A638" s="81"/>
      <c r="B638" s="91" t="str">
        <f>"65709"</f>
        <v>65709</v>
      </c>
      <c r="C638" s="91" t="str">
        <f>"693102657090"</f>
        <v>693102657090</v>
      </c>
      <c r="D638" s="92" t="s">
        <v>654</v>
      </c>
      <c r="E638" s="93" t="s">
        <v>245</v>
      </c>
      <c r="F638" s="94">
        <v>20.0</v>
      </c>
      <c r="G638" s="94">
        <v>10.0</v>
      </c>
      <c r="H638" s="95">
        <v>0.604</v>
      </c>
      <c r="I638" s="96">
        <v>9.504</v>
      </c>
      <c r="J638" s="93" t="s">
        <v>31</v>
      </c>
      <c r="K638" s="97"/>
      <c r="L638" s="93" t="str">
        <f t="shared" si="1"/>
        <v/>
      </c>
      <c r="M638" s="98">
        <f t="shared" si="2"/>
        <v>0</v>
      </c>
      <c r="N638" s="77"/>
      <c r="O638" s="90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</row>
    <row r="639" ht="18.0" customHeight="1">
      <c r="A639" s="81"/>
      <c r="B639" s="91" t="str">
        <f>"65-00-83"</f>
        <v>65-00-83</v>
      </c>
      <c r="C639" s="91" t="str">
        <f>"693102500839"</f>
        <v>693102500839</v>
      </c>
      <c r="D639" s="92" t="s">
        <v>655</v>
      </c>
      <c r="E639" s="93" t="s">
        <v>245</v>
      </c>
      <c r="F639" s="94">
        <v>20.0</v>
      </c>
      <c r="G639" s="94">
        <v>10.0</v>
      </c>
      <c r="H639" s="95">
        <v>0.604</v>
      </c>
      <c r="I639" s="96">
        <v>9.504</v>
      </c>
      <c r="J639" s="93" t="s">
        <v>31</v>
      </c>
      <c r="K639" s="97"/>
      <c r="L639" s="93" t="str">
        <f t="shared" si="1"/>
        <v/>
      </c>
      <c r="M639" s="98">
        <f t="shared" si="2"/>
        <v>0</v>
      </c>
      <c r="N639" s="77"/>
      <c r="O639" s="90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</row>
    <row r="640" ht="18.0" customHeight="1">
      <c r="A640" s="81"/>
      <c r="B640" s="91" t="str">
        <f>"65730"</f>
        <v>65730</v>
      </c>
      <c r="C640" s="91" t="str">
        <f>"693102657304"</f>
        <v>693102657304</v>
      </c>
      <c r="D640" s="92" t="s">
        <v>656</v>
      </c>
      <c r="E640" s="93" t="s">
        <v>245</v>
      </c>
      <c r="F640" s="94">
        <v>20.0</v>
      </c>
      <c r="G640" s="94">
        <v>10.0</v>
      </c>
      <c r="H640" s="95">
        <v>0.604</v>
      </c>
      <c r="I640" s="96">
        <v>9.504</v>
      </c>
      <c r="J640" s="93" t="s">
        <v>31</v>
      </c>
      <c r="K640" s="97"/>
      <c r="L640" s="93" t="str">
        <f t="shared" si="1"/>
        <v/>
      </c>
      <c r="M640" s="98">
        <f t="shared" si="2"/>
        <v>0</v>
      </c>
      <c r="N640" s="77"/>
      <c r="O640" s="90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</row>
    <row r="641" ht="18.0" customHeight="1">
      <c r="A641" s="81"/>
      <c r="B641" s="91" t="str">
        <f>"10621"</f>
        <v>10621</v>
      </c>
      <c r="C641" s="91" t="str">
        <f>"693102106215"</f>
        <v>693102106215</v>
      </c>
      <c r="D641" s="92" t="s">
        <v>657</v>
      </c>
      <c r="E641" s="93" t="s">
        <v>658</v>
      </c>
      <c r="F641" s="94"/>
      <c r="G641" s="94"/>
      <c r="H641" s="95"/>
      <c r="I641" s="96">
        <v>1.584</v>
      </c>
      <c r="J641" s="93" t="s">
        <v>31</v>
      </c>
      <c r="K641" s="97"/>
      <c r="L641" s="93" t="str">
        <f t="shared" si="1"/>
        <v/>
      </c>
      <c r="M641" s="98">
        <f t="shared" si="2"/>
        <v>0</v>
      </c>
      <c r="N641" s="77"/>
      <c r="O641" s="90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</row>
    <row r="642" ht="18.0" customHeight="1">
      <c r="A642" s="81"/>
      <c r="B642" s="91" t="str">
        <f>"10622"</f>
        <v>10622</v>
      </c>
      <c r="C642" s="91" t="str">
        <f>"693102106222"</f>
        <v>693102106222</v>
      </c>
      <c r="D642" s="92" t="s">
        <v>659</v>
      </c>
      <c r="E642" s="93" t="s">
        <v>658</v>
      </c>
      <c r="F642" s="94"/>
      <c r="G642" s="94"/>
      <c r="H642" s="95"/>
      <c r="I642" s="96">
        <v>1.584</v>
      </c>
      <c r="J642" s="93" t="s">
        <v>31</v>
      </c>
      <c r="K642" s="97"/>
      <c r="L642" s="93" t="str">
        <f t="shared" si="1"/>
        <v/>
      </c>
      <c r="M642" s="98">
        <f t="shared" si="2"/>
        <v>0</v>
      </c>
      <c r="N642" s="77"/>
      <c r="O642" s="90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</row>
    <row r="643" ht="18.0" customHeight="1">
      <c r="A643" s="81"/>
      <c r="B643" s="91" t="str">
        <f>"10635"</f>
        <v>10635</v>
      </c>
      <c r="C643" s="91" t="str">
        <f>"693102106352"</f>
        <v>693102106352</v>
      </c>
      <c r="D643" s="92" t="s">
        <v>660</v>
      </c>
      <c r="E643" s="93" t="s">
        <v>658</v>
      </c>
      <c r="F643" s="94"/>
      <c r="G643" s="94"/>
      <c r="H643" s="95"/>
      <c r="I643" s="96">
        <v>1.584</v>
      </c>
      <c r="J643" s="93" t="s">
        <v>31</v>
      </c>
      <c r="K643" s="97"/>
      <c r="L643" s="93" t="str">
        <f t="shared" si="1"/>
        <v/>
      </c>
      <c r="M643" s="98">
        <f t="shared" si="2"/>
        <v>0</v>
      </c>
      <c r="N643" s="77"/>
      <c r="O643" s="90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</row>
    <row r="644" ht="18.0" customHeight="1">
      <c r="A644" s="81"/>
      <c r="B644" s="91" t="str">
        <f>"10623"</f>
        <v>10623</v>
      </c>
      <c r="C644" s="91" t="str">
        <f>"693102106239"</f>
        <v>693102106239</v>
      </c>
      <c r="D644" s="92" t="s">
        <v>661</v>
      </c>
      <c r="E644" s="93" t="s">
        <v>658</v>
      </c>
      <c r="F644" s="94"/>
      <c r="G644" s="94"/>
      <c r="H644" s="95"/>
      <c r="I644" s="96">
        <v>1.584</v>
      </c>
      <c r="J644" s="93" t="s">
        <v>31</v>
      </c>
      <c r="K644" s="97"/>
      <c r="L644" s="93" t="str">
        <f t="shared" si="1"/>
        <v/>
      </c>
      <c r="M644" s="98">
        <f t="shared" si="2"/>
        <v>0</v>
      </c>
      <c r="N644" s="77"/>
      <c r="O644" s="90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</row>
    <row r="645" ht="18.0" customHeight="1">
      <c r="A645" s="81"/>
      <c r="B645" s="91" t="str">
        <f>"10631"</f>
        <v>10631</v>
      </c>
      <c r="C645" s="91" t="str">
        <f>"693102106314"</f>
        <v>693102106314</v>
      </c>
      <c r="D645" s="92" t="s">
        <v>662</v>
      </c>
      <c r="E645" s="93" t="s">
        <v>658</v>
      </c>
      <c r="F645" s="94"/>
      <c r="G645" s="94"/>
      <c r="H645" s="95"/>
      <c r="I645" s="96">
        <v>1.584</v>
      </c>
      <c r="J645" s="93" t="s">
        <v>31</v>
      </c>
      <c r="K645" s="97"/>
      <c r="L645" s="93" t="str">
        <f t="shared" si="1"/>
        <v/>
      </c>
      <c r="M645" s="98">
        <f t="shared" si="2"/>
        <v>0</v>
      </c>
      <c r="N645" s="77"/>
      <c r="O645" s="90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</row>
    <row r="646" ht="18.0" customHeight="1">
      <c r="A646" s="81"/>
      <c r="B646" s="91" t="str">
        <f>"10632"</f>
        <v>10632</v>
      </c>
      <c r="C646" s="91" t="str">
        <f>"693102106321"</f>
        <v>693102106321</v>
      </c>
      <c r="D646" s="92" t="s">
        <v>663</v>
      </c>
      <c r="E646" s="93" t="s">
        <v>658</v>
      </c>
      <c r="F646" s="94"/>
      <c r="G646" s="94"/>
      <c r="H646" s="95"/>
      <c r="I646" s="96">
        <v>1.584</v>
      </c>
      <c r="J646" s="93" t="s">
        <v>31</v>
      </c>
      <c r="K646" s="97"/>
      <c r="L646" s="93" t="str">
        <f t="shared" si="1"/>
        <v/>
      </c>
      <c r="M646" s="98">
        <f t="shared" si="2"/>
        <v>0</v>
      </c>
      <c r="N646" s="77"/>
      <c r="O646" s="90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</row>
    <row r="647" ht="18.0" customHeight="1">
      <c r="A647" s="81"/>
      <c r="B647" s="91" t="str">
        <f>"10624"</f>
        <v>10624</v>
      </c>
      <c r="C647" s="91" t="str">
        <f>"693102106246"</f>
        <v>693102106246</v>
      </c>
      <c r="D647" s="92" t="s">
        <v>664</v>
      </c>
      <c r="E647" s="93" t="s">
        <v>658</v>
      </c>
      <c r="F647" s="94"/>
      <c r="G647" s="94"/>
      <c r="H647" s="95"/>
      <c r="I647" s="96">
        <v>1.584</v>
      </c>
      <c r="J647" s="93" t="s">
        <v>31</v>
      </c>
      <c r="K647" s="97"/>
      <c r="L647" s="93" t="str">
        <f t="shared" si="1"/>
        <v/>
      </c>
      <c r="M647" s="98">
        <f t="shared" si="2"/>
        <v>0</v>
      </c>
      <c r="N647" s="77"/>
      <c r="O647" s="90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</row>
    <row r="648" ht="18.0" customHeight="1">
      <c r="A648" s="81"/>
      <c r="B648" s="91" t="str">
        <f>"10630"</f>
        <v>10630</v>
      </c>
      <c r="C648" s="91" t="str">
        <f>"693102106307"</f>
        <v>693102106307</v>
      </c>
      <c r="D648" s="92" t="s">
        <v>665</v>
      </c>
      <c r="E648" s="93" t="s">
        <v>658</v>
      </c>
      <c r="F648" s="94"/>
      <c r="G648" s="94"/>
      <c r="H648" s="95"/>
      <c r="I648" s="96">
        <v>1.584</v>
      </c>
      <c r="J648" s="93" t="s">
        <v>31</v>
      </c>
      <c r="K648" s="97"/>
      <c r="L648" s="93" t="str">
        <f t="shared" si="1"/>
        <v/>
      </c>
      <c r="M648" s="98">
        <f t="shared" si="2"/>
        <v>0</v>
      </c>
      <c r="N648" s="77"/>
      <c r="O648" s="90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</row>
    <row r="649" ht="18.0" customHeight="1">
      <c r="A649" s="81"/>
      <c r="B649" s="91" t="str">
        <f>"10625"</f>
        <v>10625</v>
      </c>
      <c r="C649" s="91" t="str">
        <f>"693102106253"</f>
        <v>693102106253</v>
      </c>
      <c r="D649" s="92" t="s">
        <v>666</v>
      </c>
      <c r="E649" s="93" t="s">
        <v>658</v>
      </c>
      <c r="F649" s="94"/>
      <c r="G649" s="94"/>
      <c r="H649" s="95"/>
      <c r="I649" s="96">
        <v>1.584</v>
      </c>
      <c r="J649" s="93" t="s">
        <v>31</v>
      </c>
      <c r="K649" s="97"/>
      <c r="L649" s="93" t="str">
        <f t="shared" si="1"/>
        <v/>
      </c>
      <c r="M649" s="98">
        <f t="shared" si="2"/>
        <v>0</v>
      </c>
      <c r="N649" s="77"/>
      <c r="O649" s="90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</row>
    <row r="650" ht="18.0" customHeight="1">
      <c r="A650" s="81"/>
      <c r="B650" s="91" t="str">
        <f>"10636"</f>
        <v>10636</v>
      </c>
      <c r="C650" s="91" t="str">
        <f>"693102106369"</f>
        <v>693102106369</v>
      </c>
      <c r="D650" s="92" t="s">
        <v>667</v>
      </c>
      <c r="E650" s="93" t="s">
        <v>658</v>
      </c>
      <c r="F650" s="94"/>
      <c r="G650" s="94"/>
      <c r="H650" s="95"/>
      <c r="I650" s="96">
        <v>1.584</v>
      </c>
      <c r="J650" s="93" t="s">
        <v>31</v>
      </c>
      <c r="K650" s="97"/>
      <c r="L650" s="93" t="str">
        <f t="shared" si="1"/>
        <v/>
      </c>
      <c r="M650" s="98">
        <f t="shared" si="2"/>
        <v>0</v>
      </c>
      <c r="N650" s="77"/>
      <c r="O650" s="90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</row>
    <row r="651" ht="18.0" customHeight="1">
      <c r="A651" s="81"/>
      <c r="B651" s="91" t="str">
        <f>"10626"</f>
        <v>10626</v>
      </c>
      <c r="C651" s="91" t="str">
        <f>"693102106260"</f>
        <v>693102106260</v>
      </c>
      <c r="D651" s="92" t="s">
        <v>668</v>
      </c>
      <c r="E651" s="93" t="s">
        <v>658</v>
      </c>
      <c r="F651" s="94"/>
      <c r="G651" s="94"/>
      <c r="H651" s="95"/>
      <c r="I651" s="96">
        <v>1.584</v>
      </c>
      <c r="J651" s="93" t="s">
        <v>31</v>
      </c>
      <c r="K651" s="97"/>
      <c r="L651" s="93" t="str">
        <f t="shared" si="1"/>
        <v/>
      </c>
      <c r="M651" s="98">
        <f t="shared" si="2"/>
        <v>0</v>
      </c>
      <c r="N651" s="77"/>
      <c r="O651" s="90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</row>
    <row r="652" ht="18.0" customHeight="1">
      <c r="A652" s="81"/>
      <c r="B652" s="91" t="str">
        <f>"10627"</f>
        <v>10627</v>
      </c>
      <c r="C652" s="91" t="str">
        <f>"693102106277"</f>
        <v>693102106277</v>
      </c>
      <c r="D652" s="92" t="s">
        <v>669</v>
      </c>
      <c r="E652" s="93" t="s">
        <v>658</v>
      </c>
      <c r="F652" s="94"/>
      <c r="G652" s="94"/>
      <c r="H652" s="95"/>
      <c r="I652" s="96">
        <v>1.584</v>
      </c>
      <c r="J652" s="93" t="s">
        <v>31</v>
      </c>
      <c r="K652" s="97"/>
      <c r="L652" s="93" t="str">
        <f t="shared" si="1"/>
        <v/>
      </c>
      <c r="M652" s="98">
        <f t="shared" si="2"/>
        <v>0</v>
      </c>
      <c r="N652" s="77"/>
      <c r="O652" s="90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</row>
    <row r="653" ht="18.0" customHeight="1">
      <c r="A653" s="81"/>
      <c r="B653" s="91" t="str">
        <f>"10634"</f>
        <v>10634</v>
      </c>
      <c r="C653" s="91" t="str">
        <f>"693102106345"</f>
        <v>693102106345</v>
      </c>
      <c r="D653" s="92" t="s">
        <v>670</v>
      </c>
      <c r="E653" s="93" t="s">
        <v>658</v>
      </c>
      <c r="F653" s="94"/>
      <c r="G653" s="94"/>
      <c r="H653" s="95"/>
      <c r="I653" s="96">
        <v>1.584</v>
      </c>
      <c r="J653" s="93" t="s">
        <v>31</v>
      </c>
      <c r="K653" s="97"/>
      <c r="L653" s="93" t="str">
        <f t="shared" si="1"/>
        <v/>
      </c>
      <c r="M653" s="98">
        <f t="shared" si="2"/>
        <v>0</v>
      </c>
      <c r="N653" s="77"/>
      <c r="O653" s="90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</row>
    <row r="654" ht="18.0" customHeight="1">
      <c r="A654" s="81"/>
      <c r="B654" s="91" t="str">
        <f>"53075"</f>
        <v>53075</v>
      </c>
      <c r="C654" s="91" t="str">
        <f>"693102530751"</f>
        <v>693102530751</v>
      </c>
      <c r="D654" s="92" t="s">
        <v>671</v>
      </c>
      <c r="E654" s="93" t="s">
        <v>672</v>
      </c>
      <c r="F654" s="94">
        <v>20.0</v>
      </c>
      <c r="G654" s="94">
        <v>10.0</v>
      </c>
      <c r="H654" s="95">
        <v>0.604</v>
      </c>
      <c r="I654" s="96">
        <v>9.504</v>
      </c>
      <c r="J654" s="93" t="s">
        <v>31</v>
      </c>
      <c r="K654" s="97"/>
      <c r="L654" s="93" t="str">
        <f t="shared" si="1"/>
        <v/>
      </c>
      <c r="M654" s="98">
        <f t="shared" si="2"/>
        <v>0</v>
      </c>
      <c r="N654" s="77"/>
      <c r="O654" s="90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</row>
    <row r="655" ht="18.0" customHeight="1">
      <c r="A655" s="81"/>
      <c r="B655" s="91" t="str">
        <f>"53120"</f>
        <v>53120</v>
      </c>
      <c r="C655" s="91" t="str">
        <f>"693102531208"</f>
        <v>693102531208</v>
      </c>
      <c r="D655" s="92" t="s">
        <v>673</v>
      </c>
      <c r="E655" s="93" t="s">
        <v>672</v>
      </c>
      <c r="F655" s="94">
        <v>20.0</v>
      </c>
      <c r="G655" s="94">
        <v>10.0</v>
      </c>
      <c r="H655" s="95">
        <v>0.604</v>
      </c>
      <c r="I655" s="96">
        <v>9.504</v>
      </c>
      <c r="J655" s="93" t="s">
        <v>31</v>
      </c>
      <c r="K655" s="97"/>
      <c r="L655" s="93" t="str">
        <f t="shared" si="1"/>
        <v/>
      </c>
      <c r="M655" s="98">
        <f t="shared" si="2"/>
        <v>0</v>
      </c>
      <c r="N655" s="77"/>
      <c r="O655" s="90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</row>
    <row r="656" ht="18.0" customHeight="1">
      <c r="A656" s="81"/>
      <c r="B656" s="91" t="str">
        <f>"10647"</f>
        <v>10647</v>
      </c>
      <c r="C656" s="91" t="str">
        <f>"693102106475"</f>
        <v>693102106475</v>
      </c>
      <c r="D656" s="92" t="s">
        <v>674</v>
      </c>
      <c r="E656" s="93" t="s">
        <v>672</v>
      </c>
      <c r="F656" s="94">
        <v>20.0</v>
      </c>
      <c r="G656" s="94">
        <v>10.0</v>
      </c>
      <c r="H656" s="95">
        <v>0.604</v>
      </c>
      <c r="I656" s="96">
        <v>9.504</v>
      </c>
      <c r="J656" s="93" t="s">
        <v>31</v>
      </c>
      <c r="K656" s="97"/>
      <c r="L656" s="93" t="str">
        <f t="shared" si="1"/>
        <v/>
      </c>
      <c r="M656" s="98">
        <f t="shared" si="2"/>
        <v>0</v>
      </c>
      <c r="N656" s="77"/>
      <c r="O656" s="90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</row>
    <row r="657" ht="18.0" customHeight="1">
      <c r="A657" s="81"/>
      <c r="B657" s="91" t="str">
        <f>"53017"</f>
        <v>53017</v>
      </c>
      <c r="C657" s="91" t="str">
        <f>"693102530171"</f>
        <v>693102530171</v>
      </c>
      <c r="D657" s="92" t="s">
        <v>675</v>
      </c>
      <c r="E657" s="93" t="s">
        <v>676</v>
      </c>
      <c r="F657" s="94">
        <v>50.0</v>
      </c>
      <c r="G657" s="94">
        <v>25.0</v>
      </c>
      <c r="H657" s="95">
        <v>0.604</v>
      </c>
      <c r="I657" s="96">
        <v>23.76</v>
      </c>
      <c r="J657" s="93" t="s">
        <v>31</v>
      </c>
      <c r="K657" s="97"/>
      <c r="L657" s="93" t="str">
        <f t="shared" si="1"/>
        <v/>
      </c>
      <c r="M657" s="98">
        <f t="shared" si="2"/>
        <v>0</v>
      </c>
      <c r="N657" s="77"/>
      <c r="O657" s="90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</row>
    <row r="658" ht="18.0" customHeight="1">
      <c r="A658" s="81"/>
      <c r="B658" s="91" t="str">
        <f>"65706"</f>
        <v>65706</v>
      </c>
      <c r="C658" s="91" t="str">
        <f>"693102657069"</f>
        <v>693102657069</v>
      </c>
      <c r="D658" s="92" t="s">
        <v>677</v>
      </c>
      <c r="E658" s="93" t="s">
        <v>676</v>
      </c>
      <c r="F658" s="94">
        <v>50.0</v>
      </c>
      <c r="G658" s="94">
        <v>25.0</v>
      </c>
      <c r="H658" s="95">
        <v>0.604</v>
      </c>
      <c r="I658" s="96">
        <v>23.76</v>
      </c>
      <c r="J658" s="93" t="s">
        <v>31</v>
      </c>
      <c r="K658" s="97"/>
      <c r="L658" s="93" t="str">
        <f t="shared" si="1"/>
        <v/>
      </c>
      <c r="M658" s="98">
        <f t="shared" si="2"/>
        <v>0</v>
      </c>
      <c r="N658" s="77"/>
      <c r="O658" s="90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</row>
    <row r="659" ht="18.0" customHeight="1">
      <c r="A659" s="81"/>
      <c r="B659" s="91" t="str">
        <f>"04182016"</f>
        <v>04182016</v>
      </c>
      <c r="C659" s="91" t="str">
        <f>"693102820166"</f>
        <v>693102820166</v>
      </c>
      <c r="D659" s="92" t="s">
        <v>678</v>
      </c>
      <c r="E659" s="93" t="s">
        <v>676</v>
      </c>
      <c r="F659" s="94">
        <v>50.0</v>
      </c>
      <c r="G659" s="94">
        <v>25.0</v>
      </c>
      <c r="H659" s="95">
        <v>0.604</v>
      </c>
      <c r="I659" s="96">
        <v>23.76</v>
      </c>
      <c r="J659" s="93" t="s">
        <v>31</v>
      </c>
      <c r="K659" s="97"/>
      <c r="L659" s="93" t="str">
        <f t="shared" si="1"/>
        <v/>
      </c>
      <c r="M659" s="98">
        <f t="shared" si="2"/>
        <v>0</v>
      </c>
      <c r="N659" s="77"/>
      <c r="O659" s="90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</row>
    <row r="660" ht="18.0" customHeight="1">
      <c r="A660" s="81"/>
      <c r="B660" s="91" t="str">
        <f>"65731"</f>
        <v>65731</v>
      </c>
      <c r="C660" s="91" t="str">
        <f>"693102657311"</f>
        <v>693102657311</v>
      </c>
      <c r="D660" s="92" t="s">
        <v>679</v>
      </c>
      <c r="E660" s="93" t="s">
        <v>676</v>
      </c>
      <c r="F660" s="94">
        <v>50.0</v>
      </c>
      <c r="G660" s="94">
        <v>25.0</v>
      </c>
      <c r="H660" s="95">
        <v>0.604</v>
      </c>
      <c r="I660" s="96">
        <v>23.76</v>
      </c>
      <c r="J660" s="93" t="s">
        <v>31</v>
      </c>
      <c r="K660" s="97"/>
      <c r="L660" s="93" t="str">
        <f t="shared" si="1"/>
        <v/>
      </c>
      <c r="M660" s="98">
        <f t="shared" si="2"/>
        <v>0</v>
      </c>
      <c r="N660" s="77"/>
      <c r="O660" s="90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</row>
    <row r="661" ht="18.0" customHeight="1">
      <c r="A661" s="81"/>
      <c r="B661" s="91" t="str">
        <f>"65732"</f>
        <v>65732</v>
      </c>
      <c r="C661" s="91" t="str">
        <f>"693102657328"</f>
        <v>693102657328</v>
      </c>
      <c r="D661" s="92" t="s">
        <v>680</v>
      </c>
      <c r="E661" s="93" t="s">
        <v>676</v>
      </c>
      <c r="F661" s="94">
        <v>50.0</v>
      </c>
      <c r="G661" s="94">
        <v>25.0</v>
      </c>
      <c r="H661" s="95">
        <v>0.604</v>
      </c>
      <c r="I661" s="96">
        <v>23.76</v>
      </c>
      <c r="J661" s="93" t="s">
        <v>31</v>
      </c>
      <c r="K661" s="97"/>
      <c r="L661" s="93" t="str">
        <f t="shared" si="1"/>
        <v/>
      </c>
      <c r="M661" s="98">
        <f t="shared" si="2"/>
        <v>0</v>
      </c>
      <c r="N661" s="77"/>
      <c r="O661" s="90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</row>
    <row r="662" ht="18.0" customHeight="1">
      <c r="A662" s="81"/>
      <c r="B662" s="91" t="str">
        <f>"201704"</f>
        <v>201704</v>
      </c>
      <c r="C662" s="91" t="str">
        <f>"693102017047"</f>
        <v>693102017047</v>
      </c>
      <c r="D662" s="92" t="s">
        <v>681</v>
      </c>
      <c r="E662" s="93" t="s">
        <v>676</v>
      </c>
      <c r="F662" s="94">
        <v>50.0</v>
      </c>
      <c r="G662" s="94">
        <v>25.0</v>
      </c>
      <c r="H662" s="95">
        <v>0.604</v>
      </c>
      <c r="I662" s="96">
        <v>23.76</v>
      </c>
      <c r="J662" s="93" t="s">
        <v>31</v>
      </c>
      <c r="K662" s="97"/>
      <c r="L662" s="93" t="str">
        <f t="shared" si="1"/>
        <v/>
      </c>
      <c r="M662" s="98">
        <f t="shared" si="2"/>
        <v>0</v>
      </c>
      <c r="N662" s="77"/>
      <c r="O662" s="90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</row>
    <row r="663" ht="18.0" customHeight="1">
      <c r="A663" s="81"/>
      <c r="B663" s="91" t="str">
        <f>"65711"</f>
        <v>65711</v>
      </c>
      <c r="C663" s="91" t="str">
        <f>"693102657113"</f>
        <v>693102657113</v>
      </c>
      <c r="D663" s="92" t="s">
        <v>682</v>
      </c>
      <c r="E663" s="93" t="s">
        <v>676</v>
      </c>
      <c r="F663" s="94">
        <v>50.0</v>
      </c>
      <c r="G663" s="94">
        <v>25.0</v>
      </c>
      <c r="H663" s="95">
        <v>0.604</v>
      </c>
      <c r="I663" s="96">
        <v>23.76</v>
      </c>
      <c r="J663" s="93" t="s">
        <v>31</v>
      </c>
      <c r="K663" s="97"/>
      <c r="L663" s="93" t="str">
        <f t="shared" si="1"/>
        <v/>
      </c>
      <c r="M663" s="98">
        <f t="shared" si="2"/>
        <v>0</v>
      </c>
      <c r="N663" s="77"/>
      <c r="O663" s="90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</row>
    <row r="664" ht="18.0" customHeight="1">
      <c r="A664" s="81"/>
      <c r="B664" s="91" t="str">
        <f>"65719"</f>
        <v>65719</v>
      </c>
      <c r="C664" s="91" t="str">
        <f>"693102657199"</f>
        <v>693102657199</v>
      </c>
      <c r="D664" s="92" t="s">
        <v>683</v>
      </c>
      <c r="E664" s="93" t="s">
        <v>676</v>
      </c>
      <c r="F664" s="94">
        <v>50.0</v>
      </c>
      <c r="G664" s="94">
        <v>25.0</v>
      </c>
      <c r="H664" s="95">
        <v>0.604</v>
      </c>
      <c r="I664" s="96">
        <v>23.76</v>
      </c>
      <c r="J664" s="93" t="s">
        <v>31</v>
      </c>
      <c r="K664" s="97"/>
      <c r="L664" s="93" t="str">
        <f t="shared" si="1"/>
        <v/>
      </c>
      <c r="M664" s="98">
        <f t="shared" si="2"/>
        <v>0</v>
      </c>
      <c r="N664" s="77"/>
      <c r="O664" s="90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</row>
    <row r="665" ht="18.0" customHeight="1">
      <c r="A665" s="81"/>
      <c r="B665" s="91" t="str">
        <f>"80030"</f>
        <v>80030</v>
      </c>
      <c r="C665" s="91" t="str">
        <f>"693102800304"</f>
        <v>693102800304</v>
      </c>
      <c r="D665" s="92" t="s">
        <v>684</v>
      </c>
      <c r="E665" s="93" t="s">
        <v>95</v>
      </c>
      <c r="F665" s="94">
        <v>35.0</v>
      </c>
      <c r="G665" s="94">
        <v>17.5</v>
      </c>
      <c r="H665" s="95">
        <v>0.604</v>
      </c>
      <c r="I665" s="96">
        <v>16.631999999999998</v>
      </c>
      <c r="J665" s="93" t="s">
        <v>31</v>
      </c>
      <c r="K665" s="97"/>
      <c r="L665" s="93" t="str">
        <f t="shared" si="1"/>
        <v/>
      </c>
      <c r="M665" s="98">
        <f t="shared" si="2"/>
        <v>0</v>
      </c>
      <c r="N665" s="77"/>
      <c r="O665" s="90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</row>
    <row r="666" ht="18.0" customHeight="1">
      <c r="A666" s="81"/>
      <c r="B666" s="91" t="str">
        <f>"35029"</f>
        <v>35029</v>
      </c>
      <c r="C666" s="91" t="str">
        <f>"693102350298"</f>
        <v>693102350298</v>
      </c>
      <c r="D666" s="92" t="s">
        <v>685</v>
      </c>
      <c r="E666" s="93" t="s">
        <v>95</v>
      </c>
      <c r="F666" s="94">
        <v>29.0</v>
      </c>
      <c r="G666" s="94">
        <v>14.5</v>
      </c>
      <c r="H666" s="95">
        <v>0.604</v>
      </c>
      <c r="I666" s="96">
        <v>13.780800000000005</v>
      </c>
      <c r="J666" s="93" t="s">
        <v>31</v>
      </c>
      <c r="K666" s="97"/>
      <c r="L666" s="93" t="str">
        <f t="shared" si="1"/>
        <v/>
      </c>
      <c r="M666" s="98">
        <f t="shared" si="2"/>
        <v>0</v>
      </c>
      <c r="N666" s="77"/>
      <c r="O666" s="90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</row>
    <row r="667" ht="18.0" customHeight="1">
      <c r="A667" s="81"/>
      <c r="B667" s="91" t="str">
        <f>"35079"</f>
        <v>35079</v>
      </c>
      <c r="C667" s="91" t="str">
        <f>"693102350793"</f>
        <v>693102350793</v>
      </c>
      <c r="D667" s="92" t="s">
        <v>686</v>
      </c>
      <c r="E667" s="93" t="s">
        <v>95</v>
      </c>
      <c r="F667" s="94">
        <v>27.0</v>
      </c>
      <c r="G667" s="94">
        <v>13.5</v>
      </c>
      <c r="H667" s="95">
        <v>0.604</v>
      </c>
      <c r="I667" s="96">
        <v>12.8304</v>
      </c>
      <c r="J667" s="93" t="s">
        <v>31</v>
      </c>
      <c r="K667" s="97"/>
      <c r="L667" s="93" t="str">
        <f t="shared" si="1"/>
        <v/>
      </c>
      <c r="M667" s="98">
        <f t="shared" si="2"/>
        <v>0</v>
      </c>
      <c r="N667" s="77"/>
      <c r="O667" s="90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</row>
    <row r="668" ht="18.0" customHeight="1">
      <c r="A668" s="81"/>
      <c r="B668" s="91" t="str">
        <f>"35022"</f>
        <v>35022</v>
      </c>
      <c r="C668" s="91" t="str">
        <f>"693102350229"</f>
        <v>693102350229</v>
      </c>
      <c r="D668" s="92" t="s">
        <v>687</v>
      </c>
      <c r="E668" s="93" t="s">
        <v>95</v>
      </c>
      <c r="F668" s="94">
        <v>27.0</v>
      </c>
      <c r="G668" s="94">
        <v>13.5</v>
      </c>
      <c r="H668" s="95">
        <v>0.604</v>
      </c>
      <c r="I668" s="96">
        <v>12.830400000000003</v>
      </c>
      <c r="J668" s="93" t="s">
        <v>31</v>
      </c>
      <c r="K668" s="97"/>
      <c r="L668" s="93" t="str">
        <f t="shared" si="1"/>
        <v/>
      </c>
      <c r="M668" s="98">
        <f t="shared" si="2"/>
        <v>0</v>
      </c>
      <c r="N668" s="77"/>
      <c r="O668" s="90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</row>
    <row r="669" ht="18.0" customHeight="1">
      <c r="A669" s="81"/>
      <c r="B669" s="91" t="str">
        <f>"35091"</f>
        <v>35091</v>
      </c>
      <c r="C669" s="91" t="str">
        <f>"693102350915"</f>
        <v>693102350915</v>
      </c>
      <c r="D669" s="92" t="s">
        <v>688</v>
      </c>
      <c r="E669" s="93" t="s">
        <v>95</v>
      </c>
      <c r="F669" s="94">
        <v>27.0</v>
      </c>
      <c r="G669" s="94">
        <v>13.5</v>
      </c>
      <c r="H669" s="95">
        <v>0.604</v>
      </c>
      <c r="I669" s="96">
        <v>12.8304</v>
      </c>
      <c r="J669" s="93" t="s">
        <v>31</v>
      </c>
      <c r="K669" s="97"/>
      <c r="L669" s="93" t="str">
        <f t="shared" si="1"/>
        <v/>
      </c>
      <c r="M669" s="98">
        <f t="shared" si="2"/>
        <v>0</v>
      </c>
      <c r="N669" s="77"/>
      <c r="O669" s="90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</row>
    <row r="670" ht="18.0" customHeight="1">
      <c r="A670" s="81"/>
      <c r="B670" s="91" t="str">
        <f>"35076"</f>
        <v>35076</v>
      </c>
      <c r="C670" s="91" t="str">
        <f>"693102350762"</f>
        <v>693102350762</v>
      </c>
      <c r="D670" s="92" t="s">
        <v>689</v>
      </c>
      <c r="E670" s="93" t="s">
        <v>95</v>
      </c>
      <c r="F670" s="94">
        <v>27.0</v>
      </c>
      <c r="G670" s="94">
        <v>13.5</v>
      </c>
      <c r="H670" s="95">
        <v>0.604</v>
      </c>
      <c r="I670" s="96">
        <v>12.830400000000003</v>
      </c>
      <c r="J670" s="93" t="s">
        <v>31</v>
      </c>
      <c r="K670" s="97"/>
      <c r="L670" s="93" t="str">
        <f t="shared" si="1"/>
        <v/>
      </c>
      <c r="M670" s="98">
        <f t="shared" si="2"/>
        <v>0</v>
      </c>
      <c r="N670" s="77"/>
      <c r="O670" s="90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</row>
    <row r="671" ht="18.0" customHeight="1">
      <c r="A671" s="81"/>
      <c r="B671" s="91" t="str">
        <f>"47020"</f>
        <v>47020</v>
      </c>
      <c r="C671" s="91" t="str">
        <f>"693102470200"</f>
        <v>693102470200</v>
      </c>
      <c r="D671" s="92" t="s">
        <v>690</v>
      </c>
      <c r="E671" s="93" t="s">
        <v>95</v>
      </c>
      <c r="F671" s="94">
        <v>50.0</v>
      </c>
      <c r="G671" s="94">
        <v>25.0</v>
      </c>
      <c r="H671" s="95">
        <v>0.604</v>
      </c>
      <c r="I671" s="96">
        <v>23.76</v>
      </c>
      <c r="J671" s="93" t="s">
        <v>31</v>
      </c>
      <c r="K671" s="97"/>
      <c r="L671" s="93" t="str">
        <f t="shared" si="1"/>
        <v/>
      </c>
      <c r="M671" s="98">
        <f t="shared" si="2"/>
        <v>0</v>
      </c>
      <c r="N671" s="77"/>
      <c r="O671" s="90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</row>
    <row r="672" ht="18.0" customHeight="1">
      <c r="A672" s="81"/>
      <c r="B672" s="91" t="str">
        <f>"35059"</f>
        <v>35059</v>
      </c>
      <c r="C672" s="91" t="str">
        <f>"693102350595"</f>
        <v>693102350595</v>
      </c>
      <c r="D672" s="92" t="s">
        <v>691</v>
      </c>
      <c r="E672" s="93" t="s">
        <v>95</v>
      </c>
      <c r="F672" s="94">
        <v>27.0</v>
      </c>
      <c r="G672" s="94">
        <v>13.5</v>
      </c>
      <c r="H672" s="95">
        <v>0.604</v>
      </c>
      <c r="I672" s="96">
        <v>12.830400000000003</v>
      </c>
      <c r="J672" s="93" t="s">
        <v>31</v>
      </c>
      <c r="K672" s="97"/>
      <c r="L672" s="93" t="str">
        <f t="shared" si="1"/>
        <v/>
      </c>
      <c r="M672" s="98">
        <f t="shared" si="2"/>
        <v>0</v>
      </c>
      <c r="N672" s="77"/>
      <c r="O672" s="90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</row>
    <row r="673" ht="18.0" customHeight="1">
      <c r="A673" s="81"/>
      <c r="B673" s="91" t="str">
        <f>"44100"</f>
        <v>44100</v>
      </c>
      <c r="C673" s="91" t="str">
        <f>"693102441002"</f>
        <v>693102441002</v>
      </c>
      <c r="D673" s="92" t="s">
        <v>692</v>
      </c>
      <c r="E673" s="93" t="s">
        <v>500</v>
      </c>
      <c r="F673" s="94">
        <v>13.0</v>
      </c>
      <c r="G673" s="94">
        <v>6.5</v>
      </c>
      <c r="H673" s="95">
        <v>0.604</v>
      </c>
      <c r="I673" s="96">
        <v>6.177599999999999</v>
      </c>
      <c r="J673" s="93" t="s">
        <v>31</v>
      </c>
      <c r="K673" s="97"/>
      <c r="L673" s="93" t="str">
        <f t="shared" si="1"/>
        <v/>
      </c>
      <c r="M673" s="98">
        <f t="shared" si="2"/>
        <v>0</v>
      </c>
      <c r="N673" s="77"/>
      <c r="O673" s="90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</row>
    <row r="674" ht="18.0" customHeight="1">
      <c r="A674" s="81"/>
      <c r="B674" s="91" t="str">
        <f>"44101"</f>
        <v>44101</v>
      </c>
      <c r="C674" s="91" t="str">
        <f>"693102441019"</f>
        <v>693102441019</v>
      </c>
      <c r="D674" s="92" t="s">
        <v>693</v>
      </c>
      <c r="E674" s="93" t="s">
        <v>500</v>
      </c>
      <c r="F674" s="94">
        <v>13.0</v>
      </c>
      <c r="G674" s="94">
        <v>6.5</v>
      </c>
      <c r="H674" s="95">
        <v>0.604</v>
      </c>
      <c r="I674" s="96">
        <v>6.177599999999999</v>
      </c>
      <c r="J674" s="93" t="s">
        <v>31</v>
      </c>
      <c r="K674" s="97"/>
      <c r="L674" s="93" t="str">
        <f t="shared" si="1"/>
        <v/>
      </c>
      <c r="M674" s="98">
        <f t="shared" si="2"/>
        <v>0</v>
      </c>
      <c r="N674" s="77"/>
      <c r="O674" s="90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</row>
    <row r="675" ht="18.0" customHeight="1">
      <c r="A675" s="81"/>
      <c r="B675" s="91" t="str">
        <f>"44102"</f>
        <v>44102</v>
      </c>
      <c r="C675" s="91" t="str">
        <f>"693102441026"</f>
        <v>693102441026</v>
      </c>
      <c r="D675" s="92" t="s">
        <v>694</v>
      </c>
      <c r="E675" s="93" t="s">
        <v>500</v>
      </c>
      <c r="F675" s="94">
        <v>13.0</v>
      </c>
      <c r="G675" s="94">
        <v>6.5</v>
      </c>
      <c r="H675" s="95">
        <v>0.604</v>
      </c>
      <c r="I675" s="96">
        <v>6.177599999999999</v>
      </c>
      <c r="J675" s="93" t="s">
        <v>31</v>
      </c>
      <c r="K675" s="97"/>
      <c r="L675" s="93" t="str">
        <f t="shared" si="1"/>
        <v/>
      </c>
      <c r="M675" s="98">
        <f t="shared" si="2"/>
        <v>0</v>
      </c>
      <c r="N675" s="77"/>
      <c r="O675" s="90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</row>
    <row r="676" ht="18.0" customHeight="1">
      <c r="A676" s="81"/>
      <c r="B676" s="91" t="str">
        <f>"44103"</f>
        <v>44103</v>
      </c>
      <c r="C676" s="91" t="str">
        <f>"693102441033"</f>
        <v>693102441033</v>
      </c>
      <c r="D676" s="92" t="s">
        <v>695</v>
      </c>
      <c r="E676" s="93" t="s">
        <v>500</v>
      </c>
      <c r="F676" s="94">
        <v>13.0</v>
      </c>
      <c r="G676" s="94">
        <v>6.5</v>
      </c>
      <c r="H676" s="95">
        <v>0.604</v>
      </c>
      <c r="I676" s="96">
        <v>6.177599999999999</v>
      </c>
      <c r="J676" s="93" t="s">
        <v>31</v>
      </c>
      <c r="K676" s="97"/>
      <c r="L676" s="93" t="str">
        <f t="shared" si="1"/>
        <v/>
      </c>
      <c r="M676" s="98">
        <f t="shared" si="2"/>
        <v>0</v>
      </c>
      <c r="N676" s="77"/>
      <c r="O676" s="90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</row>
    <row r="677" ht="18.0" customHeight="1">
      <c r="A677" s="81"/>
      <c r="B677" s="91" t="str">
        <f>"44104"</f>
        <v>44104</v>
      </c>
      <c r="C677" s="91" t="str">
        <f>"693102441040"</f>
        <v>693102441040</v>
      </c>
      <c r="D677" s="92" t="s">
        <v>696</v>
      </c>
      <c r="E677" s="93" t="s">
        <v>500</v>
      </c>
      <c r="F677" s="94">
        <v>13.0</v>
      </c>
      <c r="G677" s="94">
        <v>6.5</v>
      </c>
      <c r="H677" s="95">
        <v>0.604</v>
      </c>
      <c r="I677" s="96">
        <v>6.177599999999999</v>
      </c>
      <c r="J677" s="93" t="s">
        <v>31</v>
      </c>
      <c r="K677" s="97"/>
      <c r="L677" s="93" t="str">
        <f t="shared" si="1"/>
        <v/>
      </c>
      <c r="M677" s="98">
        <f t="shared" si="2"/>
        <v>0</v>
      </c>
      <c r="N677" s="77"/>
      <c r="O677" s="90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</row>
    <row r="678" ht="18.0" customHeight="1">
      <c r="A678" s="81"/>
      <c r="B678" s="91" t="str">
        <f>"44105"</f>
        <v>44105</v>
      </c>
      <c r="C678" s="91" t="str">
        <f>"693102441057"</f>
        <v>693102441057</v>
      </c>
      <c r="D678" s="92" t="s">
        <v>697</v>
      </c>
      <c r="E678" s="93" t="s">
        <v>500</v>
      </c>
      <c r="F678" s="94">
        <v>13.0</v>
      </c>
      <c r="G678" s="94">
        <v>6.5</v>
      </c>
      <c r="H678" s="95">
        <v>0.604</v>
      </c>
      <c r="I678" s="96">
        <v>6.177599999999999</v>
      </c>
      <c r="J678" s="93" t="s">
        <v>31</v>
      </c>
      <c r="K678" s="97"/>
      <c r="L678" s="93" t="str">
        <f t="shared" si="1"/>
        <v/>
      </c>
      <c r="M678" s="98">
        <f t="shared" si="2"/>
        <v>0</v>
      </c>
      <c r="N678" s="77"/>
      <c r="O678" s="90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</row>
    <row r="679" ht="18.0" customHeight="1">
      <c r="A679" s="81"/>
      <c r="B679" s="91" t="str">
        <f>"44106"</f>
        <v>44106</v>
      </c>
      <c r="C679" s="91" t="str">
        <f>"693102441064"</f>
        <v>693102441064</v>
      </c>
      <c r="D679" s="92" t="s">
        <v>698</v>
      </c>
      <c r="E679" s="93" t="s">
        <v>500</v>
      </c>
      <c r="F679" s="94">
        <v>13.0</v>
      </c>
      <c r="G679" s="94">
        <v>6.5</v>
      </c>
      <c r="H679" s="95">
        <v>0.604</v>
      </c>
      <c r="I679" s="96">
        <v>6.177599999999999</v>
      </c>
      <c r="J679" s="93" t="s">
        <v>31</v>
      </c>
      <c r="K679" s="97"/>
      <c r="L679" s="93" t="str">
        <f t="shared" si="1"/>
        <v/>
      </c>
      <c r="M679" s="98">
        <f t="shared" si="2"/>
        <v>0</v>
      </c>
      <c r="N679" s="77"/>
      <c r="O679" s="90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</row>
    <row r="680" ht="18.0" customHeight="1">
      <c r="A680" s="81"/>
      <c r="B680" s="91" t="str">
        <f>"44107"</f>
        <v>44107</v>
      </c>
      <c r="C680" s="91" t="str">
        <f>"693102441071"</f>
        <v>693102441071</v>
      </c>
      <c r="D680" s="92" t="s">
        <v>699</v>
      </c>
      <c r="E680" s="93" t="s">
        <v>500</v>
      </c>
      <c r="F680" s="94">
        <v>13.0</v>
      </c>
      <c r="G680" s="94">
        <v>6.5</v>
      </c>
      <c r="H680" s="95">
        <v>0.604</v>
      </c>
      <c r="I680" s="96">
        <v>6.177599999999999</v>
      </c>
      <c r="J680" s="93" t="s">
        <v>31</v>
      </c>
      <c r="K680" s="97"/>
      <c r="L680" s="93" t="str">
        <f t="shared" si="1"/>
        <v/>
      </c>
      <c r="M680" s="98">
        <f t="shared" si="2"/>
        <v>0</v>
      </c>
      <c r="N680" s="77"/>
      <c r="O680" s="90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</row>
    <row r="681" ht="18.0" customHeight="1">
      <c r="A681" s="81"/>
      <c r="B681" s="91" t="str">
        <f>"44108"</f>
        <v>44108</v>
      </c>
      <c r="C681" s="91" t="str">
        <f>"693102441088"</f>
        <v>693102441088</v>
      </c>
      <c r="D681" s="92" t="s">
        <v>700</v>
      </c>
      <c r="E681" s="93" t="s">
        <v>500</v>
      </c>
      <c r="F681" s="94">
        <v>13.0</v>
      </c>
      <c r="G681" s="94">
        <v>6.5</v>
      </c>
      <c r="H681" s="95">
        <v>0.604</v>
      </c>
      <c r="I681" s="96">
        <v>6.177599999999999</v>
      </c>
      <c r="J681" s="93" t="s">
        <v>31</v>
      </c>
      <c r="K681" s="97"/>
      <c r="L681" s="93" t="str">
        <f t="shared" si="1"/>
        <v/>
      </c>
      <c r="M681" s="98">
        <f t="shared" si="2"/>
        <v>0</v>
      </c>
      <c r="N681" s="77"/>
      <c r="O681" s="90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</row>
    <row r="682" ht="18.0" customHeight="1">
      <c r="A682" s="81"/>
      <c r="B682" s="91" t="str">
        <f>"44109"</f>
        <v>44109</v>
      </c>
      <c r="C682" s="91" t="str">
        <f>"693102441095"</f>
        <v>693102441095</v>
      </c>
      <c r="D682" s="92" t="s">
        <v>701</v>
      </c>
      <c r="E682" s="93" t="s">
        <v>500</v>
      </c>
      <c r="F682" s="94">
        <v>13.0</v>
      </c>
      <c r="G682" s="94">
        <v>6.5</v>
      </c>
      <c r="H682" s="95">
        <v>0.604</v>
      </c>
      <c r="I682" s="96">
        <v>6.177599999999999</v>
      </c>
      <c r="J682" s="93" t="s">
        <v>31</v>
      </c>
      <c r="K682" s="97"/>
      <c r="L682" s="93" t="str">
        <f t="shared" si="1"/>
        <v/>
      </c>
      <c r="M682" s="98">
        <f t="shared" si="2"/>
        <v>0</v>
      </c>
      <c r="N682" s="77"/>
      <c r="O682" s="90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</row>
    <row r="683" ht="18.0" customHeight="1">
      <c r="A683" s="81"/>
      <c r="B683" s="91" t="str">
        <f>"44110"</f>
        <v>44110</v>
      </c>
      <c r="C683" s="91" t="str">
        <f>"693102441101"</f>
        <v>693102441101</v>
      </c>
      <c r="D683" s="92" t="s">
        <v>702</v>
      </c>
      <c r="E683" s="93" t="s">
        <v>500</v>
      </c>
      <c r="F683" s="94">
        <v>13.0</v>
      </c>
      <c r="G683" s="94">
        <v>6.5</v>
      </c>
      <c r="H683" s="95">
        <v>0.604</v>
      </c>
      <c r="I683" s="96">
        <v>6.177599999999999</v>
      </c>
      <c r="J683" s="93" t="s">
        <v>31</v>
      </c>
      <c r="K683" s="97"/>
      <c r="L683" s="93" t="str">
        <f t="shared" si="1"/>
        <v/>
      </c>
      <c r="M683" s="98">
        <f t="shared" si="2"/>
        <v>0</v>
      </c>
      <c r="N683" s="77"/>
      <c r="O683" s="90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</row>
    <row r="684" ht="18.0" customHeight="1">
      <c r="A684" s="81"/>
      <c r="B684" s="91" t="str">
        <f>"44111"</f>
        <v>44111</v>
      </c>
      <c r="C684" s="91" t="str">
        <f>"693102441118"</f>
        <v>693102441118</v>
      </c>
      <c r="D684" s="92" t="s">
        <v>703</v>
      </c>
      <c r="E684" s="93" t="s">
        <v>500</v>
      </c>
      <c r="F684" s="94">
        <v>13.0</v>
      </c>
      <c r="G684" s="94">
        <v>6.5</v>
      </c>
      <c r="H684" s="95">
        <v>0.604</v>
      </c>
      <c r="I684" s="96">
        <v>6.177599999999999</v>
      </c>
      <c r="J684" s="93" t="s">
        <v>31</v>
      </c>
      <c r="K684" s="97"/>
      <c r="L684" s="93" t="str">
        <f t="shared" si="1"/>
        <v/>
      </c>
      <c r="M684" s="98">
        <f t="shared" si="2"/>
        <v>0</v>
      </c>
      <c r="N684" s="77"/>
      <c r="O684" s="90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</row>
    <row r="685" ht="18.0" customHeight="1">
      <c r="A685" s="81"/>
      <c r="B685" s="91" t="str">
        <f>"44112"</f>
        <v>44112</v>
      </c>
      <c r="C685" s="91" t="str">
        <f>"693102441125"</f>
        <v>693102441125</v>
      </c>
      <c r="D685" s="92" t="s">
        <v>704</v>
      </c>
      <c r="E685" s="93" t="s">
        <v>500</v>
      </c>
      <c r="F685" s="94">
        <v>13.0</v>
      </c>
      <c r="G685" s="94">
        <v>6.5</v>
      </c>
      <c r="H685" s="95">
        <v>0.604</v>
      </c>
      <c r="I685" s="96">
        <v>6.177599999999999</v>
      </c>
      <c r="J685" s="93" t="s">
        <v>31</v>
      </c>
      <c r="K685" s="97"/>
      <c r="L685" s="93" t="str">
        <f t="shared" si="1"/>
        <v/>
      </c>
      <c r="M685" s="98">
        <f t="shared" si="2"/>
        <v>0</v>
      </c>
      <c r="N685" s="77"/>
      <c r="O685" s="90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</row>
    <row r="686" ht="18.0" customHeight="1">
      <c r="A686" s="81"/>
      <c r="B686" s="91" t="str">
        <f>"44113"</f>
        <v>44113</v>
      </c>
      <c r="C686" s="91" t="str">
        <f>"693102441132"</f>
        <v>693102441132</v>
      </c>
      <c r="D686" s="92" t="s">
        <v>705</v>
      </c>
      <c r="E686" s="93" t="s">
        <v>500</v>
      </c>
      <c r="F686" s="94">
        <v>13.0</v>
      </c>
      <c r="G686" s="94">
        <v>6.5</v>
      </c>
      <c r="H686" s="95">
        <v>0.604</v>
      </c>
      <c r="I686" s="96">
        <v>6.177599999999999</v>
      </c>
      <c r="J686" s="93" t="s">
        <v>31</v>
      </c>
      <c r="K686" s="97"/>
      <c r="L686" s="93" t="str">
        <f t="shared" si="1"/>
        <v/>
      </c>
      <c r="M686" s="98">
        <f t="shared" si="2"/>
        <v>0</v>
      </c>
      <c r="N686" s="77"/>
      <c r="O686" s="90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</row>
    <row r="687" ht="18.0" customHeight="1">
      <c r="A687" s="81"/>
      <c r="B687" s="91" t="str">
        <f>"44114"</f>
        <v>44114</v>
      </c>
      <c r="C687" s="91" t="str">
        <f>"693102441149"</f>
        <v>693102441149</v>
      </c>
      <c r="D687" s="92" t="s">
        <v>706</v>
      </c>
      <c r="E687" s="93" t="s">
        <v>500</v>
      </c>
      <c r="F687" s="94">
        <v>13.0</v>
      </c>
      <c r="G687" s="94">
        <v>6.5</v>
      </c>
      <c r="H687" s="95">
        <v>0.604</v>
      </c>
      <c r="I687" s="96">
        <v>6.177599999999999</v>
      </c>
      <c r="J687" s="93" t="s">
        <v>31</v>
      </c>
      <c r="K687" s="97"/>
      <c r="L687" s="93" t="str">
        <f t="shared" si="1"/>
        <v/>
      </c>
      <c r="M687" s="98">
        <f t="shared" si="2"/>
        <v>0</v>
      </c>
      <c r="N687" s="77"/>
      <c r="O687" s="90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</row>
    <row r="688" ht="18.0" customHeight="1">
      <c r="A688" s="81"/>
      <c r="B688" s="91" t="str">
        <f>"44115"</f>
        <v>44115</v>
      </c>
      <c r="C688" s="91" t="str">
        <f>"693102441156"</f>
        <v>693102441156</v>
      </c>
      <c r="D688" s="92" t="s">
        <v>707</v>
      </c>
      <c r="E688" s="93" t="s">
        <v>500</v>
      </c>
      <c r="F688" s="94">
        <v>13.0</v>
      </c>
      <c r="G688" s="94">
        <v>6.5</v>
      </c>
      <c r="H688" s="95">
        <v>0.604</v>
      </c>
      <c r="I688" s="96">
        <v>6.177599999999999</v>
      </c>
      <c r="J688" s="93" t="s">
        <v>31</v>
      </c>
      <c r="K688" s="97"/>
      <c r="L688" s="93" t="str">
        <f t="shared" si="1"/>
        <v/>
      </c>
      <c r="M688" s="98">
        <f t="shared" si="2"/>
        <v>0</v>
      </c>
      <c r="N688" s="77"/>
      <c r="O688" s="90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</row>
    <row r="689" ht="18.0" customHeight="1">
      <c r="A689" s="81"/>
      <c r="B689" s="91" t="str">
        <f>"35046"</f>
        <v>35046</v>
      </c>
      <c r="C689" s="91" t="str">
        <f>"693102350465"</f>
        <v>693102350465</v>
      </c>
      <c r="D689" s="92" t="s">
        <v>708</v>
      </c>
      <c r="E689" s="93" t="s">
        <v>304</v>
      </c>
      <c r="F689" s="94">
        <v>19.0</v>
      </c>
      <c r="G689" s="94">
        <v>9.5</v>
      </c>
      <c r="H689" s="95">
        <v>0.604</v>
      </c>
      <c r="I689" s="96">
        <v>9.0288</v>
      </c>
      <c r="J689" s="93" t="s">
        <v>31</v>
      </c>
      <c r="K689" s="97"/>
      <c r="L689" s="93" t="str">
        <f t="shared" si="1"/>
        <v/>
      </c>
      <c r="M689" s="98">
        <f t="shared" si="2"/>
        <v>0</v>
      </c>
      <c r="N689" s="77"/>
      <c r="O689" s="90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</row>
    <row r="690" ht="18.0" customHeight="1">
      <c r="A690" s="81"/>
      <c r="B690" s="91" t="str">
        <f>"66000"</f>
        <v>66000</v>
      </c>
      <c r="C690" s="91" t="str">
        <f>"693102660007"</f>
        <v>693102660007</v>
      </c>
      <c r="D690" s="92" t="s">
        <v>709</v>
      </c>
      <c r="E690" s="93" t="s">
        <v>304</v>
      </c>
      <c r="F690" s="94">
        <v>19.0</v>
      </c>
      <c r="G690" s="94">
        <v>9.5</v>
      </c>
      <c r="H690" s="95">
        <v>0.604</v>
      </c>
      <c r="I690" s="96">
        <v>9.0288</v>
      </c>
      <c r="J690" s="93" t="s">
        <v>31</v>
      </c>
      <c r="K690" s="97"/>
      <c r="L690" s="93" t="str">
        <f t="shared" si="1"/>
        <v/>
      </c>
      <c r="M690" s="98">
        <f t="shared" si="2"/>
        <v>0</v>
      </c>
      <c r="N690" s="77"/>
      <c r="O690" s="90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</row>
    <row r="691" ht="18.0" customHeight="1">
      <c r="A691" s="81"/>
      <c r="B691" s="91" t="str">
        <f>"66010"</f>
        <v>66010</v>
      </c>
      <c r="C691" s="91" t="str">
        <f>"693102660106"</f>
        <v>693102660106</v>
      </c>
      <c r="D691" s="92" t="s">
        <v>710</v>
      </c>
      <c r="E691" s="93" t="s">
        <v>304</v>
      </c>
      <c r="F691" s="94">
        <v>19.0</v>
      </c>
      <c r="G691" s="94">
        <v>9.5</v>
      </c>
      <c r="H691" s="95">
        <v>0.604</v>
      </c>
      <c r="I691" s="96">
        <v>9.0288</v>
      </c>
      <c r="J691" s="93" t="s">
        <v>31</v>
      </c>
      <c r="K691" s="97"/>
      <c r="L691" s="93" t="str">
        <f t="shared" si="1"/>
        <v/>
      </c>
      <c r="M691" s="98">
        <f t="shared" si="2"/>
        <v>0</v>
      </c>
      <c r="N691" s="77"/>
      <c r="O691" s="90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</row>
    <row r="692" ht="18.0" customHeight="1">
      <c r="A692" s="81"/>
      <c r="B692" s="91" t="str">
        <f>"66001"</f>
        <v>66001</v>
      </c>
      <c r="C692" s="91" t="str">
        <f>"693102660014"</f>
        <v>693102660014</v>
      </c>
      <c r="D692" s="92" t="s">
        <v>711</v>
      </c>
      <c r="E692" s="93" t="s">
        <v>304</v>
      </c>
      <c r="F692" s="94">
        <v>19.0</v>
      </c>
      <c r="G692" s="94">
        <v>9.5</v>
      </c>
      <c r="H692" s="95">
        <v>0.604</v>
      </c>
      <c r="I692" s="96">
        <v>9.0288</v>
      </c>
      <c r="J692" s="93" t="s">
        <v>31</v>
      </c>
      <c r="K692" s="97"/>
      <c r="L692" s="93" t="str">
        <f t="shared" si="1"/>
        <v/>
      </c>
      <c r="M692" s="98">
        <f t="shared" si="2"/>
        <v>0</v>
      </c>
      <c r="N692" s="77"/>
      <c r="O692" s="90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</row>
    <row r="693" ht="18.0" customHeight="1">
      <c r="A693" s="81"/>
      <c r="B693" s="91" t="str">
        <f>"66005"</f>
        <v>66005</v>
      </c>
      <c r="C693" s="91" t="str">
        <f>"693102660052"</f>
        <v>693102660052</v>
      </c>
      <c r="D693" s="92" t="s">
        <v>712</v>
      </c>
      <c r="E693" s="93" t="s">
        <v>304</v>
      </c>
      <c r="F693" s="94">
        <v>19.0</v>
      </c>
      <c r="G693" s="94">
        <v>9.5</v>
      </c>
      <c r="H693" s="95">
        <v>0.604</v>
      </c>
      <c r="I693" s="96">
        <v>9.0288</v>
      </c>
      <c r="J693" s="93" t="s">
        <v>31</v>
      </c>
      <c r="K693" s="97"/>
      <c r="L693" s="93" t="str">
        <f t="shared" si="1"/>
        <v/>
      </c>
      <c r="M693" s="98">
        <f t="shared" si="2"/>
        <v>0</v>
      </c>
      <c r="N693" s="77"/>
      <c r="O693" s="90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</row>
    <row r="694" ht="18.0" customHeight="1">
      <c r="A694" s="81"/>
      <c r="B694" s="91" t="str">
        <f>"66006"</f>
        <v>66006</v>
      </c>
      <c r="C694" s="91" t="str">
        <f>"693102660069"</f>
        <v>693102660069</v>
      </c>
      <c r="D694" s="92" t="s">
        <v>713</v>
      </c>
      <c r="E694" s="93" t="s">
        <v>304</v>
      </c>
      <c r="F694" s="94">
        <v>19.0</v>
      </c>
      <c r="G694" s="94">
        <v>9.5</v>
      </c>
      <c r="H694" s="95">
        <v>0.604</v>
      </c>
      <c r="I694" s="96">
        <v>9.0288</v>
      </c>
      <c r="J694" s="93" t="s">
        <v>31</v>
      </c>
      <c r="K694" s="97"/>
      <c r="L694" s="93" t="str">
        <f t="shared" si="1"/>
        <v/>
      </c>
      <c r="M694" s="98">
        <f t="shared" si="2"/>
        <v>0</v>
      </c>
      <c r="N694" s="77"/>
      <c r="O694" s="90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</row>
    <row r="695" ht="18.0" customHeight="1">
      <c r="A695" s="81"/>
      <c r="B695" s="91" t="str">
        <f>"66011"</f>
        <v>66011</v>
      </c>
      <c r="C695" s="91" t="str">
        <f>"693102660113"</f>
        <v>693102660113</v>
      </c>
      <c r="D695" s="92" t="s">
        <v>714</v>
      </c>
      <c r="E695" s="93" t="s">
        <v>304</v>
      </c>
      <c r="F695" s="94">
        <v>19.0</v>
      </c>
      <c r="G695" s="94">
        <v>9.5</v>
      </c>
      <c r="H695" s="95">
        <v>0.604</v>
      </c>
      <c r="I695" s="96">
        <v>9.0288</v>
      </c>
      <c r="J695" s="93" t="s">
        <v>31</v>
      </c>
      <c r="K695" s="97"/>
      <c r="L695" s="93" t="str">
        <f t="shared" si="1"/>
        <v/>
      </c>
      <c r="M695" s="98">
        <f t="shared" si="2"/>
        <v>0</v>
      </c>
      <c r="N695" s="77"/>
      <c r="O695" s="90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</row>
    <row r="696" ht="18.0" customHeight="1">
      <c r="A696" s="81"/>
      <c r="B696" s="91" t="str">
        <f>"66007"</f>
        <v>66007</v>
      </c>
      <c r="C696" s="91" t="str">
        <f>"693102660076"</f>
        <v>693102660076</v>
      </c>
      <c r="D696" s="92" t="s">
        <v>715</v>
      </c>
      <c r="E696" s="93" t="s">
        <v>304</v>
      </c>
      <c r="F696" s="94">
        <v>19.0</v>
      </c>
      <c r="G696" s="94">
        <v>9.5</v>
      </c>
      <c r="H696" s="95">
        <v>0.604</v>
      </c>
      <c r="I696" s="96">
        <v>9.0288</v>
      </c>
      <c r="J696" s="93" t="s">
        <v>31</v>
      </c>
      <c r="K696" s="97"/>
      <c r="L696" s="93" t="str">
        <f t="shared" si="1"/>
        <v/>
      </c>
      <c r="M696" s="98">
        <f t="shared" si="2"/>
        <v>0</v>
      </c>
      <c r="N696" s="77"/>
      <c r="O696" s="90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</row>
    <row r="697" ht="18.0" customHeight="1">
      <c r="A697" s="81"/>
      <c r="B697" s="91" t="str">
        <f>"66002"</f>
        <v>66002</v>
      </c>
      <c r="C697" s="91" t="str">
        <f>"693102660021"</f>
        <v>693102660021</v>
      </c>
      <c r="D697" s="92" t="s">
        <v>716</v>
      </c>
      <c r="E697" s="93" t="s">
        <v>304</v>
      </c>
      <c r="F697" s="94">
        <v>19.0</v>
      </c>
      <c r="G697" s="94">
        <v>9.5</v>
      </c>
      <c r="H697" s="95">
        <v>0.604</v>
      </c>
      <c r="I697" s="96">
        <v>9.0288</v>
      </c>
      <c r="J697" s="93" t="s">
        <v>31</v>
      </c>
      <c r="K697" s="97"/>
      <c r="L697" s="93" t="str">
        <f t="shared" si="1"/>
        <v/>
      </c>
      <c r="M697" s="98">
        <f t="shared" si="2"/>
        <v>0</v>
      </c>
      <c r="N697" s="77"/>
      <c r="O697" s="90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</row>
    <row r="698" ht="18.0" customHeight="1">
      <c r="A698" s="81"/>
      <c r="B698" s="91" t="str">
        <f>"66008"</f>
        <v>66008</v>
      </c>
      <c r="C698" s="91" t="str">
        <f>"693102660083"</f>
        <v>693102660083</v>
      </c>
      <c r="D698" s="92" t="s">
        <v>717</v>
      </c>
      <c r="E698" s="93" t="s">
        <v>304</v>
      </c>
      <c r="F698" s="94">
        <v>19.0</v>
      </c>
      <c r="G698" s="94">
        <v>9.5</v>
      </c>
      <c r="H698" s="95">
        <v>0.604</v>
      </c>
      <c r="I698" s="96">
        <v>9.0288</v>
      </c>
      <c r="J698" s="93" t="s">
        <v>31</v>
      </c>
      <c r="K698" s="97"/>
      <c r="L698" s="93" t="str">
        <f t="shared" si="1"/>
        <v/>
      </c>
      <c r="M698" s="98">
        <f t="shared" si="2"/>
        <v>0</v>
      </c>
      <c r="N698" s="77"/>
      <c r="O698" s="90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</row>
    <row r="699" ht="18.0" customHeight="1">
      <c r="A699" s="81"/>
      <c r="B699" s="91" t="str">
        <f>"66003"</f>
        <v>66003</v>
      </c>
      <c r="C699" s="91" t="str">
        <f>"693102660038"</f>
        <v>693102660038</v>
      </c>
      <c r="D699" s="92" t="s">
        <v>718</v>
      </c>
      <c r="E699" s="93" t="s">
        <v>304</v>
      </c>
      <c r="F699" s="94">
        <v>19.0</v>
      </c>
      <c r="G699" s="94">
        <v>9.5</v>
      </c>
      <c r="H699" s="95">
        <v>0.604</v>
      </c>
      <c r="I699" s="96">
        <v>9.0288</v>
      </c>
      <c r="J699" s="93" t="s">
        <v>31</v>
      </c>
      <c r="K699" s="97"/>
      <c r="L699" s="93" t="str">
        <f t="shared" si="1"/>
        <v/>
      </c>
      <c r="M699" s="98">
        <f t="shared" si="2"/>
        <v>0</v>
      </c>
      <c r="N699" s="77"/>
      <c r="O699" s="90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</row>
    <row r="700" ht="18.0" customHeight="1">
      <c r="A700" s="81"/>
      <c r="B700" s="91" t="str">
        <f>"66009"</f>
        <v>66009</v>
      </c>
      <c r="C700" s="91" t="str">
        <f>"693102660090"</f>
        <v>693102660090</v>
      </c>
      <c r="D700" s="92" t="s">
        <v>719</v>
      </c>
      <c r="E700" s="93" t="s">
        <v>304</v>
      </c>
      <c r="F700" s="94">
        <v>19.0</v>
      </c>
      <c r="G700" s="94">
        <v>9.5</v>
      </c>
      <c r="H700" s="95">
        <v>0.604</v>
      </c>
      <c r="I700" s="96">
        <v>9.0288</v>
      </c>
      <c r="J700" s="93" t="s">
        <v>31</v>
      </c>
      <c r="K700" s="97"/>
      <c r="L700" s="93" t="str">
        <f t="shared" si="1"/>
        <v/>
      </c>
      <c r="M700" s="98">
        <f t="shared" si="2"/>
        <v>0</v>
      </c>
      <c r="N700" s="77"/>
      <c r="O700" s="90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</row>
    <row r="701" ht="18.0" customHeight="1">
      <c r="A701" s="81"/>
      <c r="B701" s="91" t="str">
        <f>"66004"</f>
        <v>66004</v>
      </c>
      <c r="C701" s="91" t="str">
        <f>"693102660045"</f>
        <v>693102660045</v>
      </c>
      <c r="D701" s="92" t="s">
        <v>720</v>
      </c>
      <c r="E701" s="93" t="s">
        <v>304</v>
      </c>
      <c r="F701" s="94">
        <v>19.0</v>
      </c>
      <c r="G701" s="94">
        <v>9.5</v>
      </c>
      <c r="H701" s="95">
        <v>0.604</v>
      </c>
      <c r="I701" s="96">
        <v>9.0288</v>
      </c>
      <c r="J701" s="93" t="s">
        <v>31</v>
      </c>
      <c r="K701" s="97"/>
      <c r="L701" s="93" t="str">
        <f t="shared" si="1"/>
        <v/>
      </c>
      <c r="M701" s="98">
        <f t="shared" si="2"/>
        <v>0</v>
      </c>
      <c r="N701" s="77"/>
      <c r="O701" s="90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</row>
    <row r="702" ht="18.0" customHeight="1">
      <c r="A702" s="81"/>
      <c r="B702" s="91" t="str">
        <f>"66012"</f>
        <v>66012</v>
      </c>
      <c r="C702" s="91" t="str">
        <f>"693102660120"</f>
        <v>693102660120</v>
      </c>
      <c r="D702" s="92" t="s">
        <v>721</v>
      </c>
      <c r="E702" s="93" t="s">
        <v>304</v>
      </c>
      <c r="F702" s="94">
        <v>19.0</v>
      </c>
      <c r="G702" s="94">
        <v>9.5</v>
      </c>
      <c r="H702" s="95">
        <v>0.604</v>
      </c>
      <c r="I702" s="96">
        <v>9.0288</v>
      </c>
      <c r="J702" s="93" t="s">
        <v>31</v>
      </c>
      <c r="K702" s="97"/>
      <c r="L702" s="93" t="str">
        <f t="shared" si="1"/>
        <v/>
      </c>
      <c r="M702" s="98">
        <f t="shared" si="2"/>
        <v>0</v>
      </c>
      <c r="N702" s="77"/>
      <c r="O702" s="90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</row>
    <row r="703" ht="18.0" customHeight="1">
      <c r="A703" s="81"/>
      <c r="B703" s="91" t="str">
        <f>"61006"</f>
        <v>61006</v>
      </c>
      <c r="C703" s="91" t="str">
        <f>"693102610064"</f>
        <v>693102610064</v>
      </c>
      <c r="D703" s="92" t="s">
        <v>722</v>
      </c>
      <c r="E703" s="93" t="s">
        <v>723</v>
      </c>
      <c r="F703" s="94">
        <v>18.0</v>
      </c>
      <c r="G703" s="94">
        <v>9.0</v>
      </c>
      <c r="H703" s="95">
        <v>0.604</v>
      </c>
      <c r="I703" s="96">
        <v>8.5536</v>
      </c>
      <c r="J703" s="93" t="s">
        <v>31</v>
      </c>
      <c r="K703" s="97"/>
      <c r="L703" s="93" t="str">
        <f t="shared" si="1"/>
        <v/>
      </c>
      <c r="M703" s="98">
        <f t="shared" si="2"/>
        <v>0</v>
      </c>
      <c r="N703" s="77"/>
      <c r="O703" s="90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</row>
    <row r="704" ht="18.0" customHeight="1">
      <c r="A704" s="81"/>
      <c r="B704" s="91" t="str">
        <f>"61007"</f>
        <v>61007</v>
      </c>
      <c r="C704" s="91" t="str">
        <f>"693102610071"</f>
        <v>693102610071</v>
      </c>
      <c r="D704" s="92" t="s">
        <v>724</v>
      </c>
      <c r="E704" s="93" t="s">
        <v>723</v>
      </c>
      <c r="F704" s="94">
        <v>18.0</v>
      </c>
      <c r="G704" s="94">
        <v>9.0</v>
      </c>
      <c r="H704" s="95">
        <v>0.604</v>
      </c>
      <c r="I704" s="96">
        <v>8.5536</v>
      </c>
      <c r="J704" s="93" t="s">
        <v>31</v>
      </c>
      <c r="K704" s="97"/>
      <c r="L704" s="93" t="str">
        <f t="shared" si="1"/>
        <v/>
      </c>
      <c r="M704" s="98">
        <f t="shared" si="2"/>
        <v>0</v>
      </c>
      <c r="N704" s="77"/>
      <c r="O704" s="90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</row>
    <row r="705" ht="18.0" customHeight="1">
      <c r="A705" s="81"/>
      <c r="B705" s="91" t="str">
        <f>"61008"</f>
        <v>61008</v>
      </c>
      <c r="C705" s="91" t="str">
        <f>"693102610088"</f>
        <v>693102610088</v>
      </c>
      <c r="D705" s="92" t="s">
        <v>725</v>
      </c>
      <c r="E705" s="93" t="s">
        <v>723</v>
      </c>
      <c r="F705" s="94">
        <v>18.0</v>
      </c>
      <c r="G705" s="94">
        <v>9.0</v>
      </c>
      <c r="H705" s="95">
        <v>0.604</v>
      </c>
      <c r="I705" s="96">
        <v>8.5536</v>
      </c>
      <c r="J705" s="93" t="s">
        <v>31</v>
      </c>
      <c r="K705" s="97"/>
      <c r="L705" s="93" t="str">
        <f t="shared" si="1"/>
        <v/>
      </c>
      <c r="M705" s="98">
        <f t="shared" si="2"/>
        <v>0</v>
      </c>
      <c r="N705" s="77"/>
      <c r="O705" s="90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</row>
    <row r="706" ht="18.0" customHeight="1">
      <c r="A706" s="81"/>
      <c r="B706" s="91" t="str">
        <f>"61009"</f>
        <v>61009</v>
      </c>
      <c r="C706" s="91" t="str">
        <f>"693102610095"</f>
        <v>693102610095</v>
      </c>
      <c r="D706" s="92" t="s">
        <v>726</v>
      </c>
      <c r="E706" s="93" t="s">
        <v>727</v>
      </c>
      <c r="F706" s="94">
        <v>34.0</v>
      </c>
      <c r="G706" s="94">
        <v>17.0</v>
      </c>
      <c r="H706" s="95">
        <v>0.6040000000000001</v>
      </c>
      <c r="I706" s="96">
        <v>16.1568</v>
      </c>
      <c r="J706" s="93" t="s">
        <v>31</v>
      </c>
      <c r="K706" s="97"/>
      <c r="L706" s="93" t="str">
        <f t="shared" si="1"/>
        <v/>
      </c>
      <c r="M706" s="98">
        <f t="shared" si="2"/>
        <v>0</v>
      </c>
      <c r="N706" s="77"/>
      <c r="O706" s="90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</row>
    <row r="707" ht="18.0" customHeight="1">
      <c r="A707" s="81"/>
      <c r="B707" s="91" t="str">
        <f>"61-00-25"</f>
        <v>61-00-25</v>
      </c>
      <c r="C707" s="91" t="str">
        <f>"693102100251"</f>
        <v>693102100251</v>
      </c>
      <c r="D707" s="92" t="s">
        <v>728</v>
      </c>
      <c r="E707" s="93" t="s">
        <v>304</v>
      </c>
      <c r="F707" s="94">
        <v>15.0</v>
      </c>
      <c r="G707" s="94">
        <v>7.5</v>
      </c>
      <c r="H707" s="95">
        <v>0.6039999999999999</v>
      </c>
      <c r="I707" s="96">
        <v>7.128</v>
      </c>
      <c r="J707" s="93" t="s">
        <v>31</v>
      </c>
      <c r="K707" s="97"/>
      <c r="L707" s="93" t="str">
        <f t="shared" si="1"/>
        <v/>
      </c>
      <c r="M707" s="98">
        <f t="shared" si="2"/>
        <v>0</v>
      </c>
      <c r="N707" s="77"/>
      <c r="O707" s="90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</row>
    <row r="708" ht="18.0" customHeight="1">
      <c r="A708" s="81"/>
      <c r="B708" s="91" t="str">
        <f>"61-00-60"</f>
        <v>61-00-60</v>
      </c>
      <c r="C708" s="91" t="str">
        <f>"693102100602"</f>
        <v>693102100602</v>
      </c>
      <c r="D708" s="92" t="s">
        <v>729</v>
      </c>
      <c r="E708" s="93" t="s">
        <v>304</v>
      </c>
      <c r="F708" s="94">
        <v>15.0</v>
      </c>
      <c r="G708" s="94">
        <v>7.5</v>
      </c>
      <c r="H708" s="95">
        <v>0.6039999999999999</v>
      </c>
      <c r="I708" s="96">
        <v>7.128</v>
      </c>
      <c r="J708" s="93" t="s">
        <v>31</v>
      </c>
      <c r="K708" s="97"/>
      <c r="L708" s="93" t="str">
        <f t="shared" si="1"/>
        <v/>
      </c>
      <c r="M708" s="98">
        <f t="shared" si="2"/>
        <v>0</v>
      </c>
      <c r="N708" s="77"/>
      <c r="O708" s="90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</row>
    <row r="709" ht="18.0" customHeight="1">
      <c r="A709" s="81"/>
      <c r="B709" s="91" t="str">
        <f>"61001"</f>
        <v>61001</v>
      </c>
      <c r="C709" s="91" t="str">
        <f>"693102610019"</f>
        <v>693102610019</v>
      </c>
      <c r="D709" s="92" t="s">
        <v>730</v>
      </c>
      <c r="E709" s="93" t="s">
        <v>304</v>
      </c>
      <c r="F709" s="94">
        <v>15.0</v>
      </c>
      <c r="G709" s="94">
        <v>7.5</v>
      </c>
      <c r="H709" s="95">
        <v>0.6039999999999999</v>
      </c>
      <c r="I709" s="96">
        <v>7.128</v>
      </c>
      <c r="J709" s="93" t="s">
        <v>31</v>
      </c>
      <c r="K709" s="97"/>
      <c r="L709" s="93" t="str">
        <f t="shared" si="1"/>
        <v/>
      </c>
      <c r="M709" s="98">
        <f t="shared" si="2"/>
        <v>0</v>
      </c>
      <c r="N709" s="77"/>
      <c r="O709" s="90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</row>
    <row r="710" ht="18.0" customHeight="1">
      <c r="A710" s="81"/>
      <c r="B710" s="91" t="str">
        <f>"61002"</f>
        <v>61002</v>
      </c>
      <c r="C710" s="91" t="str">
        <f>"693102610026"</f>
        <v>693102610026</v>
      </c>
      <c r="D710" s="92" t="s">
        <v>731</v>
      </c>
      <c r="E710" s="93" t="s">
        <v>304</v>
      </c>
      <c r="F710" s="94">
        <v>15.0</v>
      </c>
      <c r="G710" s="94">
        <v>7.5</v>
      </c>
      <c r="H710" s="95">
        <v>0.6039999999999999</v>
      </c>
      <c r="I710" s="96">
        <v>7.128</v>
      </c>
      <c r="J710" s="93" t="s">
        <v>31</v>
      </c>
      <c r="K710" s="97"/>
      <c r="L710" s="93" t="str">
        <f t="shared" si="1"/>
        <v/>
      </c>
      <c r="M710" s="98">
        <f t="shared" si="2"/>
        <v>0</v>
      </c>
      <c r="N710" s="77"/>
      <c r="O710" s="90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</row>
    <row r="711" ht="18.0" customHeight="1">
      <c r="A711" s="81"/>
      <c r="B711" s="91" t="str">
        <f>"61003"</f>
        <v>61003</v>
      </c>
      <c r="C711" s="91" t="str">
        <f>"693102610033"</f>
        <v>693102610033</v>
      </c>
      <c r="D711" s="92" t="s">
        <v>732</v>
      </c>
      <c r="E711" s="93" t="s">
        <v>723</v>
      </c>
      <c r="F711" s="94">
        <v>15.0</v>
      </c>
      <c r="G711" s="94">
        <v>7.5</v>
      </c>
      <c r="H711" s="95">
        <v>0.6039999999999999</v>
      </c>
      <c r="I711" s="96">
        <v>7.128</v>
      </c>
      <c r="J711" s="93" t="s">
        <v>31</v>
      </c>
      <c r="K711" s="97"/>
      <c r="L711" s="93" t="str">
        <f t="shared" si="1"/>
        <v/>
      </c>
      <c r="M711" s="98">
        <f t="shared" si="2"/>
        <v>0</v>
      </c>
      <c r="N711" s="77"/>
      <c r="O711" s="90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</row>
    <row r="712" ht="18.0" customHeight="1">
      <c r="A712" s="81"/>
      <c r="B712" s="91" t="str">
        <f>"61-00-42"</f>
        <v>61-00-42</v>
      </c>
      <c r="C712" s="91" t="str">
        <f>"693102100428"</f>
        <v>693102100428</v>
      </c>
      <c r="D712" s="92" t="s">
        <v>733</v>
      </c>
      <c r="E712" s="93" t="s">
        <v>304</v>
      </c>
      <c r="F712" s="94">
        <v>15.0</v>
      </c>
      <c r="G712" s="94">
        <v>7.5</v>
      </c>
      <c r="H712" s="95">
        <v>0.6039999999999999</v>
      </c>
      <c r="I712" s="96">
        <v>7.128</v>
      </c>
      <c r="J712" s="93" t="s">
        <v>31</v>
      </c>
      <c r="K712" s="97"/>
      <c r="L712" s="93" t="str">
        <f t="shared" si="1"/>
        <v/>
      </c>
      <c r="M712" s="98">
        <f t="shared" si="2"/>
        <v>0</v>
      </c>
      <c r="N712" s="77"/>
      <c r="O712" s="90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</row>
    <row r="713" ht="18.0" customHeight="1">
      <c r="A713" s="81"/>
      <c r="B713" s="91" t="str">
        <f>"61000"</f>
        <v>61000</v>
      </c>
      <c r="C713" s="91" t="str">
        <f>"693102610002"</f>
        <v>693102610002</v>
      </c>
      <c r="D713" s="92" t="s">
        <v>734</v>
      </c>
      <c r="E713" s="93" t="s">
        <v>304</v>
      </c>
      <c r="F713" s="94">
        <v>15.0</v>
      </c>
      <c r="G713" s="94">
        <v>7.5</v>
      </c>
      <c r="H713" s="95">
        <v>0.6039999999999999</v>
      </c>
      <c r="I713" s="96">
        <v>7.128</v>
      </c>
      <c r="J713" s="93" t="s">
        <v>31</v>
      </c>
      <c r="K713" s="97"/>
      <c r="L713" s="93" t="str">
        <f t="shared" si="1"/>
        <v/>
      </c>
      <c r="M713" s="98">
        <f t="shared" si="2"/>
        <v>0</v>
      </c>
      <c r="N713" s="77"/>
      <c r="O713" s="90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</row>
    <row r="714" ht="18.0" customHeight="1">
      <c r="A714" s="81"/>
      <c r="B714" s="91" t="str">
        <f>"61010"</f>
        <v>61010</v>
      </c>
      <c r="C714" s="91" t="str">
        <f>"693102610101"</f>
        <v>693102610101</v>
      </c>
      <c r="D714" s="92" t="s">
        <v>735</v>
      </c>
      <c r="E714" s="93" t="s">
        <v>304</v>
      </c>
      <c r="F714" s="94">
        <v>15.0</v>
      </c>
      <c r="G714" s="94">
        <v>7.5</v>
      </c>
      <c r="H714" s="95">
        <v>0.6039999999999999</v>
      </c>
      <c r="I714" s="96">
        <v>7.128</v>
      </c>
      <c r="J714" s="93" t="s">
        <v>31</v>
      </c>
      <c r="K714" s="97"/>
      <c r="L714" s="93" t="str">
        <f t="shared" si="1"/>
        <v/>
      </c>
      <c r="M714" s="98">
        <f t="shared" si="2"/>
        <v>0</v>
      </c>
      <c r="N714" s="77"/>
      <c r="O714" s="90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</row>
    <row r="715" ht="18.0" customHeight="1">
      <c r="A715" s="81"/>
      <c r="B715" s="91" t="str">
        <f>"61-00-58"</f>
        <v>61-00-58</v>
      </c>
      <c r="C715" s="91" t="str">
        <f>"693102100589"</f>
        <v>693102100589</v>
      </c>
      <c r="D715" s="92" t="s">
        <v>736</v>
      </c>
      <c r="E715" s="93" t="s">
        <v>304</v>
      </c>
      <c r="F715" s="94">
        <v>15.0</v>
      </c>
      <c r="G715" s="94">
        <v>7.5</v>
      </c>
      <c r="H715" s="95">
        <v>0.6039999999999999</v>
      </c>
      <c r="I715" s="96">
        <v>7.128</v>
      </c>
      <c r="J715" s="93" t="s">
        <v>31</v>
      </c>
      <c r="K715" s="97"/>
      <c r="L715" s="93" t="str">
        <f t="shared" si="1"/>
        <v/>
      </c>
      <c r="M715" s="98">
        <f t="shared" si="2"/>
        <v>0</v>
      </c>
      <c r="N715" s="77"/>
      <c r="O715" s="90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</row>
    <row r="716" ht="18.0" customHeight="1">
      <c r="A716" s="81"/>
      <c r="B716" s="91" t="str">
        <f>"61-00-11"</f>
        <v>61-00-11</v>
      </c>
      <c r="C716" s="91" t="str">
        <f>"693102100114"</f>
        <v>693102100114</v>
      </c>
      <c r="D716" s="92" t="s">
        <v>737</v>
      </c>
      <c r="E716" s="93" t="s">
        <v>304</v>
      </c>
      <c r="F716" s="94">
        <v>15.0</v>
      </c>
      <c r="G716" s="94">
        <v>7.5</v>
      </c>
      <c r="H716" s="95">
        <v>0.6039999999999999</v>
      </c>
      <c r="I716" s="96">
        <v>7.128</v>
      </c>
      <c r="J716" s="93" t="s">
        <v>31</v>
      </c>
      <c r="K716" s="97"/>
      <c r="L716" s="93" t="str">
        <f t="shared" si="1"/>
        <v/>
      </c>
      <c r="M716" s="98">
        <f t="shared" si="2"/>
        <v>0</v>
      </c>
      <c r="N716" s="77"/>
      <c r="O716" s="90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</row>
    <row r="717" ht="18.0" customHeight="1">
      <c r="A717" s="81"/>
      <c r="B717" s="91" t="str">
        <f>"35100"</f>
        <v>35100</v>
      </c>
      <c r="C717" s="91" t="str">
        <f>"693102351004"</f>
        <v>693102351004</v>
      </c>
      <c r="D717" s="92" t="s">
        <v>738</v>
      </c>
      <c r="E717" s="93" t="s">
        <v>304</v>
      </c>
      <c r="F717" s="94">
        <v>15.0</v>
      </c>
      <c r="G717" s="94">
        <v>7.5</v>
      </c>
      <c r="H717" s="95">
        <v>0.6039999999999999</v>
      </c>
      <c r="I717" s="96">
        <v>7.128</v>
      </c>
      <c r="J717" s="93" t="s">
        <v>31</v>
      </c>
      <c r="K717" s="97"/>
      <c r="L717" s="93" t="str">
        <f t="shared" si="1"/>
        <v/>
      </c>
      <c r="M717" s="98">
        <f t="shared" si="2"/>
        <v>0</v>
      </c>
      <c r="N717" s="77"/>
      <c r="O717" s="90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</row>
    <row r="718" ht="18.0" customHeight="1">
      <c r="A718" s="81"/>
      <c r="B718" s="91" t="str">
        <f>"61-00-46"</f>
        <v>61-00-46</v>
      </c>
      <c r="C718" s="91" t="str">
        <f>"693102100466"</f>
        <v>693102100466</v>
      </c>
      <c r="D718" s="92" t="s">
        <v>739</v>
      </c>
      <c r="E718" s="93" t="s">
        <v>304</v>
      </c>
      <c r="F718" s="94">
        <v>15.0</v>
      </c>
      <c r="G718" s="94">
        <v>7.5</v>
      </c>
      <c r="H718" s="95">
        <v>0.6039999999999999</v>
      </c>
      <c r="I718" s="96">
        <v>7.128</v>
      </c>
      <c r="J718" s="93" t="s">
        <v>31</v>
      </c>
      <c r="K718" s="97"/>
      <c r="L718" s="93" t="str">
        <f t="shared" si="1"/>
        <v/>
      </c>
      <c r="M718" s="98">
        <f t="shared" si="2"/>
        <v>0</v>
      </c>
      <c r="N718" s="77"/>
      <c r="O718" s="90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</row>
    <row r="719" ht="18.0" customHeight="1">
      <c r="A719" s="81"/>
      <c r="B719" s="91" t="str">
        <f>"35077"</f>
        <v>35077</v>
      </c>
      <c r="C719" s="91" t="str">
        <f>"693102350779"</f>
        <v>693102350779</v>
      </c>
      <c r="D719" s="92" t="s">
        <v>740</v>
      </c>
      <c r="E719" s="93" t="s">
        <v>304</v>
      </c>
      <c r="F719" s="94">
        <v>15.0</v>
      </c>
      <c r="G719" s="94">
        <v>7.5</v>
      </c>
      <c r="H719" s="95">
        <v>0.6039999999999999</v>
      </c>
      <c r="I719" s="96">
        <v>7.128</v>
      </c>
      <c r="J719" s="93" t="s">
        <v>31</v>
      </c>
      <c r="K719" s="97"/>
      <c r="L719" s="93" t="str">
        <f t="shared" si="1"/>
        <v/>
      </c>
      <c r="M719" s="98">
        <f t="shared" si="2"/>
        <v>0</v>
      </c>
      <c r="N719" s="77"/>
      <c r="O719" s="90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</row>
    <row r="720" ht="18.0" customHeight="1">
      <c r="A720" s="81"/>
      <c r="B720" s="91" t="str">
        <f>"61-00-43"</f>
        <v>61-00-43</v>
      </c>
      <c r="C720" s="91" t="str">
        <f>"693102100435"</f>
        <v>693102100435</v>
      </c>
      <c r="D720" s="92" t="s">
        <v>741</v>
      </c>
      <c r="E720" s="93" t="s">
        <v>304</v>
      </c>
      <c r="F720" s="94">
        <v>15.0</v>
      </c>
      <c r="G720" s="94">
        <v>7.5</v>
      </c>
      <c r="H720" s="95">
        <v>0.6039999999999999</v>
      </c>
      <c r="I720" s="96">
        <v>7.128</v>
      </c>
      <c r="J720" s="93" t="s">
        <v>31</v>
      </c>
      <c r="K720" s="97"/>
      <c r="L720" s="93" t="str">
        <f t="shared" si="1"/>
        <v/>
      </c>
      <c r="M720" s="98">
        <f t="shared" si="2"/>
        <v>0</v>
      </c>
      <c r="N720" s="77"/>
      <c r="O720" s="90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</row>
    <row r="721" ht="18.0" customHeight="1">
      <c r="A721" s="81"/>
      <c r="B721" s="91" t="str">
        <f>"53096"</f>
        <v>53096</v>
      </c>
      <c r="C721" s="91" t="str">
        <f>"693102530966"</f>
        <v>693102530966</v>
      </c>
      <c r="D721" s="92" t="s">
        <v>742</v>
      </c>
      <c r="E721" s="93" t="s">
        <v>304</v>
      </c>
      <c r="F721" s="94">
        <v>15.0</v>
      </c>
      <c r="G721" s="94">
        <v>7.5</v>
      </c>
      <c r="H721" s="95">
        <v>0.6039999999999999</v>
      </c>
      <c r="I721" s="96">
        <v>7.128</v>
      </c>
      <c r="J721" s="93" t="s">
        <v>31</v>
      </c>
      <c r="K721" s="97"/>
      <c r="L721" s="93" t="str">
        <f t="shared" si="1"/>
        <v/>
      </c>
      <c r="M721" s="98">
        <f t="shared" si="2"/>
        <v>0</v>
      </c>
      <c r="N721" s="77"/>
      <c r="O721" s="90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</row>
    <row r="722" ht="18.0" customHeight="1">
      <c r="A722" s="81"/>
      <c r="B722" s="91" t="str">
        <f>"61-00-41"</f>
        <v>61-00-41</v>
      </c>
      <c r="C722" s="91" t="str">
        <f>"693102100411"</f>
        <v>693102100411</v>
      </c>
      <c r="D722" s="92" t="s">
        <v>743</v>
      </c>
      <c r="E722" s="93" t="s">
        <v>304</v>
      </c>
      <c r="F722" s="94">
        <v>15.0</v>
      </c>
      <c r="G722" s="94">
        <v>7.5</v>
      </c>
      <c r="H722" s="95">
        <v>0.6039999999999999</v>
      </c>
      <c r="I722" s="96">
        <v>7.128</v>
      </c>
      <c r="J722" s="93" t="s">
        <v>31</v>
      </c>
      <c r="K722" s="97"/>
      <c r="L722" s="93" t="str">
        <f t="shared" si="1"/>
        <v/>
      </c>
      <c r="M722" s="98">
        <f t="shared" si="2"/>
        <v>0</v>
      </c>
      <c r="N722" s="77"/>
      <c r="O722" s="90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</row>
    <row r="723" ht="18.0" customHeight="1">
      <c r="A723" s="81"/>
      <c r="B723" s="91" t="str">
        <f>"61004"</f>
        <v>61004</v>
      </c>
      <c r="C723" s="91" t="str">
        <f>"693102610040"</f>
        <v>693102610040</v>
      </c>
      <c r="D723" s="92" t="s">
        <v>744</v>
      </c>
      <c r="E723" s="93" t="s">
        <v>304</v>
      </c>
      <c r="F723" s="94">
        <v>15.0</v>
      </c>
      <c r="G723" s="94">
        <v>7.5</v>
      </c>
      <c r="H723" s="95">
        <v>0.6039999999999999</v>
      </c>
      <c r="I723" s="96">
        <v>7.128</v>
      </c>
      <c r="J723" s="93" t="s">
        <v>31</v>
      </c>
      <c r="K723" s="97"/>
      <c r="L723" s="93" t="str">
        <f t="shared" si="1"/>
        <v/>
      </c>
      <c r="M723" s="98">
        <f t="shared" si="2"/>
        <v>0</v>
      </c>
      <c r="N723" s="77"/>
      <c r="O723" s="90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</row>
    <row r="724" ht="18.0" customHeight="1">
      <c r="A724" s="81"/>
      <c r="B724" s="91" t="str">
        <f>"35086"</f>
        <v>35086</v>
      </c>
      <c r="C724" s="91" t="str">
        <f>"693102350861"</f>
        <v>693102350861</v>
      </c>
      <c r="D724" s="92" t="s">
        <v>745</v>
      </c>
      <c r="E724" s="93" t="s">
        <v>304</v>
      </c>
      <c r="F724" s="94">
        <v>15.0</v>
      </c>
      <c r="G724" s="94">
        <v>7.5</v>
      </c>
      <c r="H724" s="95">
        <v>0.6039999999999999</v>
      </c>
      <c r="I724" s="96">
        <v>7.128</v>
      </c>
      <c r="J724" s="93" t="s">
        <v>31</v>
      </c>
      <c r="K724" s="97"/>
      <c r="L724" s="93" t="str">
        <f t="shared" si="1"/>
        <v/>
      </c>
      <c r="M724" s="98">
        <f t="shared" si="2"/>
        <v>0</v>
      </c>
      <c r="N724" s="77"/>
      <c r="O724" s="90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</row>
    <row r="725" ht="18.0" customHeight="1">
      <c r="A725" s="81"/>
      <c r="B725" s="91" t="str">
        <f>"61-00-65"</f>
        <v>61-00-65</v>
      </c>
      <c r="C725" s="91" t="str">
        <f>"693102100657"</f>
        <v>693102100657</v>
      </c>
      <c r="D725" s="92" t="s">
        <v>746</v>
      </c>
      <c r="E725" s="93" t="s">
        <v>304</v>
      </c>
      <c r="F725" s="94">
        <v>15.0</v>
      </c>
      <c r="G725" s="94">
        <v>7.5</v>
      </c>
      <c r="H725" s="95">
        <v>0.6039999999999999</v>
      </c>
      <c r="I725" s="96">
        <v>7.128</v>
      </c>
      <c r="J725" s="93" t="s">
        <v>31</v>
      </c>
      <c r="K725" s="97"/>
      <c r="L725" s="93" t="str">
        <f t="shared" si="1"/>
        <v/>
      </c>
      <c r="M725" s="98">
        <f t="shared" si="2"/>
        <v>0</v>
      </c>
      <c r="N725" s="77"/>
      <c r="O725" s="90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</row>
    <row r="726" ht="18.0" customHeight="1">
      <c r="A726" s="81"/>
      <c r="B726" s="91" t="str">
        <f>"35018"</f>
        <v>35018</v>
      </c>
      <c r="C726" s="91" t="str">
        <f>"693102350182"</f>
        <v>693102350182</v>
      </c>
      <c r="D726" s="92" t="s">
        <v>747</v>
      </c>
      <c r="E726" s="93" t="s">
        <v>304</v>
      </c>
      <c r="F726" s="94">
        <v>15.0</v>
      </c>
      <c r="G726" s="94">
        <v>7.5</v>
      </c>
      <c r="H726" s="95">
        <v>0.6039999999999999</v>
      </c>
      <c r="I726" s="96">
        <v>7.128</v>
      </c>
      <c r="J726" s="93" t="s">
        <v>31</v>
      </c>
      <c r="K726" s="97"/>
      <c r="L726" s="93" t="str">
        <f t="shared" si="1"/>
        <v/>
      </c>
      <c r="M726" s="98">
        <f t="shared" si="2"/>
        <v>0</v>
      </c>
      <c r="N726" s="77"/>
      <c r="O726" s="90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</row>
    <row r="727" ht="18.0" customHeight="1">
      <c r="A727" s="81"/>
      <c r="B727" s="91" t="str">
        <f>"61-00-31"</f>
        <v>61-00-31</v>
      </c>
      <c r="C727" s="91" t="str">
        <f>"693102100312"</f>
        <v>693102100312</v>
      </c>
      <c r="D727" s="92" t="s">
        <v>748</v>
      </c>
      <c r="E727" s="93" t="s">
        <v>304</v>
      </c>
      <c r="F727" s="94">
        <v>15.0</v>
      </c>
      <c r="G727" s="94">
        <v>7.5</v>
      </c>
      <c r="H727" s="95">
        <v>0.6039999999999999</v>
      </c>
      <c r="I727" s="96">
        <v>7.128</v>
      </c>
      <c r="J727" s="93" t="s">
        <v>31</v>
      </c>
      <c r="K727" s="97"/>
      <c r="L727" s="93" t="str">
        <f t="shared" si="1"/>
        <v/>
      </c>
      <c r="M727" s="98">
        <f t="shared" si="2"/>
        <v>0</v>
      </c>
      <c r="N727" s="77"/>
      <c r="O727" s="90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</row>
    <row r="728" ht="18.0" customHeight="1">
      <c r="A728" s="81"/>
      <c r="B728" s="91" t="str">
        <f>"10032"</f>
        <v>10032</v>
      </c>
      <c r="C728" s="91" t="str">
        <f>"693102100329"</f>
        <v>693102100329</v>
      </c>
      <c r="D728" s="92" t="s">
        <v>749</v>
      </c>
      <c r="E728" s="93" t="s">
        <v>304</v>
      </c>
      <c r="F728" s="94">
        <v>15.0</v>
      </c>
      <c r="G728" s="94">
        <v>7.5</v>
      </c>
      <c r="H728" s="95">
        <v>0.6039999999999999</v>
      </c>
      <c r="I728" s="96">
        <v>7.128</v>
      </c>
      <c r="J728" s="93" t="s">
        <v>31</v>
      </c>
      <c r="K728" s="97"/>
      <c r="L728" s="93" t="str">
        <f t="shared" si="1"/>
        <v/>
      </c>
      <c r="M728" s="98">
        <f t="shared" si="2"/>
        <v>0</v>
      </c>
      <c r="N728" s="77"/>
      <c r="O728" s="90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</row>
    <row r="729" ht="18.0" customHeight="1">
      <c r="A729" s="81"/>
      <c r="B729" s="91" t="str">
        <f>"61-00-33"</f>
        <v>61-00-33</v>
      </c>
      <c r="C729" s="91" t="str">
        <f>"693102100336"</f>
        <v>693102100336</v>
      </c>
      <c r="D729" s="92" t="s">
        <v>750</v>
      </c>
      <c r="E729" s="93" t="s">
        <v>304</v>
      </c>
      <c r="F729" s="94">
        <v>15.0</v>
      </c>
      <c r="G729" s="94">
        <v>7.5</v>
      </c>
      <c r="H729" s="95">
        <v>0.6039999999999999</v>
      </c>
      <c r="I729" s="96">
        <v>7.128</v>
      </c>
      <c r="J729" s="93" t="s">
        <v>31</v>
      </c>
      <c r="K729" s="97"/>
      <c r="L729" s="93" t="str">
        <f t="shared" si="1"/>
        <v/>
      </c>
      <c r="M729" s="98">
        <f t="shared" si="2"/>
        <v>0</v>
      </c>
      <c r="N729" s="77"/>
      <c r="O729" s="90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</row>
    <row r="730" ht="18.0" customHeight="1">
      <c r="A730" s="81"/>
      <c r="B730" s="91" t="str">
        <f>"60-00-56"</f>
        <v>60-00-56</v>
      </c>
      <c r="C730" s="91" t="str">
        <f>"693102000568"</f>
        <v>693102000568</v>
      </c>
      <c r="D730" s="92" t="s">
        <v>751</v>
      </c>
      <c r="E730" s="93" t="s">
        <v>304</v>
      </c>
      <c r="F730" s="94">
        <v>15.0</v>
      </c>
      <c r="G730" s="94">
        <v>7.5</v>
      </c>
      <c r="H730" s="95">
        <v>0.6039999999999999</v>
      </c>
      <c r="I730" s="96">
        <v>7.128</v>
      </c>
      <c r="J730" s="93" t="s">
        <v>31</v>
      </c>
      <c r="K730" s="97"/>
      <c r="L730" s="93" t="str">
        <f t="shared" si="1"/>
        <v/>
      </c>
      <c r="M730" s="98">
        <f t="shared" si="2"/>
        <v>0</v>
      </c>
      <c r="N730" s="77"/>
      <c r="O730" s="90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</row>
    <row r="731" ht="18.0" customHeight="1">
      <c r="A731" s="81"/>
      <c r="B731" s="91" t="str">
        <f>"35030"</f>
        <v>35030</v>
      </c>
      <c r="C731" s="91" t="str">
        <f>"693102350304"</f>
        <v>693102350304</v>
      </c>
      <c r="D731" s="92" t="s">
        <v>752</v>
      </c>
      <c r="E731" s="93" t="s">
        <v>304</v>
      </c>
      <c r="F731" s="94">
        <v>15.0</v>
      </c>
      <c r="G731" s="94">
        <v>7.5</v>
      </c>
      <c r="H731" s="95">
        <v>0.6039999999999999</v>
      </c>
      <c r="I731" s="96">
        <v>7.128</v>
      </c>
      <c r="J731" s="93" t="s">
        <v>31</v>
      </c>
      <c r="K731" s="97"/>
      <c r="L731" s="93" t="str">
        <f t="shared" si="1"/>
        <v/>
      </c>
      <c r="M731" s="98">
        <f t="shared" si="2"/>
        <v>0</v>
      </c>
      <c r="N731" s="77"/>
      <c r="O731" s="90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</row>
    <row r="732" ht="18.0" customHeight="1">
      <c r="A732" s="81"/>
      <c r="B732" s="91" t="str">
        <f>"61-00-39"</f>
        <v>61-00-39</v>
      </c>
      <c r="C732" s="91" t="str">
        <f>"693102100398"</f>
        <v>693102100398</v>
      </c>
      <c r="D732" s="92" t="s">
        <v>753</v>
      </c>
      <c r="E732" s="93" t="s">
        <v>304</v>
      </c>
      <c r="F732" s="94">
        <v>15.0</v>
      </c>
      <c r="G732" s="94">
        <v>7.5</v>
      </c>
      <c r="H732" s="95">
        <v>0.6039999999999999</v>
      </c>
      <c r="I732" s="96">
        <v>7.128</v>
      </c>
      <c r="J732" s="93" t="s">
        <v>31</v>
      </c>
      <c r="K732" s="97"/>
      <c r="L732" s="93" t="str">
        <f t="shared" si="1"/>
        <v/>
      </c>
      <c r="M732" s="98">
        <f t="shared" si="2"/>
        <v>0</v>
      </c>
      <c r="N732" s="77"/>
      <c r="O732" s="90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</row>
    <row r="733" ht="18.0" customHeight="1">
      <c r="A733" s="81"/>
      <c r="B733" s="91" t="str">
        <f>"35031"</f>
        <v>35031</v>
      </c>
      <c r="C733" s="91" t="str">
        <f>"693102350311"</f>
        <v>693102350311</v>
      </c>
      <c r="D733" s="92" t="s">
        <v>754</v>
      </c>
      <c r="E733" s="93" t="s">
        <v>304</v>
      </c>
      <c r="F733" s="94">
        <v>15.0</v>
      </c>
      <c r="G733" s="94">
        <v>7.5</v>
      </c>
      <c r="H733" s="95">
        <v>0.6039999999999999</v>
      </c>
      <c r="I733" s="96">
        <v>7.128</v>
      </c>
      <c r="J733" s="93" t="s">
        <v>31</v>
      </c>
      <c r="K733" s="97"/>
      <c r="L733" s="93" t="str">
        <f t="shared" si="1"/>
        <v/>
      </c>
      <c r="M733" s="98">
        <f t="shared" si="2"/>
        <v>0</v>
      </c>
      <c r="N733" s="77"/>
      <c r="O733" s="90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</row>
    <row r="734" ht="18.0" customHeight="1">
      <c r="A734" s="81"/>
      <c r="B734" s="91" t="str">
        <f>"10603"</f>
        <v>10603</v>
      </c>
      <c r="C734" s="91" t="str">
        <f>"693102106031"</f>
        <v>693102106031</v>
      </c>
      <c r="D734" s="92" t="s">
        <v>755</v>
      </c>
      <c r="E734" s="93" t="s">
        <v>304</v>
      </c>
      <c r="F734" s="94">
        <v>15.0</v>
      </c>
      <c r="G734" s="94">
        <v>7.5</v>
      </c>
      <c r="H734" s="95">
        <v>0.6039999999999999</v>
      </c>
      <c r="I734" s="96">
        <v>7.128</v>
      </c>
      <c r="J734" s="93" t="s">
        <v>31</v>
      </c>
      <c r="K734" s="97"/>
      <c r="L734" s="93" t="str">
        <f t="shared" si="1"/>
        <v/>
      </c>
      <c r="M734" s="98">
        <f t="shared" si="2"/>
        <v>0</v>
      </c>
      <c r="N734" s="77"/>
      <c r="O734" s="90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</row>
    <row r="735" ht="18.0" customHeight="1">
      <c r="A735" s="81"/>
      <c r="B735" s="91" t="str">
        <f>"35058"</f>
        <v>35058</v>
      </c>
      <c r="C735" s="91" t="str">
        <f>"693102350588"</f>
        <v>693102350588</v>
      </c>
      <c r="D735" s="92" t="s">
        <v>756</v>
      </c>
      <c r="E735" s="93" t="s">
        <v>304</v>
      </c>
      <c r="F735" s="94">
        <v>15.0</v>
      </c>
      <c r="G735" s="94">
        <v>7.5</v>
      </c>
      <c r="H735" s="95">
        <v>0.6039999999999999</v>
      </c>
      <c r="I735" s="96">
        <v>7.128</v>
      </c>
      <c r="J735" s="93" t="s">
        <v>31</v>
      </c>
      <c r="K735" s="97"/>
      <c r="L735" s="93" t="str">
        <f t="shared" si="1"/>
        <v/>
      </c>
      <c r="M735" s="98">
        <f t="shared" si="2"/>
        <v>0</v>
      </c>
      <c r="N735" s="77"/>
      <c r="O735" s="90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</row>
    <row r="736" ht="18.0" customHeight="1">
      <c r="A736" s="81"/>
      <c r="B736" s="91" t="str">
        <f>"10608"</f>
        <v>10608</v>
      </c>
      <c r="C736" s="91" t="str">
        <f>"693102106086"</f>
        <v>693102106086</v>
      </c>
      <c r="D736" s="92" t="s">
        <v>757</v>
      </c>
      <c r="E736" s="93" t="s">
        <v>304</v>
      </c>
      <c r="F736" s="94">
        <v>15.0</v>
      </c>
      <c r="G736" s="94">
        <v>7.5</v>
      </c>
      <c r="H736" s="95">
        <v>0.6039999999999999</v>
      </c>
      <c r="I736" s="96">
        <v>7.128</v>
      </c>
      <c r="J736" s="93" t="s">
        <v>31</v>
      </c>
      <c r="K736" s="97"/>
      <c r="L736" s="93" t="str">
        <f t="shared" si="1"/>
        <v/>
      </c>
      <c r="M736" s="98">
        <f t="shared" si="2"/>
        <v>0</v>
      </c>
      <c r="N736" s="77"/>
      <c r="O736" s="90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</row>
    <row r="737" ht="18.0" customHeight="1">
      <c r="A737" s="81"/>
      <c r="B737" s="91" t="str">
        <f>"61-00-55"</f>
        <v>61-00-55</v>
      </c>
      <c r="C737" s="91" t="str">
        <f>"693102100558"</f>
        <v>693102100558</v>
      </c>
      <c r="D737" s="92" t="s">
        <v>758</v>
      </c>
      <c r="E737" s="93" t="s">
        <v>304</v>
      </c>
      <c r="F737" s="94">
        <v>15.0</v>
      </c>
      <c r="G737" s="94">
        <v>7.5</v>
      </c>
      <c r="H737" s="95">
        <v>0.6039999999999999</v>
      </c>
      <c r="I737" s="96">
        <v>7.128</v>
      </c>
      <c r="J737" s="93" t="s">
        <v>31</v>
      </c>
      <c r="K737" s="97"/>
      <c r="L737" s="93" t="str">
        <f t="shared" si="1"/>
        <v/>
      </c>
      <c r="M737" s="98">
        <f t="shared" si="2"/>
        <v>0</v>
      </c>
      <c r="N737" s="77"/>
      <c r="O737" s="90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</row>
    <row r="738" ht="18.0" customHeight="1">
      <c r="A738" s="81"/>
      <c r="B738" s="91" t="str">
        <f>"10609"</f>
        <v>10609</v>
      </c>
      <c r="C738" s="91" t="str">
        <f>"693102106093"</f>
        <v>693102106093</v>
      </c>
      <c r="D738" s="92" t="s">
        <v>759</v>
      </c>
      <c r="E738" s="93" t="s">
        <v>304</v>
      </c>
      <c r="F738" s="94">
        <v>15.0</v>
      </c>
      <c r="G738" s="94">
        <v>7.5</v>
      </c>
      <c r="H738" s="95">
        <v>0.6039999999999999</v>
      </c>
      <c r="I738" s="96">
        <v>7.128</v>
      </c>
      <c r="J738" s="93" t="s">
        <v>31</v>
      </c>
      <c r="K738" s="97"/>
      <c r="L738" s="93" t="str">
        <f t="shared" si="1"/>
        <v/>
      </c>
      <c r="M738" s="98">
        <f t="shared" si="2"/>
        <v>0</v>
      </c>
      <c r="N738" s="77"/>
      <c r="O738" s="90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</row>
    <row r="739" ht="18.0" customHeight="1">
      <c r="A739" s="81"/>
      <c r="B739" s="91" t="str">
        <f>"61-00-44"</f>
        <v>61-00-44</v>
      </c>
      <c r="C739" s="91" t="str">
        <f>"693102100442"</f>
        <v>693102100442</v>
      </c>
      <c r="D739" s="92" t="s">
        <v>760</v>
      </c>
      <c r="E739" s="93" t="s">
        <v>304</v>
      </c>
      <c r="F739" s="94">
        <v>15.0</v>
      </c>
      <c r="G739" s="94">
        <v>7.5</v>
      </c>
      <c r="H739" s="95">
        <v>0.6039999999999999</v>
      </c>
      <c r="I739" s="96">
        <v>7.128</v>
      </c>
      <c r="J739" s="93" t="s">
        <v>31</v>
      </c>
      <c r="K739" s="97"/>
      <c r="L739" s="93" t="str">
        <f t="shared" si="1"/>
        <v/>
      </c>
      <c r="M739" s="98">
        <f t="shared" si="2"/>
        <v>0</v>
      </c>
      <c r="N739" s="77"/>
      <c r="O739" s="90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</row>
    <row r="740" ht="18.0" customHeight="1">
      <c r="A740" s="81"/>
      <c r="B740" s="91" t="str">
        <f>"10034"</f>
        <v>10034</v>
      </c>
      <c r="C740" s="91" t="str">
        <f>"693102100343"</f>
        <v>693102100343</v>
      </c>
      <c r="D740" s="92" t="s">
        <v>761</v>
      </c>
      <c r="E740" s="93" t="s">
        <v>304</v>
      </c>
      <c r="F740" s="94">
        <v>15.0</v>
      </c>
      <c r="G740" s="94">
        <v>7.5</v>
      </c>
      <c r="H740" s="95">
        <v>0.6039999999999999</v>
      </c>
      <c r="I740" s="96">
        <v>7.128</v>
      </c>
      <c r="J740" s="93" t="s">
        <v>31</v>
      </c>
      <c r="K740" s="97"/>
      <c r="L740" s="93" t="str">
        <f t="shared" si="1"/>
        <v/>
      </c>
      <c r="M740" s="98">
        <f t="shared" si="2"/>
        <v>0</v>
      </c>
      <c r="N740" s="77"/>
      <c r="O740" s="90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</row>
    <row r="741" ht="18.0" customHeight="1">
      <c r="A741" s="81"/>
      <c r="B741" s="91" t="str">
        <f>"61-00-54"</f>
        <v>61-00-54</v>
      </c>
      <c r="C741" s="91" t="str">
        <f>"693102100541"</f>
        <v>693102100541</v>
      </c>
      <c r="D741" s="92" t="s">
        <v>762</v>
      </c>
      <c r="E741" s="93" t="s">
        <v>304</v>
      </c>
      <c r="F741" s="94">
        <v>15.0</v>
      </c>
      <c r="G741" s="94">
        <v>7.5</v>
      </c>
      <c r="H741" s="95">
        <v>0.6039999999999999</v>
      </c>
      <c r="I741" s="96">
        <v>7.128</v>
      </c>
      <c r="J741" s="93" t="s">
        <v>31</v>
      </c>
      <c r="K741" s="97"/>
      <c r="L741" s="93" t="str">
        <f t="shared" si="1"/>
        <v/>
      </c>
      <c r="M741" s="98">
        <f t="shared" si="2"/>
        <v>0</v>
      </c>
      <c r="N741" s="77"/>
      <c r="O741" s="90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</row>
    <row r="742" ht="18.0" customHeight="1">
      <c r="A742" s="81"/>
      <c r="B742" s="91" t="str">
        <f>"35089"</f>
        <v>35089</v>
      </c>
      <c r="C742" s="91" t="str">
        <f>"693102350892"</f>
        <v>693102350892</v>
      </c>
      <c r="D742" s="92" t="s">
        <v>763</v>
      </c>
      <c r="E742" s="93" t="s">
        <v>304</v>
      </c>
      <c r="F742" s="94">
        <v>15.0</v>
      </c>
      <c r="G742" s="94">
        <v>7.5</v>
      </c>
      <c r="H742" s="95">
        <v>0.6039999999999999</v>
      </c>
      <c r="I742" s="96">
        <v>7.128</v>
      </c>
      <c r="J742" s="93" t="s">
        <v>31</v>
      </c>
      <c r="K742" s="97"/>
      <c r="L742" s="93" t="str">
        <f t="shared" si="1"/>
        <v/>
      </c>
      <c r="M742" s="98">
        <f t="shared" si="2"/>
        <v>0</v>
      </c>
      <c r="N742" s="77"/>
      <c r="O742" s="90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</row>
    <row r="743" ht="18.0" customHeight="1">
      <c r="A743" s="81"/>
      <c r="B743" s="91" t="str">
        <f>"58-61-00"</f>
        <v>58-61-00</v>
      </c>
      <c r="C743" s="91" t="str">
        <f>"693102861008"</f>
        <v>693102861008</v>
      </c>
      <c r="D743" s="92" t="s">
        <v>764</v>
      </c>
      <c r="E743" s="93" t="s">
        <v>304</v>
      </c>
      <c r="F743" s="94">
        <v>15.0</v>
      </c>
      <c r="G743" s="94">
        <v>7.5</v>
      </c>
      <c r="H743" s="95">
        <v>0.6039999999999999</v>
      </c>
      <c r="I743" s="96">
        <v>7.128</v>
      </c>
      <c r="J743" s="93" t="s">
        <v>31</v>
      </c>
      <c r="K743" s="97"/>
      <c r="L743" s="93" t="str">
        <f t="shared" si="1"/>
        <v/>
      </c>
      <c r="M743" s="98">
        <f t="shared" si="2"/>
        <v>0</v>
      </c>
      <c r="N743" s="77"/>
      <c r="O743" s="90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</row>
    <row r="744" ht="18.0" customHeight="1">
      <c r="A744" s="81"/>
      <c r="B744" s="91" t="str">
        <f>"30905"</f>
        <v>30905</v>
      </c>
      <c r="C744" s="91" t="str">
        <f>"693102309050"</f>
        <v>693102309050</v>
      </c>
      <c r="D744" s="92" t="s">
        <v>765</v>
      </c>
      <c r="E744" s="93" t="s">
        <v>248</v>
      </c>
      <c r="F744" s="94">
        <v>24.0</v>
      </c>
      <c r="G744" s="94">
        <v>12.0</v>
      </c>
      <c r="H744" s="95">
        <v>0.604</v>
      </c>
      <c r="I744" s="96">
        <v>11.4048</v>
      </c>
      <c r="J744" s="93" t="s">
        <v>31</v>
      </c>
      <c r="K744" s="97"/>
      <c r="L744" s="93" t="str">
        <f t="shared" si="1"/>
        <v/>
      </c>
      <c r="M744" s="98">
        <f t="shared" si="2"/>
        <v>0</v>
      </c>
      <c r="N744" s="77"/>
      <c r="O744" s="90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</row>
    <row r="745" ht="18.0" customHeight="1">
      <c r="A745" s="81"/>
      <c r="B745" s="91" t="str">
        <f>"30911"</f>
        <v>30911</v>
      </c>
      <c r="C745" s="91" t="str">
        <f>"693102309111"</f>
        <v>693102309111</v>
      </c>
      <c r="D745" s="92" t="s">
        <v>766</v>
      </c>
      <c r="E745" s="93" t="s">
        <v>248</v>
      </c>
      <c r="F745" s="94">
        <v>24.0</v>
      </c>
      <c r="G745" s="94">
        <v>12.0</v>
      </c>
      <c r="H745" s="95">
        <v>0.604</v>
      </c>
      <c r="I745" s="96">
        <v>11.4048</v>
      </c>
      <c r="J745" s="93" t="s">
        <v>31</v>
      </c>
      <c r="K745" s="97"/>
      <c r="L745" s="93" t="str">
        <f t="shared" si="1"/>
        <v/>
      </c>
      <c r="M745" s="98">
        <f t="shared" si="2"/>
        <v>0</v>
      </c>
      <c r="N745" s="77"/>
      <c r="O745" s="90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</row>
    <row r="746" ht="18.0" customHeight="1">
      <c r="A746" s="81"/>
      <c r="B746" s="91" t="str">
        <f>"30912"</f>
        <v>30912</v>
      </c>
      <c r="C746" s="91" t="str">
        <f>"693102309128"</f>
        <v>693102309128</v>
      </c>
      <c r="D746" s="92" t="s">
        <v>767</v>
      </c>
      <c r="E746" s="93" t="s">
        <v>248</v>
      </c>
      <c r="F746" s="94">
        <v>24.0</v>
      </c>
      <c r="G746" s="94">
        <v>12.0</v>
      </c>
      <c r="H746" s="95">
        <v>0.604</v>
      </c>
      <c r="I746" s="96">
        <v>11.4048</v>
      </c>
      <c r="J746" s="93" t="s">
        <v>31</v>
      </c>
      <c r="K746" s="97"/>
      <c r="L746" s="93" t="str">
        <f t="shared" si="1"/>
        <v/>
      </c>
      <c r="M746" s="98">
        <f t="shared" si="2"/>
        <v>0</v>
      </c>
      <c r="N746" s="77"/>
      <c r="O746" s="90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</row>
    <row r="747" ht="18.0" customHeight="1">
      <c r="A747" s="81"/>
      <c r="B747" s="91" t="str">
        <f>"58-71-01"</f>
        <v>58-71-01</v>
      </c>
      <c r="C747" s="91" t="str">
        <f>"693102871014"</f>
        <v>693102871014</v>
      </c>
      <c r="D747" s="92" t="s">
        <v>768</v>
      </c>
      <c r="E747" s="93" t="s">
        <v>515</v>
      </c>
      <c r="F747" s="94">
        <v>15.0</v>
      </c>
      <c r="G747" s="94">
        <v>7.5</v>
      </c>
      <c r="H747" s="95">
        <v>0.6039999999999999</v>
      </c>
      <c r="I747" s="96">
        <v>7.128</v>
      </c>
      <c r="J747" s="93" t="s">
        <v>31</v>
      </c>
      <c r="K747" s="97"/>
      <c r="L747" s="93" t="str">
        <f t="shared" si="1"/>
        <v/>
      </c>
      <c r="M747" s="98">
        <f t="shared" si="2"/>
        <v>0</v>
      </c>
      <c r="N747" s="77"/>
      <c r="O747" s="90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</row>
    <row r="748" ht="18.0" customHeight="1">
      <c r="A748" s="81"/>
      <c r="B748" s="91" t="str">
        <f>"63-00-79"</f>
        <v>63-00-79</v>
      </c>
      <c r="C748" s="91" t="str">
        <f>"693102300798"</f>
        <v>693102300798</v>
      </c>
      <c r="D748" s="92" t="s">
        <v>769</v>
      </c>
      <c r="E748" s="93" t="s">
        <v>515</v>
      </c>
      <c r="F748" s="94">
        <v>15.0</v>
      </c>
      <c r="G748" s="94">
        <v>7.5</v>
      </c>
      <c r="H748" s="95">
        <v>0.6039999999999999</v>
      </c>
      <c r="I748" s="96">
        <v>7.128</v>
      </c>
      <c r="J748" s="93" t="s">
        <v>31</v>
      </c>
      <c r="K748" s="97"/>
      <c r="L748" s="93" t="str">
        <f t="shared" si="1"/>
        <v/>
      </c>
      <c r="M748" s="98">
        <f t="shared" si="2"/>
        <v>0</v>
      </c>
      <c r="N748" s="77"/>
      <c r="O748" s="90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</row>
    <row r="749" ht="18.0" customHeight="1">
      <c r="A749" s="81"/>
      <c r="B749" s="91" t="str">
        <f>"57-10-95"</f>
        <v>57-10-95</v>
      </c>
      <c r="C749" s="91" t="str">
        <f>"693102710955"</f>
        <v>693102710955</v>
      </c>
      <c r="D749" s="92" t="s">
        <v>770</v>
      </c>
      <c r="E749" s="93" t="s">
        <v>515</v>
      </c>
      <c r="F749" s="94">
        <v>15.0</v>
      </c>
      <c r="G749" s="94">
        <v>7.5</v>
      </c>
      <c r="H749" s="95">
        <v>0.6039999999999999</v>
      </c>
      <c r="I749" s="96">
        <v>7.128</v>
      </c>
      <c r="J749" s="93" t="s">
        <v>31</v>
      </c>
      <c r="K749" s="97"/>
      <c r="L749" s="93" t="str">
        <f t="shared" si="1"/>
        <v/>
      </c>
      <c r="M749" s="98">
        <f t="shared" si="2"/>
        <v>0</v>
      </c>
      <c r="N749" s="77"/>
      <c r="O749" s="90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</row>
    <row r="750" ht="18.0" customHeight="1">
      <c r="A750" s="81"/>
      <c r="B750" s="91" t="str">
        <f>"53064"</f>
        <v>53064</v>
      </c>
      <c r="C750" s="91" t="str">
        <f>"693102530645"</f>
        <v>693102530645</v>
      </c>
      <c r="D750" s="92" t="s">
        <v>771</v>
      </c>
      <c r="E750" s="93" t="s">
        <v>515</v>
      </c>
      <c r="F750" s="94">
        <v>15.0</v>
      </c>
      <c r="G750" s="94">
        <v>7.5</v>
      </c>
      <c r="H750" s="95">
        <v>0.6039999999999999</v>
      </c>
      <c r="I750" s="96">
        <v>7.128</v>
      </c>
      <c r="J750" s="93" t="s">
        <v>31</v>
      </c>
      <c r="K750" s="97"/>
      <c r="L750" s="93" t="str">
        <f t="shared" si="1"/>
        <v/>
      </c>
      <c r="M750" s="98">
        <f t="shared" si="2"/>
        <v>0</v>
      </c>
      <c r="N750" s="77"/>
      <c r="O750" s="90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</row>
    <row r="751" ht="18.0" customHeight="1">
      <c r="A751" s="81"/>
      <c r="B751" s="91" t="str">
        <f>"41780"</f>
        <v>41780</v>
      </c>
      <c r="C751" s="91" t="str">
        <f>"693102417809"</f>
        <v>693102417809</v>
      </c>
      <c r="D751" s="92" t="s">
        <v>772</v>
      </c>
      <c r="E751" s="93" t="s">
        <v>375</v>
      </c>
      <c r="F751" s="94">
        <v>19.0</v>
      </c>
      <c r="G751" s="94">
        <v>9.5</v>
      </c>
      <c r="H751" s="95">
        <v>0.604</v>
      </c>
      <c r="I751" s="96">
        <v>9.0288</v>
      </c>
      <c r="J751" s="93" t="s">
        <v>31</v>
      </c>
      <c r="K751" s="97"/>
      <c r="L751" s="93" t="str">
        <f t="shared" si="1"/>
        <v/>
      </c>
      <c r="M751" s="98">
        <f t="shared" si="2"/>
        <v>0</v>
      </c>
      <c r="N751" s="77"/>
      <c r="O751" s="90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</row>
    <row r="752" ht="18.0" customHeight="1">
      <c r="A752" s="81"/>
      <c r="B752" s="91" t="str">
        <f>"49-00-79"</f>
        <v>49-00-79</v>
      </c>
      <c r="C752" s="91" t="str">
        <f>"693102417793"</f>
        <v>693102417793</v>
      </c>
      <c r="D752" s="92" t="s">
        <v>773</v>
      </c>
      <c r="E752" s="93" t="s">
        <v>375</v>
      </c>
      <c r="F752" s="94">
        <v>19.0</v>
      </c>
      <c r="G752" s="94">
        <v>9.5</v>
      </c>
      <c r="H752" s="95">
        <v>0.604</v>
      </c>
      <c r="I752" s="96">
        <v>9.0288</v>
      </c>
      <c r="J752" s="93" t="s">
        <v>31</v>
      </c>
      <c r="K752" s="97"/>
      <c r="L752" s="93" t="str">
        <f t="shared" si="1"/>
        <v/>
      </c>
      <c r="M752" s="98">
        <f t="shared" si="2"/>
        <v>0</v>
      </c>
      <c r="N752" s="77"/>
      <c r="O752" s="90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</row>
    <row r="753" ht="18.0" customHeight="1">
      <c r="A753" s="81"/>
      <c r="B753" s="91" t="str">
        <f>"49-33-78"</f>
        <v>49-33-78</v>
      </c>
      <c r="C753" s="91" t="str">
        <f>"693102933781"</f>
        <v>693102933781</v>
      </c>
      <c r="D753" s="92" t="s">
        <v>774</v>
      </c>
      <c r="E753" s="93" t="s">
        <v>375</v>
      </c>
      <c r="F753" s="94">
        <v>19.0</v>
      </c>
      <c r="G753" s="94">
        <v>9.5</v>
      </c>
      <c r="H753" s="95">
        <v>0.604</v>
      </c>
      <c r="I753" s="96">
        <v>9.0288</v>
      </c>
      <c r="J753" s="93" t="s">
        <v>31</v>
      </c>
      <c r="K753" s="97"/>
      <c r="L753" s="93" t="str">
        <f t="shared" si="1"/>
        <v/>
      </c>
      <c r="M753" s="98">
        <f t="shared" si="2"/>
        <v>0</v>
      </c>
      <c r="N753" s="77"/>
      <c r="O753" s="90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</row>
    <row r="754" ht="18.0" customHeight="1">
      <c r="A754" s="81"/>
      <c r="B754" s="91" t="str">
        <f>"51-32-02"</f>
        <v>51-32-02</v>
      </c>
      <c r="C754" s="91" t="str">
        <f>"693102132023"</f>
        <v>693102132023</v>
      </c>
      <c r="D754" s="92" t="s">
        <v>775</v>
      </c>
      <c r="E754" s="93" t="s">
        <v>375</v>
      </c>
      <c r="F754" s="94">
        <v>19.0</v>
      </c>
      <c r="G754" s="94">
        <v>9.5</v>
      </c>
      <c r="H754" s="95">
        <v>0.604</v>
      </c>
      <c r="I754" s="96">
        <v>9.0288</v>
      </c>
      <c r="J754" s="93" t="s">
        <v>31</v>
      </c>
      <c r="K754" s="97"/>
      <c r="L754" s="93" t="str">
        <f t="shared" si="1"/>
        <v/>
      </c>
      <c r="M754" s="98">
        <f t="shared" si="2"/>
        <v>0</v>
      </c>
      <c r="N754" s="77"/>
      <c r="O754" s="90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</row>
    <row r="755" ht="18.0" customHeight="1">
      <c r="A755" s="81"/>
      <c r="B755" s="91" t="str">
        <f>"51-33-84"</f>
        <v>51-33-84</v>
      </c>
      <c r="C755" s="91" t="str">
        <f>"693102133846"</f>
        <v>693102133846</v>
      </c>
      <c r="D755" s="92" t="s">
        <v>776</v>
      </c>
      <c r="E755" s="93" t="s">
        <v>375</v>
      </c>
      <c r="F755" s="94">
        <v>19.0</v>
      </c>
      <c r="G755" s="94">
        <v>9.5</v>
      </c>
      <c r="H755" s="95">
        <v>0.604</v>
      </c>
      <c r="I755" s="96">
        <v>9.0288</v>
      </c>
      <c r="J755" s="93" t="s">
        <v>31</v>
      </c>
      <c r="K755" s="97"/>
      <c r="L755" s="93" t="str">
        <f t="shared" si="1"/>
        <v/>
      </c>
      <c r="M755" s="98">
        <f t="shared" si="2"/>
        <v>0</v>
      </c>
      <c r="N755" s="77"/>
      <c r="O755" s="90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</row>
    <row r="756" ht="18.0" customHeight="1">
      <c r="A756" s="81"/>
      <c r="B756" s="91" t="str">
        <f>"51-31-92"</f>
        <v>51-31-92</v>
      </c>
      <c r="C756" s="91" t="str">
        <f>"693102131927"</f>
        <v>693102131927</v>
      </c>
      <c r="D756" s="92" t="s">
        <v>777</v>
      </c>
      <c r="E756" s="93" t="s">
        <v>375</v>
      </c>
      <c r="F756" s="94">
        <v>19.0</v>
      </c>
      <c r="G756" s="94">
        <v>9.5</v>
      </c>
      <c r="H756" s="95">
        <v>0.604</v>
      </c>
      <c r="I756" s="96">
        <v>9.0288</v>
      </c>
      <c r="J756" s="93" t="s">
        <v>31</v>
      </c>
      <c r="K756" s="97"/>
      <c r="L756" s="93" t="str">
        <f t="shared" si="1"/>
        <v/>
      </c>
      <c r="M756" s="98">
        <f t="shared" si="2"/>
        <v>0</v>
      </c>
      <c r="N756" s="77"/>
      <c r="O756" s="90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</row>
    <row r="757" ht="18.0" customHeight="1">
      <c r="A757" s="81"/>
      <c r="B757" s="91" t="str">
        <f>"49-00-06"</f>
        <v>49-00-06</v>
      </c>
      <c r="C757" s="91" t="str">
        <f>"693102900066"</f>
        <v>693102900066</v>
      </c>
      <c r="D757" s="92" t="s">
        <v>778</v>
      </c>
      <c r="E757" s="93" t="s">
        <v>375</v>
      </c>
      <c r="F757" s="94">
        <v>19.0</v>
      </c>
      <c r="G757" s="94">
        <v>9.5</v>
      </c>
      <c r="H757" s="95">
        <v>0.604</v>
      </c>
      <c r="I757" s="96">
        <v>9.0288</v>
      </c>
      <c r="J757" s="93" t="s">
        <v>31</v>
      </c>
      <c r="K757" s="97"/>
      <c r="L757" s="93" t="str">
        <f t="shared" si="1"/>
        <v/>
      </c>
      <c r="M757" s="98">
        <f t="shared" si="2"/>
        <v>0</v>
      </c>
      <c r="N757" s="77"/>
      <c r="O757" s="90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</row>
    <row r="758" ht="18.0" customHeight="1">
      <c r="A758" s="81"/>
      <c r="B758" s="91" t="str">
        <f>"49-00-20"</f>
        <v>49-00-20</v>
      </c>
      <c r="C758" s="91" t="str">
        <f>"693102900202"</f>
        <v>693102900202</v>
      </c>
      <c r="D758" s="92" t="s">
        <v>779</v>
      </c>
      <c r="E758" s="93" t="s">
        <v>375</v>
      </c>
      <c r="F758" s="94">
        <v>19.0</v>
      </c>
      <c r="G758" s="94">
        <v>9.5</v>
      </c>
      <c r="H758" s="95">
        <v>0.604</v>
      </c>
      <c r="I758" s="96">
        <v>9.0288</v>
      </c>
      <c r="J758" s="93" t="s">
        <v>31</v>
      </c>
      <c r="K758" s="97"/>
      <c r="L758" s="93" t="str">
        <f t="shared" si="1"/>
        <v/>
      </c>
      <c r="M758" s="98">
        <f t="shared" si="2"/>
        <v>0</v>
      </c>
      <c r="N758" s="77"/>
      <c r="O758" s="90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</row>
    <row r="759" ht="18.0" customHeight="1">
      <c r="A759" s="81"/>
      <c r="B759" s="91" t="str">
        <f>"49-33-80"</f>
        <v>49-33-80</v>
      </c>
      <c r="C759" s="91" t="str">
        <f>"693102933804"</f>
        <v>693102933804</v>
      </c>
      <c r="D759" s="92" t="s">
        <v>780</v>
      </c>
      <c r="E759" s="93" t="s">
        <v>375</v>
      </c>
      <c r="F759" s="94">
        <v>19.0</v>
      </c>
      <c r="G759" s="94">
        <v>9.5</v>
      </c>
      <c r="H759" s="95">
        <v>0.604</v>
      </c>
      <c r="I759" s="96">
        <v>9.0288</v>
      </c>
      <c r="J759" s="93" t="s">
        <v>31</v>
      </c>
      <c r="K759" s="97"/>
      <c r="L759" s="93" t="str">
        <f t="shared" si="1"/>
        <v/>
      </c>
      <c r="M759" s="98">
        <f t="shared" si="2"/>
        <v>0</v>
      </c>
      <c r="N759" s="77"/>
      <c r="O759" s="90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</row>
    <row r="760" ht="18.0" customHeight="1">
      <c r="A760" s="81"/>
      <c r="B760" s="91" t="str">
        <f>"51-33-49"</f>
        <v>51-33-49</v>
      </c>
      <c r="C760" s="91" t="str">
        <f>"693102133495"</f>
        <v>693102133495</v>
      </c>
      <c r="D760" s="92" t="s">
        <v>781</v>
      </c>
      <c r="E760" s="93" t="s">
        <v>375</v>
      </c>
      <c r="F760" s="94">
        <v>19.0</v>
      </c>
      <c r="G760" s="94">
        <v>9.5</v>
      </c>
      <c r="H760" s="95">
        <v>0.604</v>
      </c>
      <c r="I760" s="96">
        <v>9.0288</v>
      </c>
      <c r="J760" s="93" t="s">
        <v>31</v>
      </c>
      <c r="K760" s="97"/>
      <c r="L760" s="93" t="str">
        <f t="shared" si="1"/>
        <v/>
      </c>
      <c r="M760" s="98">
        <f t="shared" si="2"/>
        <v>0</v>
      </c>
      <c r="N760" s="77"/>
      <c r="O760" s="90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</row>
    <row r="761" ht="18.0" customHeight="1">
      <c r="A761" s="81"/>
      <c r="B761" s="91" t="str">
        <f>"51-31-99"</f>
        <v>51-31-99</v>
      </c>
      <c r="C761" s="91" t="str">
        <f>"693102131996"</f>
        <v>693102131996</v>
      </c>
      <c r="D761" s="92" t="s">
        <v>782</v>
      </c>
      <c r="E761" s="93" t="s">
        <v>375</v>
      </c>
      <c r="F761" s="94">
        <v>19.0</v>
      </c>
      <c r="G761" s="94">
        <v>9.5</v>
      </c>
      <c r="H761" s="95">
        <v>0.604</v>
      </c>
      <c r="I761" s="96">
        <v>9.0288</v>
      </c>
      <c r="J761" s="93" t="s">
        <v>31</v>
      </c>
      <c r="K761" s="97"/>
      <c r="L761" s="93" t="str">
        <f t="shared" si="1"/>
        <v/>
      </c>
      <c r="M761" s="98">
        <f t="shared" si="2"/>
        <v>0</v>
      </c>
      <c r="N761" s="77"/>
      <c r="O761" s="90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</row>
    <row r="762" ht="18.0" customHeight="1">
      <c r="A762" s="81"/>
      <c r="B762" s="91" t="str">
        <f>"51-32-03"</f>
        <v>51-32-03</v>
      </c>
      <c r="C762" s="91" t="str">
        <f>"693102132030"</f>
        <v>693102132030</v>
      </c>
      <c r="D762" s="92" t="s">
        <v>783</v>
      </c>
      <c r="E762" s="93" t="s">
        <v>375</v>
      </c>
      <c r="F762" s="94">
        <v>19.0</v>
      </c>
      <c r="G762" s="94">
        <v>9.5</v>
      </c>
      <c r="H762" s="95">
        <v>0.604</v>
      </c>
      <c r="I762" s="96">
        <v>9.0288</v>
      </c>
      <c r="J762" s="93" t="s">
        <v>31</v>
      </c>
      <c r="K762" s="97"/>
      <c r="L762" s="93" t="str">
        <f t="shared" si="1"/>
        <v/>
      </c>
      <c r="M762" s="98">
        <f t="shared" si="2"/>
        <v>0</v>
      </c>
      <c r="N762" s="77"/>
      <c r="O762" s="90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</row>
    <row r="763" ht="18.0" customHeight="1">
      <c r="A763" s="81"/>
      <c r="B763" s="91" t="str">
        <f>"51-31-94"</f>
        <v>51-31-94</v>
      </c>
      <c r="C763" s="91" t="str">
        <f>"693102131941"</f>
        <v>693102131941</v>
      </c>
      <c r="D763" s="92" t="s">
        <v>784</v>
      </c>
      <c r="E763" s="93" t="s">
        <v>375</v>
      </c>
      <c r="F763" s="94">
        <v>19.0</v>
      </c>
      <c r="G763" s="94">
        <v>9.5</v>
      </c>
      <c r="H763" s="95">
        <v>0.604</v>
      </c>
      <c r="I763" s="96">
        <v>9.0288</v>
      </c>
      <c r="J763" s="93" t="s">
        <v>31</v>
      </c>
      <c r="K763" s="97"/>
      <c r="L763" s="93" t="str">
        <f t="shared" si="1"/>
        <v/>
      </c>
      <c r="M763" s="98">
        <f t="shared" si="2"/>
        <v>0</v>
      </c>
      <c r="N763" s="77"/>
      <c r="O763" s="90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</row>
    <row r="764" ht="18.0" customHeight="1">
      <c r="A764" s="81"/>
      <c r="B764" s="91" t="str">
        <f>"51-31-98"</f>
        <v>51-31-98</v>
      </c>
      <c r="C764" s="91" t="str">
        <f>"693102131989"</f>
        <v>693102131989</v>
      </c>
      <c r="D764" s="92" t="s">
        <v>785</v>
      </c>
      <c r="E764" s="93" t="s">
        <v>375</v>
      </c>
      <c r="F764" s="94">
        <v>19.0</v>
      </c>
      <c r="G764" s="94">
        <v>9.5</v>
      </c>
      <c r="H764" s="95">
        <v>0.604</v>
      </c>
      <c r="I764" s="96">
        <v>9.0288</v>
      </c>
      <c r="J764" s="93" t="s">
        <v>31</v>
      </c>
      <c r="K764" s="97"/>
      <c r="L764" s="93" t="str">
        <f t="shared" si="1"/>
        <v/>
      </c>
      <c r="M764" s="98">
        <f t="shared" si="2"/>
        <v>0</v>
      </c>
      <c r="N764" s="77"/>
      <c r="O764" s="90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</row>
    <row r="765" ht="18.0" customHeight="1">
      <c r="A765" s="81"/>
      <c r="B765" s="91" t="str">
        <f>"51-31-93"</f>
        <v>51-31-93</v>
      </c>
      <c r="C765" s="91" t="str">
        <f>"693102131934"</f>
        <v>693102131934</v>
      </c>
      <c r="D765" s="92" t="s">
        <v>786</v>
      </c>
      <c r="E765" s="93" t="s">
        <v>375</v>
      </c>
      <c r="F765" s="94">
        <v>19.0</v>
      </c>
      <c r="G765" s="94">
        <v>9.5</v>
      </c>
      <c r="H765" s="95">
        <v>0.604</v>
      </c>
      <c r="I765" s="96">
        <v>9.0288</v>
      </c>
      <c r="J765" s="93" t="s">
        <v>31</v>
      </c>
      <c r="K765" s="97"/>
      <c r="L765" s="93" t="str">
        <f t="shared" si="1"/>
        <v/>
      </c>
      <c r="M765" s="98">
        <f t="shared" si="2"/>
        <v>0</v>
      </c>
      <c r="N765" s="77"/>
      <c r="O765" s="90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</row>
    <row r="766" ht="18.0" customHeight="1">
      <c r="A766" s="81"/>
      <c r="B766" s="91" t="str">
        <f>"49-10-70"</f>
        <v>49-10-70</v>
      </c>
      <c r="C766" s="91" t="str">
        <f>"693102910706"</f>
        <v>693102910706</v>
      </c>
      <c r="D766" s="92" t="s">
        <v>787</v>
      </c>
      <c r="E766" s="93" t="s">
        <v>375</v>
      </c>
      <c r="F766" s="94">
        <v>19.0</v>
      </c>
      <c r="G766" s="94">
        <v>9.5</v>
      </c>
      <c r="H766" s="95">
        <v>0.604</v>
      </c>
      <c r="I766" s="96">
        <v>9.0288</v>
      </c>
      <c r="J766" s="93" t="s">
        <v>31</v>
      </c>
      <c r="K766" s="97"/>
      <c r="L766" s="93" t="str">
        <f t="shared" si="1"/>
        <v/>
      </c>
      <c r="M766" s="98">
        <f t="shared" si="2"/>
        <v>0</v>
      </c>
      <c r="N766" s="77"/>
      <c r="O766" s="90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</row>
    <row r="767" ht="18.0" customHeight="1">
      <c r="A767" s="81"/>
      <c r="B767" s="91" t="str">
        <f>"49-00-57"</f>
        <v>49-00-57</v>
      </c>
      <c r="C767" s="91" t="str">
        <f>"693102900578"</f>
        <v>693102900578</v>
      </c>
      <c r="D767" s="92" t="s">
        <v>788</v>
      </c>
      <c r="E767" s="93" t="s">
        <v>375</v>
      </c>
      <c r="F767" s="94">
        <v>19.0</v>
      </c>
      <c r="G767" s="94">
        <v>9.5</v>
      </c>
      <c r="H767" s="95">
        <v>0.604</v>
      </c>
      <c r="I767" s="96">
        <v>9.0288</v>
      </c>
      <c r="J767" s="93" t="s">
        <v>31</v>
      </c>
      <c r="K767" s="97"/>
      <c r="L767" s="93" t="str">
        <f t="shared" si="1"/>
        <v/>
      </c>
      <c r="M767" s="98">
        <f t="shared" si="2"/>
        <v>0</v>
      </c>
      <c r="N767" s="77"/>
      <c r="O767" s="90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</row>
    <row r="768" ht="18.0" customHeight="1">
      <c r="A768" s="81"/>
      <c r="B768" s="91" t="str">
        <f>"51-32-00"</f>
        <v>51-32-00</v>
      </c>
      <c r="C768" s="91" t="str">
        <f>"693102132009"</f>
        <v>693102132009</v>
      </c>
      <c r="D768" s="92" t="s">
        <v>789</v>
      </c>
      <c r="E768" s="93" t="s">
        <v>375</v>
      </c>
      <c r="F768" s="94">
        <v>19.0</v>
      </c>
      <c r="G768" s="94">
        <v>9.5</v>
      </c>
      <c r="H768" s="95">
        <v>0.604</v>
      </c>
      <c r="I768" s="96">
        <v>9.0288</v>
      </c>
      <c r="J768" s="93" t="s">
        <v>31</v>
      </c>
      <c r="K768" s="97"/>
      <c r="L768" s="93" t="str">
        <f t="shared" si="1"/>
        <v/>
      </c>
      <c r="M768" s="98">
        <f t="shared" si="2"/>
        <v>0</v>
      </c>
      <c r="N768" s="77"/>
      <c r="O768" s="90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</row>
    <row r="769" ht="18.0" customHeight="1">
      <c r="A769" s="81"/>
      <c r="B769" s="91" t="str">
        <f>"49-33-87"</f>
        <v>49-33-87</v>
      </c>
      <c r="C769" s="91" t="str">
        <f>"693102933873"</f>
        <v>693102933873</v>
      </c>
      <c r="D769" s="92" t="s">
        <v>790</v>
      </c>
      <c r="E769" s="93" t="s">
        <v>375</v>
      </c>
      <c r="F769" s="94">
        <v>19.0</v>
      </c>
      <c r="G769" s="94">
        <v>9.5</v>
      </c>
      <c r="H769" s="95">
        <v>0.604</v>
      </c>
      <c r="I769" s="96">
        <v>9.0288</v>
      </c>
      <c r="J769" s="93" t="s">
        <v>31</v>
      </c>
      <c r="K769" s="97"/>
      <c r="L769" s="93" t="str">
        <f t="shared" si="1"/>
        <v/>
      </c>
      <c r="M769" s="98">
        <f t="shared" si="2"/>
        <v>0</v>
      </c>
      <c r="N769" s="77"/>
      <c r="O769" s="90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</row>
    <row r="770" ht="18.0" customHeight="1">
      <c r="A770" s="81"/>
      <c r="B770" s="91" t="str">
        <f>"49-10-88"</f>
        <v>49-10-88</v>
      </c>
      <c r="C770" s="91" t="str">
        <f>"693102910881"</f>
        <v>693102910881</v>
      </c>
      <c r="D770" s="92" t="s">
        <v>791</v>
      </c>
      <c r="E770" s="93" t="s">
        <v>375</v>
      </c>
      <c r="F770" s="94">
        <v>19.0</v>
      </c>
      <c r="G770" s="94">
        <v>9.5</v>
      </c>
      <c r="H770" s="95">
        <v>0.604</v>
      </c>
      <c r="I770" s="96">
        <v>9.0288</v>
      </c>
      <c r="J770" s="93" t="s">
        <v>31</v>
      </c>
      <c r="K770" s="97"/>
      <c r="L770" s="93" t="str">
        <f t="shared" si="1"/>
        <v/>
      </c>
      <c r="M770" s="98">
        <f t="shared" si="2"/>
        <v>0</v>
      </c>
      <c r="N770" s="77"/>
      <c r="O770" s="90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</row>
    <row r="771" ht="18.0" customHeight="1">
      <c r="A771" s="81"/>
      <c r="B771" s="91" t="str">
        <f>"49-00-72"</f>
        <v>49-00-72</v>
      </c>
      <c r="C771" s="91" t="str">
        <f>"693102417724"</f>
        <v>693102417724</v>
      </c>
      <c r="D771" s="92" t="s">
        <v>792</v>
      </c>
      <c r="E771" s="93" t="s">
        <v>375</v>
      </c>
      <c r="F771" s="94">
        <v>19.0</v>
      </c>
      <c r="G771" s="94">
        <v>9.5</v>
      </c>
      <c r="H771" s="95">
        <v>0.604</v>
      </c>
      <c r="I771" s="96">
        <v>9.0288</v>
      </c>
      <c r="J771" s="93" t="s">
        <v>31</v>
      </c>
      <c r="K771" s="97"/>
      <c r="L771" s="93" t="str">
        <f t="shared" si="1"/>
        <v/>
      </c>
      <c r="M771" s="98">
        <f t="shared" si="2"/>
        <v>0</v>
      </c>
      <c r="N771" s="77"/>
      <c r="O771" s="90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</row>
    <row r="772" ht="18.0" customHeight="1">
      <c r="A772" s="81"/>
      <c r="B772" s="91" t="str">
        <f>"49-33-76"</f>
        <v>49-33-76</v>
      </c>
      <c r="C772" s="91" t="str">
        <f>"693102933767"</f>
        <v>693102933767</v>
      </c>
      <c r="D772" s="92" t="s">
        <v>793</v>
      </c>
      <c r="E772" s="93" t="s">
        <v>375</v>
      </c>
      <c r="F772" s="94">
        <v>19.0</v>
      </c>
      <c r="G772" s="94">
        <v>9.5</v>
      </c>
      <c r="H772" s="95">
        <v>0.604</v>
      </c>
      <c r="I772" s="96">
        <v>9.0288</v>
      </c>
      <c r="J772" s="93" t="s">
        <v>31</v>
      </c>
      <c r="K772" s="97"/>
      <c r="L772" s="93" t="str">
        <f t="shared" si="1"/>
        <v/>
      </c>
      <c r="M772" s="98">
        <f t="shared" si="2"/>
        <v>0</v>
      </c>
      <c r="N772" s="77"/>
      <c r="O772" s="90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</row>
    <row r="773" ht="18.0" customHeight="1">
      <c r="A773" s="81"/>
      <c r="B773" s="91" t="str">
        <f>"49-10-50"</f>
        <v>49-10-50</v>
      </c>
      <c r="C773" s="91" t="str">
        <f>"693102910508"</f>
        <v>693102910508</v>
      </c>
      <c r="D773" s="92" t="s">
        <v>794</v>
      </c>
      <c r="E773" s="93" t="s">
        <v>375</v>
      </c>
      <c r="F773" s="94">
        <v>19.0</v>
      </c>
      <c r="G773" s="94">
        <v>9.5</v>
      </c>
      <c r="H773" s="95">
        <v>0.604</v>
      </c>
      <c r="I773" s="96">
        <v>9.0288</v>
      </c>
      <c r="J773" s="93" t="s">
        <v>31</v>
      </c>
      <c r="K773" s="97"/>
      <c r="L773" s="93" t="str">
        <f t="shared" si="1"/>
        <v/>
      </c>
      <c r="M773" s="98">
        <f t="shared" si="2"/>
        <v>0</v>
      </c>
      <c r="N773" s="77"/>
      <c r="O773" s="90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</row>
    <row r="774" ht="18.0" customHeight="1">
      <c r="A774" s="81"/>
      <c r="B774" s="91" t="str">
        <f>"49-10-71"</f>
        <v>49-10-71</v>
      </c>
      <c r="C774" s="91" t="str">
        <f>"693102910713"</f>
        <v>693102910713</v>
      </c>
      <c r="D774" s="92" t="s">
        <v>795</v>
      </c>
      <c r="E774" s="93" t="s">
        <v>375</v>
      </c>
      <c r="F774" s="94">
        <v>19.0</v>
      </c>
      <c r="G774" s="94">
        <v>9.5</v>
      </c>
      <c r="H774" s="95">
        <v>0.604</v>
      </c>
      <c r="I774" s="96">
        <v>9.0288</v>
      </c>
      <c r="J774" s="93" t="s">
        <v>31</v>
      </c>
      <c r="K774" s="97"/>
      <c r="L774" s="93" t="str">
        <f t="shared" si="1"/>
        <v/>
      </c>
      <c r="M774" s="98">
        <f t="shared" si="2"/>
        <v>0</v>
      </c>
      <c r="N774" s="77"/>
      <c r="O774" s="90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</row>
    <row r="775" ht="18.0" customHeight="1">
      <c r="A775" s="81"/>
      <c r="B775" s="91" t="str">
        <f>"49-00-17"</f>
        <v>49-00-17</v>
      </c>
      <c r="C775" s="91" t="str">
        <f>"693102900172"</f>
        <v>693102900172</v>
      </c>
      <c r="D775" s="92" t="s">
        <v>796</v>
      </c>
      <c r="E775" s="93" t="s">
        <v>375</v>
      </c>
      <c r="F775" s="94">
        <v>19.0</v>
      </c>
      <c r="G775" s="94">
        <v>9.5</v>
      </c>
      <c r="H775" s="95">
        <v>0.604</v>
      </c>
      <c r="I775" s="96">
        <v>9.0288</v>
      </c>
      <c r="J775" s="93" t="s">
        <v>31</v>
      </c>
      <c r="K775" s="97"/>
      <c r="L775" s="93" t="str">
        <f t="shared" si="1"/>
        <v/>
      </c>
      <c r="M775" s="98">
        <f t="shared" si="2"/>
        <v>0</v>
      </c>
      <c r="N775" s="77"/>
      <c r="O775" s="90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</row>
    <row r="776" ht="18.0" customHeight="1">
      <c r="A776" s="81"/>
      <c r="B776" s="91" t="str">
        <f>"49-00-18"</f>
        <v>49-00-18</v>
      </c>
      <c r="C776" s="91" t="str">
        <f>"693102900189"</f>
        <v>693102900189</v>
      </c>
      <c r="D776" s="92" t="s">
        <v>797</v>
      </c>
      <c r="E776" s="93" t="s">
        <v>375</v>
      </c>
      <c r="F776" s="94">
        <v>19.0</v>
      </c>
      <c r="G776" s="94">
        <v>9.5</v>
      </c>
      <c r="H776" s="95">
        <v>0.604</v>
      </c>
      <c r="I776" s="96">
        <v>9.0288</v>
      </c>
      <c r="J776" s="93" t="s">
        <v>31</v>
      </c>
      <c r="K776" s="97"/>
      <c r="L776" s="93" t="str">
        <f t="shared" si="1"/>
        <v/>
      </c>
      <c r="M776" s="98">
        <f t="shared" si="2"/>
        <v>0</v>
      </c>
      <c r="N776" s="77"/>
      <c r="O776" s="90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</row>
    <row r="777" ht="18.0" customHeight="1">
      <c r="A777" s="81"/>
      <c r="B777" s="91" t="str">
        <f>"49-10-77"</f>
        <v>49-10-77</v>
      </c>
      <c r="C777" s="91" t="str">
        <f>"693102910775"</f>
        <v>693102910775</v>
      </c>
      <c r="D777" s="92" t="s">
        <v>798</v>
      </c>
      <c r="E777" s="93" t="s">
        <v>375</v>
      </c>
      <c r="F777" s="94">
        <v>19.0</v>
      </c>
      <c r="G777" s="94">
        <v>9.5</v>
      </c>
      <c r="H777" s="95">
        <v>0.604</v>
      </c>
      <c r="I777" s="96">
        <v>9.0288</v>
      </c>
      <c r="J777" s="93" t="s">
        <v>31</v>
      </c>
      <c r="K777" s="97"/>
      <c r="L777" s="93" t="str">
        <f t="shared" si="1"/>
        <v/>
      </c>
      <c r="M777" s="98">
        <f t="shared" si="2"/>
        <v>0</v>
      </c>
      <c r="N777" s="77"/>
      <c r="O777" s="90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</row>
    <row r="778" ht="18.0" customHeight="1">
      <c r="A778" s="81"/>
      <c r="B778" s="91" t="str">
        <f>"51-33-83"</f>
        <v>51-33-83</v>
      </c>
      <c r="C778" s="91" t="str">
        <f>"693102133839"</f>
        <v>693102133839</v>
      </c>
      <c r="D778" s="92" t="s">
        <v>799</v>
      </c>
      <c r="E778" s="93" t="s">
        <v>375</v>
      </c>
      <c r="F778" s="94">
        <v>19.0</v>
      </c>
      <c r="G778" s="94">
        <v>9.5</v>
      </c>
      <c r="H778" s="95">
        <v>0.604</v>
      </c>
      <c r="I778" s="96">
        <v>9.0288</v>
      </c>
      <c r="J778" s="93" t="s">
        <v>31</v>
      </c>
      <c r="K778" s="97"/>
      <c r="L778" s="93" t="str">
        <f t="shared" si="1"/>
        <v/>
      </c>
      <c r="M778" s="98">
        <f t="shared" si="2"/>
        <v>0</v>
      </c>
      <c r="N778" s="77"/>
      <c r="O778" s="90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</row>
    <row r="779" ht="18.0" customHeight="1">
      <c r="A779" s="81"/>
      <c r="B779" s="91" t="str">
        <f>"49-00-04"</f>
        <v>49-00-04</v>
      </c>
      <c r="C779" s="91" t="str">
        <f>"693102900042"</f>
        <v>693102900042</v>
      </c>
      <c r="D779" s="92" t="s">
        <v>800</v>
      </c>
      <c r="E779" s="93" t="s">
        <v>375</v>
      </c>
      <c r="F779" s="94">
        <v>19.0</v>
      </c>
      <c r="G779" s="94">
        <v>9.5</v>
      </c>
      <c r="H779" s="95">
        <v>0.604</v>
      </c>
      <c r="I779" s="96">
        <v>9.0288</v>
      </c>
      <c r="J779" s="93" t="s">
        <v>31</v>
      </c>
      <c r="K779" s="97"/>
      <c r="L779" s="93" t="str">
        <f t="shared" si="1"/>
        <v/>
      </c>
      <c r="M779" s="98">
        <f t="shared" si="2"/>
        <v>0</v>
      </c>
      <c r="N779" s="77"/>
      <c r="O779" s="90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</row>
    <row r="780" ht="18.0" customHeight="1">
      <c r="A780" s="81"/>
      <c r="B780" s="91" t="str">
        <f>"49-33-79"</f>
        <v>49-33-79</v>
      </c>
      <c r="C780" s="91" t="str">
        <f>"693102933798"</f>
        <v>693102933798</v>
      </c>
      <c r="D780" s="92" t="s">
        <v>801</v>
      </c>
      <c r="E780" s="93" t="s">
        <v>375</v>
      </c>
      <c r="F780" s="94">
        <v>19.0</v>
      </c>
      <c r="G780" s="94">
        <v>9.5</v>
      </c>
      <c r="H780" s="95">
        <v>0.604</v>
      </c>
      <c r="I780" s="96">
        <v>9.0288</v>
      </c>
      <c r="J780" s="93" t="s">
        <v>31</v>
      </c>
      <c r="K780" s="97"/>
      <c r="L780" s="93" t="str">
        <f t="shared" si="1"/>
        <v/>
      </c>
      <c r="M780" s="98">
        <f t="shared" si="2"/>
        <v>0</v>
      </c>
      <c r="N780" s="77"/>
      <c r="O780" s="90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</row>
    <row r="781" ht="18.0" customHeight="1">
      <c r="A781" s="81"/>
      <c r="B781" s="91" t="str">
        <f>"49-10-51"</f>
        <v>49-10-51</v>
      </c>
      <c r="C781" s="91" t="str">
        <f>"693102910515"</f>
        <v>693102910515</v>
      </c>
      <c r="D781" s="92" t="s">
        <v>802</v>
      </c>
      <c r="E781" s="93" t="s">
        <v>375</v>
      </c>
      <c r="F781" s="94">
        <v>19.0</v>
      </c>
      <c r="G781" s="94">
        <v>9.5</v>
      </c>
      <c r="H781" s="95">
        <v>0.604</v>
      </c>
      <c r="I781" s="96">
        <v>9.0288</v>
      </c>
      <c r="J781" s="93" t="s">
        <v>31</v>
      </c>
      <c r="K781" s="97"/>
      <c r="L781" s="93" t="str">
        <f t="shared" si="1"/>
        <v/>
      </c>
      <c r="M781" s="98">
        <f t="shared" si="2"/>
        <v>0</v>
      </c>
      <c r="N781" s="77"/>
      <c r="O781" s="90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</row>
    <row r="782" ht="18.0" customHeight="1">
      <c r="A782" s="81"/>
      <c r="B782" s="91" t="str">
        <f>"49-00-78"</f>
        <v>49-00-78</v>
      </c>
      <c r="C782" s="91" t="str">
        <f>"693102417786"</f>
        <v>693102417786</v>
      </c>
      <c r="D782" s="92" t="s">
        <v>803</v>
      </c>
      <c r="E782" s="93" t="s">
        <v>375</v>
      </c>
      <c r="F782" s="94">
        <v>19.0</v>
      </c>
      <c r="G782" s="94">
        <v>9.5</v>
      </c>
      <c r="H782" s="95">
        <v>0.604</v>
      </c>
      <c r="I782" s="96">
        <v>9.0288</v>
      </c>
      <c r="J782" s="93" t="s">
        <v>31</v>
      </c>
      <c r="K782" s="97"/>
      <c r="L782" s="93" t="str">
        <f t="shared" si="1"/>
        <v/>
      </c>
      <c r="M782" s="98">
        <f t="shared" si="2"/>
        <v>0</v>
      </c>
      <c r="N782" s="77"/>
      <c r="O782" s="90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</row>
    <row r="783" ht="18.0" customHeight="1">
      <c r="A783" s="81"/>
      <c r="B783" s="91" t="str">
        <f>"49-33-61"</f>
        <v>49-33-61</v>
      </c>
      <c r="C783" s="91" t="str">
        <f>"693102933613"</f>
        <v>693102933613</v>
      </c>
      <c r="D783" s="92" t="s">
        <v>804</v>
      </c>
      <c r="E783" s="93" t="s">
        <v>375</v>
      </c>
      <c r="F783" s="94">
        <v>19.0</v>
      </c>
      <c r="G783" s="94">
        <v>9.5</v>
      </c>
      <c r="H783" s="95">
        <v>0.604</v>
      </c>
      <c r="I783" s="96">
        <v>9.0288</v>
      </c>
      <c r="J783" s="93" t="s">
        <v>31</v>
      </c>
      <c r="K783" s="97"/>
      <c r="L783" s="93" t="str">
        <f t="shared" si="1"/>
        <v/>
      </c>
      <c r="M783" s="98">
        <f t="shared" si="2"/>
        <v>0</v>
      </c>
      <c r="N783" s="77"/>
      <c r="O783" s="90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</row>
    <row r="784" ht="18.0" customHeight="1">
      <c r="A784" s="81"/>
      <c r="B784" s="91" t="str">
        <f>"49-00-03"</f>
        <v>49-00-03</v>
      </c>
      <c r="C784" s="91" t="str">
        <f>"693102900035"</f>
        <v>693102900035</v>
      </c>
      <c r="D784" s="92" t="s">
        <v>805</v>
      </c>
      <c r="E784" s="93" t="s">
        <v>375</v>
      </c>
      <c r="F784" s="94">
        <v>19.0</v>
      </c>
      <c r="G784" s="94">
        <v>9.5</v>
      </c>
      <c r="H784" s="95">
        <v>0.604</v>
      </c>
      <c r="I784" s="96">
        <v>9.0288</v>
      </c>
      <c r="J784" s="93" t="s">
        <v>31</v>
      </c>
      <c r="K784" s="97"/>
      <c r="L784" s="93" t="str">
        <f t="shared" si="1"/>
        <v/>
      </c>
      <c r="M784" s="98">
        <f t="shared" si="2"/>
        <v>0</v>
      </c>
      <c r="N784" s="77"/>
      <c r="O784" s="90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</row>
    <row r="785" ht="18.0" customHeight="1">
      <c r="A785" s="81"/>
      <c r="B785" s="91" t="str">
        <f>"49-33-82"</f>
        <v>49-33-82</v>
      </c>
      <c r="C785" s="91" t="str">
        <f>"693102933828"</f>
        <v>693102933828</v>
      </c>
      <c r="D785" s="92" t="s">
        <v>806</v>
      </c>
      <c r="E785" s="93" t="s">
        <v>375</v>
      </c>
      <c r="F785" s="94">
        <v>19.0</v>
      </c>
      <c r="G785" s="94">
        <v>9.5</v>
      </c>
      <c r="H785" s="95">
        <v>0.604</v>
      </c>
      <c r="I785" s="96">
        <v>9.0288</v>
      </c>
      <c r="J785" s="93" t="s">
        <v>31</v>
      </c>
      <c r="K785" s="97"/>
      <c r="L785" s="93" t="str">
        <f t="shared" si="1"/>
        <v/>
      </c>
      <c r="M785" s="98">
        <f t="shared" si="2"/>
        <v>0</v>
      </c>
      <c r="N785" s="77"/>
      <c r="O785" s="90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</row>
    <row r="786" ht="18.0" customHeight="1">
      <c r="A786" s="81"/>
      <c r="B786" s="91" t="str">
        <f>"49-00-01"</f>
        <v>49-00-01</v>
      </c>
      <c r="C786" s="91" t="str">
        <f>"693102900011"</f>
        <v>693102900011</v>
      </c>
      <c r="D786" s="92" t="s">
        <v>807</v>
      </c>
      <c r="E786" s="93" t="s">
        <v>375</v>
      </c>
      <c r="F786" s="94">
        <v>19.0</v>
      </c>
      <c r="G786" s="94">
        <v>9.5</v>
      </c>
      <c r="H786" s="95">
        <v>0.604</v>
      </c>
      <c r="I786" s="96">
        <v>9.0288</v>
      </c>
      <c r="J786" s="93" t="s">
        <v>31</v>
      </c>
      <c r="K786" s="97"/>
      <c r="L786" s="93" t="str">
        <f t="shared" si="1"/>
        <v/>
      </c>
      <c r="M786" s="98">
        <f t="shared" si="2"/>
        <v>0</v>
      </c>
      <c r="N786" s="77"/>
      <c r="O786" s="90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</row>
    <row r="787" ht="18.0" customHeight="1">
      <c r="A787" s="81"/>
      <c r="B787" s="91" t="str">
        <f>"49-00-07"</f>
        <v>49-00-07</v>
      </c>
      <c r="C787" s="91" t="str">
        <f>"693102900073"</f>
        <v>693102900073</v>
      </c>
      <c r="D787" s="92" t="s">
        <v>808</v>
      </c>
      <c r="E787" s="93" t="s">
        <v>375</v>
      </c>
      <c r="F787" s="94">
        <v>19.0</v>
      </c>
      <c r="G787" s="94">
        <v>9.5</v>
      </c>
      <c r="H787" s="95">
        <v>0.604</v>
      </c>
      <c r="I787" s="96">
        <v>9.0288</v>
      </c>
      <c r="J787" s="93" t="s">
        <v>31</v>
      </c>
      <c r="K787" s="97"/>
      <c r="L787" s="93" t="str">
        <f t="shared" si="1"/>
        <v/>
      </c>
      <c r="M787" s="98">
        <f t="shared" si="2"/>
        <v>0</v>
      </c>
      <c r="N787" s="77"/>
      <c r="O787" s="90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</row>
    <row r="788" ht="18.0" customHeight="1">
      <c r="A788" s="81"/>
      <c r="B788" s="91" t="str">
        <f>"51-31-96"</f>
        <v>51-31-96</v>
      </c>
      <c r="C788" s="91" t="str">
        <f>"693102131965"</f>
        <v>693102131965</v>
      </c>
      <c r="D788" s="92" t="s">
        <v>809</v>
      </c>
      <c r="E788" s="93" t="s">
        <v>375</v>
      </c>
      <c r="F788" s="94">
        <v>19.0</v>
      </c>
      <c r="G788" s="94">
        <v>9.5</v>
      </c>
      <c r="H788" s="95">
        <v>0.604</v>
      </c>
      <c r="I788" s="96">
        <v>9.0288</v>
      </c>
      <c r="J788" s="93" t="s">
        <v>31</v>
      </c>
      <c r="K788" s="97"/>
      <c r="L788" s="93" t="str">
        <f t="shared" si="1"/>
        <v/>
      </c>
      <c r="M788" s="98">
        <f t="shared" si="2"/>
        <v>0</v>
      </c>
      <c r="N788" s="77"/>
      <c r="O788" s="90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</row>
    <row r="789" ht="18.0" customHeight="1">
      <c r="A789" s="81"/>
      <c r="B789" s="91" t="str">
        <f>"49-33-94"</f>
        <v>49-33-94</v>
      </c>
      <c r="C789" s="91" t="str">
        <f>"693102933941"</f>
        <v>693102933941</v>
      </c>
      <c r="D789" s="92" t="s">
        <v>810</v>
      </c>
      <c r="E789" s="93" t="s">
        <v>375</v>
      </c>
      <c r="F789" s="94">
        <v>19.0</v>
      </c>
      <c r="G789" s="94">
        <v>9.5</v>
      </c>
      <c r="H789" s="95">
        <v>0.604</v>
      </c>
      <c r="I789" s="96">
        <v>9.0288</v>
      </c>
      <c r="J789" s="93" t="s">
        <v>31</v>
      </c>
      <c r="K789" s="97"/>
      <c r="L789" s="93" t="str">
        <f t="shared" si="1"/>
        <v/>
      </c>
      <c r="M789" s="98">
        <f t="shared" si="2"/>
        <v>0</v>
      </c>
      <c r="N789" s="77"/>
      <c r="O789" s="90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</row>
    <row r="790" ht="18.0" customHeight="1">
      <c r="A790" s="81"/>
      <c r="B790" s="91" t="str">
        <f>"49-00-16"</f>
        <v>49-00-16</v>
      </c>
      <c r="C790" s="91" t="str">
        <f>"693102900165"</f>
        <v>693102900165</v>
      </c>
      <c r="D790" s="92" t="s">
        <v>811</v>
      </c>
      <c r="E790" s="93" t="s">
        <v>375</v>
      </c>
      <c r="F790" s="94">
        <v>19.0</v>
      </c>
      <c r="G790" s="94">
        <v>9.5</v>
      </c>
      <c r="H790" s="95">
        <v>0.604</v>
      </c>
      <c r="I790" s="96">
        <v>9.0288</v>
      </c>
      <c r="J790" s="93" t="s">
        <v>31</v>
      </c>
      <c r="K790" s="97"/>
      <c r="L790" s="93" t="str">
        <f t="shared" si="1"/>
        <v/>
      </c>
      <c r="M790" s="98">
        <f t="shared" si="2"/>
        <v>0</v>
      </c>
      <c r="N790" s="77"/>
      <c r="O790" s="90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</row>
    <row r="791" ht="18.0" customHeight="1">
      <c r="A791" s="81"/>
      <c r="B791" s="91" t="str">
        <f>"51-33-44"</f>
        <v>51-33-44</v>
      </c>
      <c r="C791" s="91" t="str">
        <f>"693102133440"</f>
        <v>693102133440</v>
      </c>
      <c r="D791" s="92" t="s">
        <v>812</v>
      </c>
      <c r="E791" s="93" t="s">
        <v>375</v>
      </c>
      <c r="F791" s="94">
        <v>19.0</v>
      </c>
      <c r="G791" s="94">
        <v>9.5</v>
      </c>
      <c r="H791" s="95">
        <v>0.604</v>
      </c>
      <c r="I791" s="96">
        <v>9.0288</v>
      </c>
      <c r="J791" s="93" t="s">
        <v>31</v>
      </c>
      <c r="K791" s="97"/>
      <c r="L791" s="93" t="str">
        <f t="shared" si="1"/>
        <v/>
      </c>
      <c r="M791" s="98">
        <f t="shared" si="2"/>
        <v>0</v>
      </c>
      <c r="N791" s="77"/>
      <c r="O791" s="90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</row>
    <row r="792" ht="18.0" customHeight="1">
      <c r="A792" s="81"/>
      <c r="B792" s="91" t="str">
        <f>"51-31-95"</f>
        <v>51-31-95</v>
      </c>
      <c r="C792" s="91" t="str">
        <f>"693102131958"</f>
        <v>693102131958</v>
      </c>
      <c r="D792" s="92" t="s">
        <v>813</v>
      </c>
      <c r="E792" s="93" t="s">
        <v>375</v>
      </c>
      <c r="F792" s="94">
        <v>19.0</v>
      </c>
      <c r="G792" s="94">
        <v>9.5</v>
      </c>
      <c r="H792" s="95">
        <v>0.604</v>
      </c>
      <c r="I792" s="96">
        <v>9.0288</v>
      </c>
      <c r="J792" s="93" t="s">
        <v>31</v>
      </c>
      <c r="K792" s="97"/>
      <c r="L792" s="93" t="str">
        <f t="shared" si="1"/>
        <v/>
      </c>
      <c r="M792" s="98">
        <f t="shared" si="2"/>
        <v>0</v>
      </c>
      <c r="N792" s="77"/>
      <c r="O792" s="90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</row>
    <row r="793" ht="18.0" customHeight="1">
      <c r="A793" s="81"/>
      <c r="B793" s="91" t="str">
        <f>"49-00-05"</f>
        <v>49-00-05</v>
      </c>
      <c r="C793" s="91" t="str">
        <f>"693102900059"</f>
        <v>693102900059</v>
      </c>
      <c r="D793" s="92" t="s">
        <v>814</v>
      </c>
      <c r="E793" s="93" t="s">
        <v>375</v>
      </c>
      <c r="F793" s="94">
        <v>19.0</v>
      </c>
      <c r="G793" s="94">
        <v>9.5</v>
      </c>
      <c r="H793" s="95">
        <v>0.604</v>
      </c>
      <c r="I793" s="96">
        <v>9.0288</v>
      </c>
      <c r="J793" s="93" t="s">
        <v>31</v>
      </c>
      <c r="K793" s="97"/>
      <c r="L793" s="93" t="str">
        <f t="shared" si="1"/>
        <v/>
      </c>
      <c r="M793" s="98">
        <f t="shared" si="2"/>
        <v>0</v>
      </c>
      <c r="N793" s="77"/>
      <c r="O793" s="90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</row>
    <row r="794" ht="18.0" customHeight="1">
      <c r="A794" s="81"/>
      <c r="B794" s="91" t="str">
        <f>"49-00-38"</f>
        <v>49-00-38</v>
      </c>
      <c r="C794" s="91" t="str">
        <f>"693102900387"</f>
        <v>693102900387</v>
      </c>
      <c r="D794" s="92" t="s">
        <v>815</v>
      </c>
      <c r="E794" s="93" t="s">
        <v>375</v>
      </c>
      <c r="F794" s="94">
        <v>19.0</v>
      </c>
      <c r="G794" s="94">
        <v>9.5</v>
      </c>
      <c r="H794" s="95">
        <v>0.604</v>
      </c>
      <c r="I794" s="96">
        <v>9.0288</v>
      </c>
      <c r="J794" s="93" t="s">
        <v>31</v>
      </c>
      <c r="K794" s="97"/>
      <c r="L794" s="93" t="str">
        <f t="shared" si="1"/>
        <v/>
      </c>
      <c r="M794" s="98">
        <f t="shared" si="2"/>
        <v>0</v>
      </c>
      <c r="N794" s="77"/>
      <c r="O794" s="90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</row>
    <row r="795" ht="18.0" customHeight="1">
      <c r="A795" s="81"/>
      <c r="B795" s="91" t="str">
        <f>"49-00-39"</f>
        <v>49-00-39</v>
      </c>
      <c r="C795" s="91" t="str">
        <f>"693102900394"</f>
        <v>693102900394</v>
      </c>
      <c r="D795" s="92" t="s">
        <v>816</v>
      </c>
      <c r="E795" s="93" t="s">
        <v>375</v>
      </c>
      <c r="F795" s="94">
        <v>19.0</v>
      </c>
      <c r="G795" s="94">
        <v>9.5</v>
      </c>
      <c r="H795" s="95">
        <v>0.604</v>
      </c>
      <c r="I795" s="96">
        <v>9.0288</v>
      </c>
      <c r="J795" s="93" t="s">
        <v>31</v>
      </c>
      <c r="K795" s="97"/>
      <c r="L795" s="93" t="str">
        <f t="shared" si="1"/>
        <v/>
      </c>
      <c r="M795" s="98">
        <f t="shared" si="2"/>
        <v>0</v>
      </c>
      <c r="N795" s="77"/>
      <c r="O795" s="90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</row>
    <row r="796" ht="18.0" customHeight="1">
      <c r="A796" s="81"/>
      <c r="B796" s="91" t="str">
        <f>"51-32-04"</f>
        <v>51-32-04</v>
      </c>
      <c r="C796" s="91" t="str">
        <f>"693102132047"</f>
        <v>693102132047</v>
      </c>
      <c r="D796" s="92" t="s">
        <v>817</v>
      </c>
      <c r="E796" s="93" t="s">
        <v>375</v>
      </c>
      <c r="F796" s="94">
        <v>19.0</v>
      </c>
      <c r="G796" s="94">
        <v>9.5</v>
      </c>
      <c r="H796" s="95">
        <v>0.604</v>
      </c>
      <c r="I796" s="96">
        <v>9.0288</v>
      </c>
      <c r="J796" s="93" t="s">
        <v>31</v>
      </c>
      <c r="K796" s="97"/>
      <c r="L796" s="93" t="str">
        <f t="shared" si="1"/>
        <v/>
      </c>
      <c r="M796" s="98">
        <f t="shared" si="2"/>
        <v>0</v>
      </c>
      <c r="N796" s="77"/>
      <c r="O796" s="90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</row>
    <row r="797" ht="18.0" customHeight="1">
      <c r="A797" s="81"/>
      <c r="B797" s="91" t="str">
        <f>"49-10-96"</f>
        <v>49-10-96</v>
      </c>
      <c r="C797" s="91" t="str">
        <f>"693102910966"</f>
        <v>693102910966</v>
      </c>
      <c r="D797" s="92" t="s">
        <v>818</v>
      </c>
      <c r="E797" s="93" t="s">
        <v>375</v>
      </c>
      <c r="F797" s="94">
        <v>19.0</v>
      </c>
      <c r="G797" s="94">
        <v>9.5</v>
      </c>
      <c r="H797" s="95">
        <v>0.604</v>
      </c>
      <c r="I797" s="96">
        <v>9.0288</v>
      </c>
      <c r="J797" s="93" t="s">
        <v>31</v>
      </c>
      <c r="K797" s="97"/>
      <c r="L797" s="93" t="str">
        <f t="shared" si="1"/>
        <v/>
      </c>
      <c r="M797" s="98">
        <f t="shared" si="2"/>
        <v>0</v>
      </c>
      <c r="N797" s="77"/>
      <c r="O797" s="90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</row>
    <row r="798" ht="18.0" customHeight="1">
      <c r="A798" s="81"/>
      <c r="B798" s="91" t="str">
        <f>"49-00-02"</f>
        <v>49-00-02</v>
      </c>
      <c r="C798" s="91" t="str">
        <f>"693102900028"</f>
        <v>693102900028</v>
      </c>
      <c r="D798" s="92" t="s">
        <v>819</v>
      </c>
      <c r="E798" s="93" t="s">
        <v>375</v>
      </c>
      <c r="F798" s="94">
        <v>19.0</v>
      </c>
      <c r="G798" s="94">
        <v>9.5</v>
      </c>
      <c r="H798" s="95">
        <v>0.604</v>
      </c>
      <c r="I798" s="96">
        <v>9.0288</v>
      </c>
      <c r="J798" s="93" t="s">
        <v>31</v>
      </c>
      <c r="K798" s="97"/>
      <c r="L798" s="93" t="str">
        <f t="shared" si="1"/>
        <v/>
      </c>
      <c r="M798" s="98">
        <f t="shared" si="2"/>
        <v>0</v>
      </c>
      <c r="N798" s="77"/>
      <c r="O798" s="90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</row>
    <row r="799" ht="18.0" customHeight="1">
      <c r="A799" s="81"/>
      <c r="B799" s="91" t="str">
        <f>"51-33-22"</f>
        <v>51-33-22</v>
      </c>
      <c r="C799" s="91" t="str">
        <f>"693102133228"</f>
        <v>693102133228</v>
      </c>
      <c r="D799" s="92" t="s">
        <v>820</v>
      </c>
      <c r="E799" s="93" t="s">
        <v>375</v>
      </c>
      <c r="F799" s="94">
        <v>19.0</v>
      </c>
      <c r="G799" s="94">
        <v>9.5</v>
      </c>
      <c r="H799" s="95">
        <v>0.604</v>
      </c>
      <c r="I799" s="96">
        <v>9.0288</v>
      </c>
      <c r="J799" s="93" t="s">
        <v>31</v>
      </c>
      <c r="K799" s="97"/>
      <c r="L799" s="93" t="str">
        <f t="shared" si="1"/>
        <v/>
      </c>
      <c r="M799" s="98">
        <f t="shared" si="2"/>
        <v>0</v>
      </c>
      <c r="N799" s="77"/>
      <c r="O799" s="90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</row>
    <row r="800" ht="18.0" customHeight="1">
      <c r="A800" s="81"/>
      <c r="B800" s="91" t="str">
        <f>"49-00-47"</f>
        <v>49-00-47</v>
      </c>
      <c r="C800" s="91" t="str">
        <f>"693102417472"</f>
        <v>693102417472</v>
      </c>
      <c r="D800" s="92" t="s">
        <v>821</v>
      </c>
      <c r="E800" s="93" t="s">
        <v>375</v>
      </c>
      <c r="F800" s="94">
        <v>19.0</v>
      </c>
      <c r="G800" s="94">
        <v>9.5</v>
      </c>
      <c r="H800" s="95">
        <v>0.604</v>
      </c>
      <c r="I800" s="96">
        <v>9.0288</v>
      </c>
      <c r="J800" s="93" t="s">
        <v>31</v>
      </c>
      <c r="K800" s="97"/>
      <c r="L800" s="93" t="str">
        <f t="shared" si="1"/>
        <v/>
      </c>
      <c r="M800" s="98">
        <f t="shared" si="2"/>
        <v>0</v>
      </c>
      <c r="N800" s="77"/>
      <c r="O800" s="90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</row>
    <row r="801" ht="18.0" customHeight="1">
      <c r="A801" s="81"/>
      <c r="B801" s="91" t="str">
        <f>"51-32-01"</f>
        <v>51-32-01</v>
      </c>
      <c r="C801" s="91" t="str">
        <f>"693102132016"</f>
        <v>693102132016</v>
      </c>
      <c r="D801" s="92" t="s">
        <v>822</v>
      </c>
      <c r="E801" s="93" t="s">
        <v>375</v>
      </c>
      <c r="F801" s="94">
        <v>19.0</v>
      </c>
      <c r="G801" s="94">
        <v>9.5</v>
      </c>
      <c r="H801" s="95">
        <v>0.604</v>
      </c>
      <c r="I801" s="96">
        <v>9.0288</v>
      </c>
      <c r="J801" s="93" t="s">
        <v>31</v>
      </c>
      <c r="K801" s="97"/>
      <c r="L801" s="93" t="str">
        <f t="shared" si="1"/>
        <v/>
      </c>
      <c r="M801" s="98">
        <f t="shared" si="2"/>
        <v>0</v>
      </c>
      <c r="N801" s="77"/>
      <c r="O801" s="90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</row>
    <row r="802" ht="18.0" customHeight="1">
      <c r="A802" s="81"/>
      <c r="B802" s="91" t="str">
        <f>"51-33-50"</f>
        <v>51-33-50</v>
      </c>
      <c r="C802" s="91" t="str">
        <f>"693102133501"</f>
        <v>693102133501</v>
      </c>
      <c r="D802" s="92" t="s">
        <v>823</v>
      </c>
      <c r="E802" s="93" t="s">
        <v>375</v>
      </c>
      <c r="F802" s="94">
        <v>19.0</v>
      </c>
      <c r="G802" s="94">
        <v>9.5</v>
      </c>
      <c r="H802" s="95">
        <v>0.604</v>
      </c>
      <c r="I802" s="96">
        <v>9.0288</v>
      </c>
      <c r="J802" s="93" t="s">
        <v>31</v>
      </c>
      <c r="K802" s="97"/>
      <c r="L802" s="93" t="str">
        <f t="shared" si="1"/>
        <v/>
      </c>
      <c r="M802" s="98">
        <f t="shared" si="2"/>
        <v>0</v>
      </c>
      <c r="N802" s="77"/>
      <c r="O802" s="90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</row>
    <row r="803" ht="18.0" customHeight="1">
      <c r="A803" s="81"/>
      <c r="B803" s="91" t="str">
        <f>"49-34-05"</f>
        <v>49-34-05</v>
      </c>
      <c r="C803" s="91" t="str">
        <f>"693102934054"</f>
        <v>693102934054</v>
      </c>
      <c r="D803" s="92" t="s">
        <v>824</v>
      </c>
      <c r="E803" s="93" t="s">
        <v>375</v>
      </c>
      <c r="F803" s="94">
        <v>19.0</v>
      </c>
      <c r="G803" s="94">
        <v>9.5</v>
      </c>
      <c r="H803" s="95">
        <v>0.604</v>
      </c>
      <c r="I803" s="96">
        <v>9.0288</v>
      </c>
      <c r="J803" s="93" t="s">
        <v>31</v>
      </c>
      <c r="K803" s="97"/>
      <c r="L803" s="93" t="str">
        <f t="shared" si="1"/>
        <v/>
      </c>
      <c r="M803" s="98">
        <f t="shared" si="2"/>
        <v>0</v>
      </c>
      <c r="N803" s="77"/>
      <c r="O803" s="90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</row>
    <row r="804" ht="18.0" customHeight="1">
      <c r="A804" s="81"/>
      <c r="B804" s="91" t="str">
        <f>"49-34-03"</f>
        <v>49-34-03</v>
      </c>
      <c r="C804" s="91" t="str">
        <f>"693102934030"</f>
        <v>693102934030</v>
      </c>
      <c r="D804" s="92" t="s">
        <v>825</v>
      </c>
      <c r="E804" s="93" t="s">
        <v>375</v>
      </c>
      <c r="F804" s="94">
        <v>19.0</v>
      </c>
      <c r="G804" s="94">
        <v>9.5</v>
      </c>
      <c r="H804" s="95">
        <v>0.604</v>
      </c>
      <c r="I804" s="96">
        <v>9.0288</v>
      </c>
      <c r="J804" s="93" t="s">
        <v>31</v>
      </c>
      <c r="K804" s="97"/>
      <c r="L804" s="93" t="str">
        <f t="shared" si="1"/>
        <v/>
      </c>
      <c r="M804" s="98">
        <f t="shared" si="2"/>
        <v>0</v>
      </c>
      <c r="N804" s="77"/>
      <c r="O804" s="90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</row>
    <row r="805" ht="18.0" customHeight="1">
      <c r="A805" s="81"/>
      <c r="B805" s="91" t="str">
        <f>"49-34-02"</f>
        <v>49-34-02</v>
      </c>
      <c r="C805" s="91" t="str">
        <f>"693102934023"</f>
        <v>693102934023</v>
      </c>
      <c r="D805" s="92" t="s">
        <v>826</v>
      </c>
      <c r="E805" s="93" t="s">
        <v>375</v>
      </c>
      <c r="F805" s="94">
        <v>19.0</v>
      </c>
      <c r="G805" s="94">
        <v>9.5</v>
      </c>
      <c r="H805" s="95">
        <v>0.604</v>
      </c>
      <c r="I805" s="96">
        <v>9.0288</v>
      </c>
      <c r="J805" s="93" t="s">
        <v>31</v>
      </c>
      <c r="K805" s="97"/>
      <c r="L805" s="93" t="str">
        <f t="shared" si="1"/>
        <v/>
      </c>
      <c r="M805" s="98">
        <f t="shared" si="2"/>
        <v>0</v>
      </c>
      <c r="N805" s="77"/>
      <c r="O805" s="90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</row>
    <row r="806" ht="18.0" customHeight="1">
      <c r="A806" s="81"/>
      <c r="B806" s="91" t="str">
        <f>"49-34-09"</f>
        <v>49-34-09</v>
      </c>
      <c r="C806" s="91" t="str">
        <f>"693102934092"</f>
        <v>693102934092</v>
      </c>
      <c r="D806" s="92" t="s">
        <v>827</v>
      </c>
      <c r="E806" s="93" t="s">
        <v>375</v>
      </c>
      <c r="F806" s="94">
        <v>19.0</v>
      </c>
      <c r="G806" s="94">
        <v>9.5</v>
      </c>
      <c r="H806" s="95">
        <v>0.604</v>
      </c>
      <c r="I806" s="96">
        <v>9.0288</v>
      </c>
      <c r="J806" s="93" t="s">
        <v>31</v>
      </c>
      <c r="K806" s="97"/>
      <c r="L806" s="93" t="str">
        <f t="shared" si="1"/>
        <v/>
      </c>
      <c r="M806" s="98">
        <f t="shared" si="2"/>
        <v>0</v>
      </c>
      <c r="N806" s="77"/>
      <c r="O806" s="90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</row>
    <row r="807" ht="18.0" customHeight="1">
      <c r="A807" s="81"/>
      <c r="B807" s="91" t="str">
        <f>"49-34-08"</f>
        <v>49-34-08</v>
      </c>
      <c r="C807" s="91" t="str">
        <f>"693102934085"</f>
        <v>693102934085</v>
      </c>
      <c r="D807" s="92" t="s">
        <v>828</v>
      </c>
      <c r="E807" s="93" t="s">
        <v>375</v>
      </c>
      <c r="F807" s="94">
        <v>19.0</v>
      </c>
      <c r="G807" s="94">
        <v>9.5</v>
      </c>
      <c r="H807" s="95">
        <v>0.604</v>
      </c>
      <c r="I807" s="96">
        <v>9.0288</v>
      </c>
      <c r="J807" s="93" t="s">
        <v>31</v>
      </c>
      <c r="K807" s="97"/>
      <c r="L807" s="93" t="str">
        <f t="shared" si="1"/>
        <v/>
      </c>
      <c r="M807" s="98">
        <f t="shared" si="2"/>
        <v>0</v>
      </c>
      <c r="N807" s="77"/>
      <c r="O807" s="90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</row>
    <row r="808" ht="18.0" customHeight="1">
      <c r="A808" s="81"/>
      <c r="B808" s="91" t="str">
        <f>"49-34-04"</f>
        <v>49-34-04</v>
      </c>
      <c r="C808" s="91" t="str">
        <f>"693102934047"</f>
        <v>693102934047</v>
      </c>
      <c r="D808" s="92" t="s">
        <v>829</v>
      </c>
      <c r="E808" s="93" t="s">
        <v>375</v>
      </c>
      <c r="F808" s="94">
        <v>19.0</v>
      </c>
      <c r="G808" s="94">
        <v>9.5</v>
      </c>
      <c r="H808" s="95">
        <v>0.604</v>
      </c>
      <c r="I808" s="96">
        <v>9.0288</v>
      </c>
      <c r="J808" s="93" t="s">
        <v>31</v>
      </c>
      <c r="K808" s="97"/>
      <c r="L808" s="93" t="str">
        <f t="shared" si="1"/>
        <v/>
      </c>
      <c r="M808" s="98">
        <f t="shared" si="2"/>
        <v>0</v>
      </c>
      <c r="N808" s="77"/>
      <c r="O808" s="90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</row>
    <row r="809" ht="18.0" customHeight="1">
      <c r="A809" s="81"/>
      <c r="B809" s="91" t="str">
        <f>"49-34-07"</f>
        <v>49-34-07</v>
      </c>
      <c r="C809" s="91" t="str">
        <f>"693102934078"</f>
        <v>693102934078</v>
      </c>
      <c r="D809" s="92" t="s">
        <v>830</v>
      </c>
      <c r="E809" s="93" t="s">
        <v>375</v>
      </c>
      <c r="F809" s="94">
        <v>19.0</v>
      </c>
      <c r="G809" s="94">
        <v>9.5</v>
      </c>
      <c r="H809" s="95">
        <v>0.604</v>
      </c>
      <c r="I809" s="96">
        <v>9.0288</v>
      </c>
      <c r="J809" s="93" t="s">
        <v>31</v>
      </c>
      <c r="K809" s="97"/>
      <c r="L809" s="93" t="str">
        <f t="shared" si="1"/>
        <v/>
      </c>
      <c r="M809" s="98">
        <f t="shared" si="2"/>
        <v>0</v>
      </c>
      <c r="N809" s="77"/>
      <c r="O809" s="90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</row>
    <row r="810" ht="18.0" customHeight="1">
      <c r="A810" s="81"/>
      <c r="B810" s="91" t="str">
        <f>"49-34-01"</f>
        <v>49-34-01</v>
      </c>
      <c r="C810" s="91" t="str">
        <f>"693102934016"</f>
        <v>693102934016</v>
      </c>
      <c r="D810" s="92" t="s">
        <v>831</v>
      </c>
      <c r="E810" s="93" t="s">
        <v>375</v>
      </c>
      <c r="F810" s="94">
        <v>19.0</v>
      </c>
      <c r="G810" s="94">
        <v>9.5</v>
      </c>
      <c r="H810" s="95">
        <v>0.604</v>
      </c>
      <c r="I810" s="96">
        <v>9.0288</v>
      </c>
      <c r="J810" s="93" t="s">
        <v>31</v>
      </c>
      <c r="K810" s="97"/>
      <c r="L810" s="93" t="str">
        <f t="shared" si="1"/>
        <v/>
      </c>
      <c r="M810" s="98">
        <f t="shared" si="2"/>
        <v>0</v>
      </c>
      <c r="N810" s="77"/>
      <c r="O810" s="90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</row>
    <row r="811" ht="18.0" customHeight="1">
      <c r="A811" s="81"/>
      <c r="B811" s="91" t="str">
        <f>"49-34-06"</f>
        <v>49-34-06</v>
      </c>
      <c r="C811" s="91" t="str">
        <f>"693102934061"</f>
        <v>693102934061</v>
      </c>
      <c r="D811" s="92" t="s">
        <v>832</v>
      </c>
      <c r="E811" s="93" t="s">
        <v>375</v>
      </c>
      <c r="F811" s="94">
        <v>19.0</v>
      </c>
      <c r="G811" s="94">
        <v>9.5</v>
      </c>
      <c r="H811" s="95">
        <v>0.604</v>
      </c>
      <c r="I811" s="96">
        <v>9.0288</v>
      </c>
      <c r="J811" s="93" t="s">
        <v>31</v>
      </c>
      <c r="K811" s="97"/>
      <c r="L811" s="93" t="str">
        <f t="shared" si="1"/>
        <v/>
      </c>
      <c r="M811" s="98">
        <f t="shared" si="2"/>
        <v>0</v>
      </c>
      <c r="N811" s="77"/>
      <c r="O811" s="90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</row>
    <row r="812" ht="18.0" customHeight="1">
      <c r="A812" s="81"/>
      <c r="B812" s="91" t="str">
        <f>"49-34-00"</f>
        <v>49-34-00</v>
      </c>
      <c r="C812" s="91" t="str">
        <f>"693102934009"</f>
        <v>693102934009</v>
      </c>
      <c r="D812" s="92" t="s">
        <v>833</v>
      </c>
      <c r="E812" s="93" t="s">
        <v>375</v>
      </c>
      <c r="F812" s="94">
        <v>19.0</v>
      </c>
      <c r="G812" s="94">
        <v>9.5</v>
      </c>
      <c r="H812" s="95">
        <v>0.604</v>
      </c>
      <c r="I812" s="96">
        <v>9.0288</v>
      </c>
      <c r="J812" s="93" t="s">
        <v>31</v>
      </c>
      <c r="K812" s="97"/>
      <c r="L812" s="93" t="str">
        <f t="shared" si="1"/>
        <v/>
      </c>
      <c r="M812" s="98">
        <f t="shared" si="2"/>
        <v>0</v>
      </c>
      <c r="N812" s="77"/>
      <c r="O812" s="90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</row>
    <row r="813" ht="18.0" customHeight="1">
      <c r="A813" s="81"/>
      <c r="B813" s="91" t="str">
        <f>"49-34-10"</f>
        <v>49-34-10</v>
      </c>
      <c r="C813" s="91" t="str">
        <f>"693102934108"</f>
        <v>693102934108</v>
      </c>
      <c r="D813" s="92" t="s">
        <v>834</v>
      </c>
      <c r="E813" s="93" t="s">
        <v>375</v>
      </c>
      <c r="F813" s="94">
        <v>19.0</v>
      </c>
      <c r="G813" s="94">
        <v>9.5</v>
      </c>
      <c r="H813" s="95">
        <v>0.604</v>
      </c>
      <c r="I813" s="96">
        <v>9.0288</v>
      </c>
      <c r="J813" s="93" t="s">
        <v>31</v>
      </c>
      <c r="K813" s="97"/>
      <c r="L813" s="93" t="str">
        <f t="shared" si="1"/>
        <v/>
      </c>
      <c r="M813" s="98">
        <f t="shared" si="2"/>
        <v>0</v>
      </c>
      <c r="N813" s="77"/>
      <c r="O813" s="90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</row>
    <row r="814" ht="18.0" customHeight="1">
      <c r="A814" s="81"/>
      <c r="B814" s="91" t="str">
        <f>"51-30-06"</f>
        <v>51-30-06</v>
      </c>
      <c r="C814" s="91" t="str">
        <f>"693102130067"</f>
        <v>693102130067</v>
      </c>
      <c r="D814" s="92" t="s">
        <v>835</v>
      </c>
      <c r="E814" s="93" t="s">
        <v>252</v>
      </c>
      <c r="F814" s="94">
        <v>15.0</v>
      </c>
      <c r="G814" s="94">
        <v>7.5</v>
      </c>
      <c r="H814" s="95">
        <v>0.6039999999999999</v>
      </c>
      <c r="I814" s="96">
        <v>7.128</v>
      </c>
      <c r="J814" s="93" t="s">
        <v>31</v>
      </c>
      <c r="K814" s="97"/>
      <c r="L814" s="93" t="str">
        <f t="shared" si="1"/>
        <v/>
      </c>
      <c r="M814" s="98">
        <f t="shared" si="2"/>
        <v>0</v>
      </c>
      <c r="N814" s="77"/>
      <c r="O814" s="90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</row>
    <row r="815" ht="18.0" customHeight="1">
      <c r="A815" s="81"/>
      <c r="B815" s="91" t="str">
        <f>"51-30-16"</f>
        <v>51-30-16</v>
      </c>
      <c r="C815" s="91" t="str">
        <f>"693102130166"</f>
        <v>693102130166</v>
      </c>
      <c r="D815" s="92" t="s">
        <v>836</v>
      </c>
      <c r="E815" s="93" t="s">
        <v>252</v>
      </c>
      <c r="F815" s="94">
        <v>15.0</v>
      </c>
      <c r="G815" s="94">
        <v>7.5</v>
      </c>
      <c r="H815" s="95">
        <v>0.6039999999999999</v>
      </c>
      <c r="I815" s="96">
        <v>7.128</v>
      </c>
      <c r="J815" s="93" t="s">
        <v>31</v>
      </c>
      <c r="K815" s="97"/>
      <c r="L815" s="93" t="str">
        <f t="shared" si="1"/>
        <v/>
      </c>
      <c r="M815" s="98">
        <f t="shared" si="2"/>
        <v>0</v>
      </c>
      <c r="N815" s="77"/>
      <c r="O815" s="90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</row>
    <row r="816" ht="18.0" customHeight="1">
      <c r="A816" s="81"/>
      <c r="B816" s="91" t="str">
        <f>"51-30-18"</f>
        <v>51-30-18</v>
      </c>
      <c r="C816" s="91" t="str">
        <f>"693102130180"</f>
        <v>693102130180</v>
      </c>
      <c r="D816" s="92" t="s">
        <v>837</v>
      </c>
      <c r="E816" s="93" t="s">
        <v>252</v>
      </c>
      <c r="F816" s="94">
        <v>15.0</v>
      </c>
      <c r="G816" s="94">
        <v>7.5</v>
      </c>
      <c r="H816" s="95">
        <v>0.6039999999999999</v>
      </c>
      <c r="I816" s="96">
        <v>7.128</v>
      </c>
      <c r="J816" s="93" t="s">
        <v>31</v>
      </c>
      <c r="K816" s="97"/>
      <c r="L816" s="93" t="str">
        <f t="shared" si="1"/>
        <v/>
      </c>
      <c r="M816" s="98">
        <f t="shared" si="2"/>
        <v>0</v>
      </c>
      <c r="N816" s="77"/>
      <c r="O816" s="90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</row>
    <row r="817" ht="18.0" customHeight="1">
      <c r="A817" s="81"/>
      <c r="B817" s="91" t="str">
        <f>"51-30-08"</f>
        <v>51-30-08</v>
      </c>
      <c r="C817" s="91" t="str">
        <f>"693102130081"</f>
        <v>693102130081</v>
      </c>
      <c r="D817" s="92" t="s">
        <v>838</v>
      </c>
      <c r="E817" s="93" t="s">
        <v>252</v>
      </c>
      <c r="F817" s="94">
        <v>15.0</v>
      </c>
      <c r="G817" s="94">
        <v>7.5</v>
      </c>
      <c r="H817" s="95">
        <v>0.6039999999999999</v>
      </c>
      <c r="I817" s="96">
        <v>7.128</v>
      </c>
      <c r="J817" s="93" t="s">
        <v>31</v>
      </c>
      <c r="K817" s="97"/>
      <c r="L817" s="93" t="str">
        <f t="shared" si="1"/>
        <v/>
      </c>
      <c r="M817" s="98">
        <f t="shared" si="2"/>
        <v>0</v>
      </c>
      <c r="N817" s="77"/>
      <c r="O817" s="90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</row>
    <row r="818" ht="18.0" customHeight="1">
      <c r="A818" s="81"/>
      <c r="B818" s="91" t="str">
        <f>"51-30-02"</f>
        <v>51-30-02</v>
      </c>
      <c r="C818" s="91" t="str">
        <f>"693102130029"</f>
        <v>693102130029</v>
      </c>
      <c r="D818" s="92" t="s">
        <v>839</v>
      </c>
      <c r="E818" s="93" t="s">
        <v>252</v>
      </c>
      <c r="F818" s="94">
        <v>15.0</v>
      </c>
      <c r="G818" s="94">
        <v>7.5</v>
      </c>
      <c r="H818" s="95">
        <v>0.6039999999999999</v>
      </c>
      <c r="I818" s="96">
        <v>7.128</v>
      </c>
      <c r="J818" s="93" t="s">
        <v>31</v>
      </c>
      <c r="K818" s="97"/>
      <c r="L818" s="93" t="str">
        <f t="shared" si="1"/>
        <v/>
      </c>
      <c r="M818" s="98">
        <f t="shared" si="2"/>
        <v>0</v>
      </c>
      <c r="N818" s="77"/>
      <c r="O818" s="90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</row>
    <row r="819" ht="18.0" customHeight="1">
      <c r="A819" s="81"/>
      <c r="B819" s="91" t="str">
        <f>"51-30-15"</f>
        <v>51-30-15</v>
      </c>
      <c r="C819" s="91" t="str">
        <f>"693102130159"</f>
        <v>693102130159</v>
      </c>
      <c r="D819" s="92" t="s">
        <v>840</v>
      </c>
      <c r="E819" s="93" t="s">
        <v>252</v>
      </c>
      <c r="F819" s="94">
        <v>15.0</v>
      </c>
      <c r="G819" s="94">
        <v>7.5</v>
      </c>
      <c r="H819" s="95">
        <v>0.6039999999999999</v>
      </c>
      <c r="I819" s="96">
        <v>7.128</v>
      </c>
      <c r="J819" s="93" t="s">
        <v>31</v>
      </c>
      <c r="K819" s="97"/>
      <c r="L819" s="93" t="str">
        <f t="shared" si="1"/>
        <v/>
      </c>
      <c r="M819" s="98">
        <f t="shared" si="2"/>
        <v>0</v>
      </c>
      <c r="N819" s="77"/>
      <c r="O819" s="90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</row>
    <row r="820" ht="18.0" customHeight="1">
      <c r="A820" s="81"/>
      <c r="B820" s="91" t="str">
        <f>"51-33-19"</f>
        <v>51-33-19</v>
      </c>
      <c r="C820" s="91" t="str">
        <f>"693102133198"</f>
        <v>693102133198</v>
      </c>
      <c r="D820" s="92" t="s">
        <v>841</v>
      </c>
      <c r="E820" s="93" t="s">
        <v>252</v>
      </c>
      <c r="F820" s="94">
        <v>15.0</v>
      </c>
      <c r="G820" s="94">
        <v>7.5</v>
      </c>
      <c r="H820" s="95">
        <v>0.6039999999999999</v>
      </c>
      <c r="I820" s="96">
        <v>7.128</v>
      </c>
      <c r="J820" s="93" t="s">
        <v>31</v>
      </c>
      <c r="K820" s="97"/>
      <c r="L820" s="93" t="str">
        <f t="shared" si="1"/>
        <v/>
      </c>
      <c r="M820" s="98">
        <f t="shared" si="2"/>
        <v>0</v>
      </c>
      <c r="N820" s="77"/>
      <c r="O820" s="90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</row>
    <row r="821" ht="18.0" customHeight="1">
      <c r="A821" s="81"/>
      <c r="B821" s="91" t="str">
        <f>"51-30-13"</f>
        <v>51-30-13</v>
      </c>
      <c r="C821" s="91" t="str">
        <f>"693102130135"</f>
        <v>693102130135</v>
      </c>
      <c r="D821" s="92" t="s">
        <v>842</v>
      </c>
      <c r="E821" s="93" t="s">
        <v>252</v>
      </c>
      <c r="F821" s="94">
        <v>15.0</v>
      </c>
      <c r="G821" s="94">
        <v>7.5</v>
      </c>
      <c r="H821" s="95">
        <v>0.6039999999999999</v>
      </c>
      <c r="I821" s="96">
        <v>7.128</v>
      </c>
      <c r="J821" s="93" t="s">
        <v>31</v>
      </c>
      <c r="K821" s="97"/>
      <c r="L821" s="93" t="str">
        <f t="shared" si="1"/>
        <v/>
      </c>
      <c r="M821" s="98">
        <f t="shared" si="2"/>
        <v>0</v>
      </c>
      <c r="N821" s="77"/>
      <c r="O821" s="90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</row>
    <row r="822" ht="18.0" customHeight="1">
      <c r="A822" s="81"/>
      <c r="B822" s="91" t="str">
        <f>"51-30-05"</f>
        <v>51-30-05</v>
      </c>
      <c r="C822" s="91" t="str">
        <f>"693102130050"</f>
        <v>693102130050</v>
      </c>
      <c r="D822" s="92" t="s">
        <v>843</v>
      </c>
      <c r="E822" s="93" t="s">
        <v>252</v>
      </c>
      <c r="F822" s="94">
        <v>15.0</v>
      </c>
      <c r="G822" s="94">
        <v>7.5</v>
      </c>
      <c r="H822" s="95">
        <v>0.6039999999999999</v>
      </c>
      <c r="I822" s="96">
        <v>7.128</v>
      </c>
      <c r="J822" s="93" t="s">
        <v>31</v>
      </c>
      <c r="K822" s="97"/>
      <c r="L822" s="93" t="str">
        <f t="shared" si="1"/>
        <v/>
      </c>
      <c r="M822" s="98">
        <f t="shared" si="2"/>
        <v>0</v>
      </c>
      <c r="N822" s="77"/>
      <c r="O822" s="90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</row>
    <row r="823" ht="18.0" customHeight="1">
      <c r="A823" s="81"/>
      <c r="B823" s="91" t="str">
        <f>"51-30-14"</f>
        <v>51-30-14</v>
      </c>
      <c r="C823" s="91" t="str">
        <f>"693102130142"</f>
        <v>693102130142</v>
      </c>
      <c r="D823" s="92" t="s">
        <v>844</v>
      </c>
      <c r="E823" s="93" t="s">
        <v>252</v>
      </c>
      <c r="F823" s="94">
        <v>15.0</v>
      </c>
      <c r="G823" s="94">
        <v>7.5</v>
      </c>
      <c r="H823" s="95">
        <v>0.6039999999999999</v>
      </c>
      <c r="I823" s="96">
        <v>7.128</v>
      </c>
      <c r="J823" s="93" t="s">
        <v>31</v>
      </c>
      <c r="K823" s="97"/>
      <c r="L823" s="93" t="str">
        <f t="shared" si="1"/>
        <v/>
      </c>
      <c r="M823" s="98">
        <f t="shared" si="2"/>
        <v>0</v>
      </c>
      <c r="N823" s="77"/>
      <c r="O823" s="90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</row>
    <row r="824" ht="18.0" customHeight="1">
      <c r="A824" s="81"/>
      <c r="B824" s="91" t="str">
        <f>"51-30-04"</f>
        <v>51-30-04</v>
      </c>
      <c r="C824" s="91" t="str">
        <f>"693102130043"</f>
        <v>693102130043</v>
      </c>
      <c r="D824" s="92" t="s">
        <v>845</v>
      </c>
      <c r="E824" s="93" t="s">
        <v>252</v>
      </c>
      <c r="F824" s="94">
        <v>15.0</v>
      </c>
      <c r="G824" s="94">
        <v>7.5</v>
      </c>
      <c r="H824" s="95">
        <v>0.6039999999999999</v>
      </c>
      <c r="I824" s="96">
        <v>7.128</v>
      </c>
      <c r="J824" s="93" t="s">
        <v>31</v>
      </c>
      <c r="K824" s="97"/>
      <c r="L824" s="93" t="str">
        <f t="shared" si="1"/>
        <v/>
      </c>
      <c r="M824" s="98">
        <f t="shared" si="2"/>
        <v>0</v>
      </c>
      <c r="N824" s="77"/>
      <c r="O824" s="90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</row>
    <row r="825" ht="18.0" customHeight="1">
      <c r="A825" s="81"/>
      <c r="B825" s="91" t="str">
        <f>"51-30-07"</f>
        <v>51-30-07</v>
      </c>
      <c r="C825" s="91" t="str">
        <f>"693102130074"</f>
        <v>693102130074</v>
      </c>
      <c r="D825" s="92" t="s">
        <v>846</v>
      </c>
      <c r="E825" s="93" t="s">
        <v>252</v>
      </c>
      <c r="F825" s="94">
        <v>15.0</v>
      </c>
      <c r="G825" s="94">
        <v>7.5</v>
      </c>
      <c r="H825" s="95">
        <v>0.6039999999999999</v>
      </c>
      <c r="I825" s="96">
        <v>7.128</v>
      </c>
      <c r="J825" s="93" t="s">
        <v>31</v>
      </c>
      <c r="K825" s="97"/>
      <c r="L825" s="93" t="str">
        <f t="shared" si="1"/>
        <v/>
      </c>
      <c r="M825" s="98">
        <f t="shared" si="2"/>
        <v>0</v>
      </c>
      <c r="N825" s="77"/>
      <c r="O825" s="90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</row>
    <row r="826" ht="18.0" customHeight="1">
      <c r="A826" s="81"/>
      <c r="B826" s="91" t="str">
        <f>"51-30-01"</f>
        <v>51-30-01</v>
      </c>
      <c r="C826" s="91" t="str">
        <f>"693102130012"</f>
        <v>693102130012</v>
      </c>
      <c r="D826" s="92" t="s">
        <v>847</v>
      </c>
      <c r="E826" s="93" t="s">
        <v>252</v>
      </c>
      <c r="F826" s="94">
        <v>15.0</v>
      </c>
      <c r="G826" s="94">
        <v>7.5</v>
      </c>
      <c r="H826" s="95">
        <v>0.6039999999999999</v>
      </c>
      <c r="I826" s="96">
        <v>7.128</v>
      </c>
      <c r="J826" s="93" t="s">
        <v>31</v>
      </c>
      <c r="K826" s="97"/>
      <c r="L826" s="93" t="str">
        <f t="shared" si="1"/>
        <v/>
      </c>
      <c r="M826" s="98">
        <f t="shared" si="2"/>
        <v>0</v>
      </c>
      <c r="N826" s="77"/>
      <c r="O826" s="90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</row>
    <row r="827" ht="18.0" customHeight="1">
      <c r="A827" s="81"/>
      <c r="B827" s="91" t="str">
        <f>"51-30-09"</f>
        <v>51-30-09</v>
      </c>
      <c r="C827" s="91" t="str">
        <f>"693102130098"</f>
        <v>693102130098</v>
      </c>
      <c r="D827" s="92" t="s">
        <v>848</v>
      </c>
      <c r="E827" s="93" t="s">
        <v>252</v>
      </c>
      <c r="F827" s="94">
        <v>15.0</v>
      </c>
      <c r="G827" s="94">
        <v>7.5</v>
      </c>
      <c r="H827" s="95">
        <v>0.6039999999999999</v>
      </c>
      <c r="I827" s="96">
        <v>7.128</v>
      </c>
      <c r="J827" s="93" t="s">
        <v>31</v>
      </c>
      <c r="K827" s="97"/>
      <c r="L827" s="93" t="str">
        <f t="shared" si="1"/>
        <v/>
      </c>
      <c r="M827" s="98">
        <f t="shared" si="2"/>
        <v>0</v>
      </c>
      <c r="N827" s="77"/>
      <c r="O827" s="90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</row>
    <row r="828" ht="18.0" customHeight="1">
      <c r="A828" s="81"/>
      <c r="B828" s="91" t="str">
        <f>"13032"</f>
        <v>13032</v>
      </c>
      <c r="C828" s="91" t="str">
        <f>"693102130326"</f>
        <v>693102130326</v>
      </c>
      <c r="D828" s="92" t="s">
        <v>849</v>
      </c>
      <c r="E828" s="93" t="s">
        <v>850</v>
      </c>
      <c r="F828" s="94">
        <v>15.0</v>
      </c>
      <c r="G828" s="94">
        <v>7.5</v>
      </c>
      <c r="H828" s="95">
        <v>0.6039999999999999</v>
      </c>
      <c r="I828" s="96">
        <v>7.128</v>
      </c>
      <c r="J828" s="93" t="s">
        <v>31</v>
      </c>
      <c r="K828" s="97"/>
      <c r="L828" s="93" t="str">
        <f t="shared" si="1"/>
        <v/>
      </c>
      <c r="M828" s="98">
        <f t="shared" si="2"/>
        <v>0</v>
      </c>
      <c r="N828" s="77"/>
      <c r="O828" s="90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</row>
    <row r="829" ht="18.0" customHeight="1">
      <c r="A829" s="81"/>
      <c r="B829" s="91" t="str">
        <f>"13033"</f>
        <v>13033</v>
      </c>
      <c r="C829" s="91" t="str">
        <f>"693102130333"</f>
        <v>693102130333</v>
      </c>
      <c r="D829" s="92" t="s">
        <v>851</v>
      </c>
      <c r="E829" s="93" t="s">
        <v>850</v>
      </c>
      <c r="F829" s="94">
        <v>15.0</v>
      </c>
      <c r="G829" s="94">
        <v>7.5</v>
      </c>
      <c r="H829" s="95">
        <v>0.6039999999999999</v>
      </c>
      <c r="I829" s="96">
        <v>7.128</v>
      </c>
      <c r="J829" s="93" t="s">
        <v>31</v>
      </c>
      <c r="K829" s="97"/>
      <c r="L829" s="93" t="str">
        <f t="shared" si="1"/>
        <v/>
      </c>
      <c r="M829" s="98">
        <f t="shared" si="2"/>
        <v>0</v>
      </c>
      <c r="N829" s="77"/>
      <c r="O829" s="90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</row>
    <row r="830" ht="18.0" customHeight="1">
      <c r="A830" s="81"/>
      <c r="B830" s="91" t="str">
        <f>"13028"</f>
        <v>13028</v>
      </c>
      <c r="C830" s="91" t="str">
        <f>"693102130289"</f>
        <v>693102130289</v>
      </c>
      <c r="D830" s="92" t="s">
        <v>852</v>
      </c>
      <c r="E830" s="93" t="s">
        <v>850</v>
      </c>
      <c r="F830" s="94">
        <v>15.0</v>
      </c>
      <c r="G830" s="94">
        <v>7.5</v>
      </c>
      <c r="H830" s="95">
        <v>0.6039999999999999</v>
      </c>
      <c r="I830" s="96">
        <v>7.128</v>
      </c>
      <c r="J830" s="93" t="s">
        <v>31</v>
      </c>
      <c r="K830" s="97"/>
      <c r="L830" s="93" t="str">
        <f t="shared" si="1"/>
        <v/>
      </c>
      <c r="M830" s="98">
        <f t="shared" si="2"/>
        <v>0</v>
      </c>
      <c r="N830" s="77"/>
      <c r="O830" s="90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</row>
    <row r="831" ht="18.0" customHeight="1">
      <c r="A831" s="81"/>
      <c r="B831" s="91" t="str">
        <f>"13031"</f>
        <v>13031</v>
      </c>
      <c r="C831" s="91" t="str">
        <f>"693102130319"</f>
        <v>693102130319</v>
      </c>
      <c r="D831" s="92" t="s">
        <v>853</v>
      </c>
      <c r="E831" s="93" t="s">
        <v>850</v>
      </c>
      <c r="F831" s="94">
        <v>15.0</v>
      </c>
      <c r="G831" s="94">
        <v>7.5</v>
      </c>
      <c r="H831" s="95">
        <v>0.6039999999999999</v>
      </c>
      <c r="I831" s="96">
        <v>7.128</v>
      </c>
      <c r="J831" s="93" t="s">
        <v>31</v>
      </c>
      <c r="K831" s="97"/>
      <c r="L831" s="93" t="str">
        <f t="shared" si="1"/>
        <v/>
      </c>
      <c r="M831" s="98">
        <f t="shared" si="2"/>
        <v>0</v>
      </c>
      <c r="N831" s="77"/>
      <c r="O831" s="90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</row>
    <row r="832" ht="18.0" customHeight="1">
      <c r="A832" s="81"/>
      <c r="B832" s="91" t="str">
        <f>"13034"</f>
        <v>13034</v>
      </c>
      <c r="C832" s="91" t="str">
        <f>"693102130340"</f>
        <v>693102130340</v>
      </c>
      <c r="D832" s="92" t="s">
        <v>854</v>
      </c>
      <c r="E832" s="93" t="s">
        <v>850</v>
      </c>
      <c r="F832" s="94">
        <v>15.0</v>
      </c>
      <c r="G832" s="94">
        <v>7.5</v>
      </c>
      <c r="H832" s="95">
        <v>0.6039999999999999</v>
      </c>
      <c r="I832" s="96">
        <v>7.128</v>
      </c>
      <c r="J832" s="93" t="s">
        <v>31</v>
      </c>
      <c r="K832" s="97"/>
      <c r="L832" s="93" t="str">
        <f t="shared" si="1"/>
        <v/>
      </c>
      <c r="M832" s="98">
        <f t="shared" si="2"/>
        <v>0</v>
      </c>
      <c r="N832" s="77"/>
      <c r="O832" s="90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</row>
    <row r="833" ht="18.0" customHeight="1">
      <c r="A833" s="81"/>
      <c r="B833" s="91" t="str">
        <f>"13029"</f>
        <v>13029</v>
      </c>
      <c r="C833" s="91" t="str">
        <f>"693102130296"</f>
        <v>693102130296</v>
      </c>
      <c r="D833" s="92" t="s">
        <v>855</v>
      </c>
      <c r="E833" s="93" t="s">
        <v>850</v>
      </c>
      <c r="F833" s="94">
        <v>15.0</v>
      </c>
      <c r="G833" s="94">
        <v>7.5</v>
      </c>
      <c r="H833" s="95">
        <v>0.6039999999999999</v>
      </c>
      <c r="I833" s="96">
        <v>7.128</v>
      </c>
      <c r="J833" s="93" t="s">
        <v>31</v>
      </c>
      <c r="K833" s="97"/>
      <c r="L833" s="93" t="str">
        <f t="shared" si="1"/>
        <v/>
      </c>
      <c r="M833" s="98">
        <f t="shared" si="2"/>
        <v>0</v>
      </c>
      <c r="N833" s="77"/>
      <c r="O833" s="90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</row>
    <row r="834" ht="18.0" customHeight="1">
      <c r="A834" s="81"/>
      <c r="B834" s="91" t="str">
        <f>"13030"</f>
        <v>13030</v>
      </c>
      <c r="C834" s="91" t="str">
        <f>"693102130302"</f>
        <v>693102130302</v>
      </c>
      <c r="D834" s="92" t="s">
        <v>856</v>
      </c>
      <c r="E834" s="93" t="s">
        <v>850</v>
      </c>
      <c r="F834" s="94">
        <v>15.0</v>
      </c>
      <c r="G834" s="94">
        <v>7.5</v>
      </c>
      <c r="H834" s="95">
        <v>0.6039999999999999</v>
      </c>
      <c r="I834" s="96">
        <v>7.128</v>
      </c>
      <c r="J834" s="93" t="s">
        <v>31</v>
      </c>
      <c r="K834" s="97"/>
      <c r="L834" s="93" t="str">
        <f t="shared" si="1"/>
        <v/>
      </c>
      <c r="M834" s="98">
        <f t="shared" si="2"/>
        <v>0</v>
      </c>
      <c r="N834" s="77"/>
      <c r="O834" s="90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</row>
    <row r="835" ht="18.0" customHeight="1">
      <c r="A835" s="81"/>
      <c r="B835" s="91" t="str">
        <f>"35066"</f>
        <v>35066</v>
      </c>
      <c r="C835" s="91" t="str">
        <f>"693102350663"</f>
        <v>693102350663</v>
      </c>
      <c r="D835" s="92" t="s">
        <v>857</v>
      </c>
      <c r="E835" s="93" t="s">
        <v>375</v>
      </c>
      <c r="F835" s="94">
        <v>18.0</v>
      </c>
      <c r="G835" s="94">
        <v>9.0</v>
      </c>
      <c r="H835" s="95">
        <v>0.604</v>
      </c>
      <c r="I835" s="96">
        <v>8.5536</v>
      </c>
      <c r="J835" s="93" t="s">
        <v>31</v>
      </c>
      <c r="K835" s="97"/>
      <c r="L835" s="93" t="str">
        <f t="shared" si="1"/>
        <v/>
      </c>
      <c r="M835" s="98">
        <f t="shared" si="2"/>
        <v>0</v>
      </c>
      <c r="N835" s="77"/>
      <c r="O835" s="90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</row>
    <row r="836" ht="18.0" customHeight="1">
      <c r="A836" s="81"/>
      <c r="B836" s="91" t="str">
        <f>"35067"</f>
        <v>35067</v>
      </c>
      <c r="C836" s="91" t="str">
        <f>"693102350670"</f>
        <v>693102350670</v>
      </c>
      <c r="D836" s="92" t="s">
        <v>858</v>
      </c>
      <c r="E836" s="93" t="s">
        <v>375</v>
      </c>
      <c r="F836" s="94">
        <v>18.0</v>
      </c>
      <c r="G836" s="94">
        <v>9.0</v>
      </c>
      <c r="H836" s="95">
        <v>0.604</v>
      </c>
      <c r="I836" s="96">
        <v>8.5536</v>
      </c>
      <c r="J836" s="93" t="s">
        <v>31</v>
      </c>
      <c r="K836" s="97"/>
      <c r="L836" s="93" t="str">
        <f t="shared" si="1"/>
        <v/>
      </c>
      <c r="M836" s="98">
        <f t="shared" si="2"/>
        <v>0</v>
      </c>
      <c r="N836" s="77"/>
      <c r="O836" s="90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</row>
    <row r="837" ht="18.0" customHeight="1">
      <c r="A837" s="81"/>
      <c r="B837" s="91" t="str">
        <f>"35087"</f>
        <v>35087</v>
      </c>
      <c r="C837" s="91" t="str">
        <f>"693102350871"</f>
        <v>693102350871</v>
      </c>
      <c r="D837" s="92" t="s">
        <v>859</v>
      </c>
      <c r="E837" s="93" t="s">
        <v>375</v>
      </c>
      <c r="F837" s="94">
        <v>18.0</v>
      </c>
      <c r="G837" s="94">
        <v>9.0</v>
      </c>
      <c r="H837" s="95">
        <v>0.604</v>
      </c>
      <c r="I837" s="96">
        <v>8.5536</v>
      </c>
      <c r="J837" s="93" t="s">
        <v>31</v>
      </c>
      <c r="K837" s="97"/>
      <c r="L837" s="93" t="str">
        <f t="shared" si="1"/>
        <v/>
      </c>
      <c r="M837" s="98">
        <f t="shared" si="2"/>
        <v>0</v>
      </c>
      <c r="N837" s="77"/>
      <c r="O837" s="90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</row>
    <row r="838" ht="18.0" customHeight="1">
      <c r="A838" s="81"/>
      <c r="B838" s="91" t="str">
        <f>"35068"</f>
        <v>35068</v>
      </c>
      <c r="C838" s="91" t="str">
        <f>"693102350687"</f>
        <v>693102350687</v>
      </c>
      <c r="D838" s="92" t="s">
        <v>860</v>
      </c>
      <c r="E838" s="93" t="s">
        <v>375</v>
      </c>
      <c r="F838" s="94">
        <v>18.0</v>
      </c>
      <c r="G838" s="94">
        <v>9.0</v>
      </c>
      <c r="H838" s="95">
        <v>0.604</v>
      </c>
      <c r="I838" s="96">
        <v>8.5536</v>
      </c>
      <c r="J838" s="93" t="s">
        <v>31</v>
      </c>
      <c r="K838" s="97"/>
      <c r="L838" s="93" t="str">
        <f t="shared" si="1"/>
        <v/>
      </c>
      <c r="M838" s="98">
        <f t="shared" si="2"/>
        <v>0</v>
      </c>
      <c r="N838" s="77"/>
      <c r="O838" s="90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</row>
    <row r="839" ht="18.0" customHeight="1">
      <c r="A839" s="81"/>
      <c r="B839" s="91" t="str">
        <f>"35088"</f>
        <v>35088</v>
      </c>
      <c r="C839" s="91" t="str">
        <f>"693102350885"</f>
        <v>693102350885</v>
      </c>
      <c r="D839" s="92" t="s">
        <v>861</v>
      </c>
      <c r="E839" s="93" t="s">
        <v>375</v>
      </c>
      <c r="F839" s="94">
        <v>18.0</v>
      </c>
      <c r="G839" s="94">
        <v>9.0</v>
      </c>
      <c r="H839" s="95">
        <v>0.604</v>
      </c>
      <c r="I839" s="96">
        <v>8.5536</v>
      </c>
      <c r="J839" s="93" t="s">
        <v>31</v>
      </c>
      <c r="K839" s="97"/>
      <c r="L839" s="93" t="str">
        <f t="shared" si="1"/>
        <v/>
      </c>
      <c r="M839" s="98">
        <f t="shared" si="2"/>
        <v>0</v>
      </c>
      <c r="N839" s="77"/>
      <c r="O839" s="90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</row>
    <row r="840" ht="18.0" customHeight="1">
      <c r="A840" s="81"/>
      <c r="B840" s="91" t="str">
        <f>"35065"</f>
        <v>35065</v>
      </c>
      <c r="C840" s="91" t="str">
        <f>"693102350656"</f>
        <v>693102350656</v>
      </c>
      <c r="D840" s="92" t="s">
        <v>862</v>
      </c>
      <c r="E840" s="93" t="s">
        <v>863</v>
      </c>
      <c r="F840" s="94">
        <v>35.0</v>
      </c>
      <c r="G840" s="94">
        <v>17.5</v>
      </c>
      <c r="H840" s="95">
        <v>0.604</v>
      </c>
      <c r="I840" s="96">
        <v>16.631999999999998</v>
      </c>
      <c r="J840" s="93" t="s">
        <v>31</v>
      </c>
      <c r="K840" s="97"/>
      <c r="L840" s="93" t="str">
        <f t="shared" si="1"/>
        <v/>
      </c>
      <c r="M840" s="98">
        <f t="shared" si="2"/>
        <v>0</v>
      </c>
      <c r="N840" s="77"/>
      <c r="O840" s="90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</row>
    <row r="841" ht="18.0" customHeight="1">
      <c r="A841" s="81"/>
      <c r="B841" s="91" t="str">
        <f>"56-00-46"</f>
        <v>56-00-46</v>
      </c>
      <c r="C841" s="91" t="str">
        <f>"693102600461"</f>
        <v>693102600461</v>
      </c>
      <c r="D841" s="92" t="s">
        <v>864</v>
      </c>
      <c r="E841" s="93" t="s">
        <v>375</v>
      </c>
      <c r="F841" s="94">
        <v>19.0</v>
      </c>
      <c r="G841" s="94">
        <v>9.5</v>
      </c>
      <c r="H841" s="95">
        <v>0.604</v>
      </c>
      <c r="I841" s="96">
        <v>9.0288</v>
      </c>
      <c r="J841" s="93" t="s">
        <v>31</v>
      </c>
      <c r="K841" s="97"/>
      <c r="L841" s="93" t="str">
        <f t="shared" si="1"/>
        <v/>
      </c>
      <c r="M841" s="98">
        <f t="shared" si="2"/>
        <v>0</v>
      </c>
      <c r="N841" s="77"/>
      <c r="O841" s="90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</row>
    <row r="842" ht="18.0" customHeight="1">
      <c r="A842" s="81"/>
      <c r="B842" s="91" t="str">
        <f>"56-33-69"</f>
        <v>56-33-69</v>
      </c>
      <c r="C842" s="91" t="str">
        <f>"693102633698"</f>
        <v>693102633698</v>
      </c>
      <c r="D842" s="92" t="s">
        <v>865</v>
      </c>
      <c r="E842" s="93" t="s">
        <v>375</v>
      </c>
      <c r="F842" s="94">
        <v>19.0</v>
      </c>
      <c r="G842" s="94">
        <v>9.5</v>
      </c>
      <c r="H842" s="95">
        <v>0.604</v>
      </c>
      <c r="I842" s="96">
        <v>9.0288</v>
      </c>
      <c r="J842" s="93" t="s">
        <v>31</v>
      </c>
      <c r="K842" s="97"/>
      <c r="L842" s="93" t="str">
        <f t="shared" si="1"/>
        <v/>
      </c>
      <c r="M842" s="98">
        <f t="shared" si="2"/>
        <v>0</v>
      </c>
      <c r="N842" s="77"/>
      <c r="O842" s="90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</row>
    <row r="843" ht="18.0" customHeight="1">
      <c r="A843" s="81"/>
      <c r="B843" s="91" t="str">
        <f>"56-33-03"</f>
        <v>56-33-03</v>
      </c>
      <c r="C843" s="91" t="str">
        <f>"693102633032"</f>
        <v>693102633032</v>
      </c>
      <c r="D843" s="92" t="s">
        <v>866</v>
      </c>
      <c r="E843" s="93" t="s">
        <v>375</v>
      </c>
      <c r="F843" s="94">
        <v>19.0</v>
      </c>
      <c r="G843" s="94">
        <v>9.5</v>
      </c>
      <c r="H843" s="95">
        <v>0.604</v>
      </c>
      <c r="I843" s="96">
        <v>9.0288</v>
      </c>
      <c r="J843" s="93" t="s">
        <v>31</v>
      </c>
      <c r="K843" s="97"/>
      <c r="L843" s="93" t="str">
        <f t="shared" si="1"/>
        <v/>
      </c>
      <c r="M843" s="98">
        <f t="shared" si="2"/>
        <v>0</v>
      </c>
      <c r="N843" s="77"/>
      <c r="O843" s="90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</row>
    <row r="844" ht="18.0" customHeight="1">
      <c r="A844" s="81"/>
      <c r="B844" s="91" t="str">
        <f>"56-00-05"</f>
        <v>56-00-05</v>
      </c>
      <c r="C844" s="91" t="str">
        <f>"693102600058"</f>
        <v>693102600058</v>
      </c>
      <c r="D844" s="92" t="s">
        <v>867</v>
      </c>
      <c r="E844" s="93" t="s">
        <v>375</v>
      </c>
      <c r="F844" s="94">
        <v>19.0</v>
      </c>
      <c r="G844" s="94">
        <v>9.5</v>
      </c>
      <c r="H844" s="95">
        <v>0.604</v>
      </c>
      <c r="I844" s="96">
        <v>9.0288</v>
      </c>
      <c r="J844" s="93" t="s">
        <v>31</v>
      </c>
      <c r="K844" s="97"/>
      <c r="L844" s="93" t="str">
        <f t="shared" si="1"/>
        <v/>
      </c>
      <c r="M844" s="98">
        <f t="shared" si="2"/>
        <v>0</v>
      </c>
      <c r="N844" s="77"/>
      <c r="O844" s="90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</row>
    <row r="845" ht="18.0" customHeight="1">
      <c r="A845" s="81"/>
      <c r="B845" s="91" t="str">
        <f>"56-33-73"</f>
        <v>56-33-73</v>
      </c>
      <c r="C845" s="91" t="str">
        <f>"693102633735"</f>
        <v>693102633735</v>
      </c>
      <c r="D845" s="92" t="s">
        <v>868</v>
      </c>
      <c r="E845" s="93" t="s">
        <v>375</v>
      </c>
      <c r="F845" s="94">
        <v>19.0</v>
      </c>
      <c r="G845" s="94">
        <v>9.5</v>
      </c>
      <c r="H845" s="95">
        <v>0.604</v>
      </c>
      <c r="I845" s="96">
        <v>9.0288</v>
      </c>
      <c r="J845" s="93" t="s">
        <v>31</v>
      </c>
      <c r="K845" s="97"/>
      <c r="L845" s="93" t="str">
        <f t="shared" si="1"/>
        <v/>
      </c>
      <c r="M845" s="98">
        <f t="shared" si="2"/>
        <v>0</v>
      </c>
      <c r="N845" s="77"/>
      <c r="O845" s="90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</row>
    <row r="846" ht="18.0" customHeight="1">
      <c r="A846" s="81"/>
      <c r="B846" s="91" t="str">
        <f>"56-00-02"</f>
        <v>56-00-02</v>
      </c>
      <c r="C846" s="91" t="str">
        <f>"693102517028"</f>
        <v>693102517028</v>
      </c>
      <c r="D846" s="92" t="s">
        <v>869</v>
      </c>
      <c r="E846" s="93" t="s">
        <v>375</v>
      </c>
      <c r="F846" s="94">
        <v>19.0</v>
      </c>
      <c r="G846" s="94">
        <v>9.5</v>
      </c>
      <c r="H846" s="95">
        <v>0.604</v>
      </c>
      <c r="I846" s="96">
        <v>9.0288</v>
      </c>
      <c r="J846" s="93" t="s">
        <v>31</v>
      </c>
      <c r="K846" s="97"/>
      <c r="L846" s="93" t="str">
        <f t="shared" si="1"/>
        <v/>
      </c>
      <c r="M846" s="98">
        <f t="shared" si="2"/>
        <v>0</v>
      </c>
      <c r="N846" s="77"/>
      <c r="O846" s="90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</row>
    <row r="847" ht="18.0" customHeight="1">
      <c r="A847" s="81"/>
      <c r="B847" s="91" t="str">
        <f>"56-00-08"</f>
        <v>56-00-08</v>
      </c>
      <c r="C847" s="91" t="str">
        <f>"693102600089"</f>
        <v>693102600089</v>
      </c>
      <c r="D847" s="92" t="s">
        <v>870</v>
      </c>
      <c r="E847" s="93" t="s">
        <v>375</v>
      </c>
      <c r="F847" s="94">
        <v>19.0</v>
      </c>
      <c r="G847" s="94">
        <v>9.5</v>
      </c>
      <c r="H847" s="95">
        <v>0.604</v>
      </c>
      <c r="I847" s="96">
        <v>9.0288</v>
      </c>
      <c r="J847" s="93" t="s">
        <v>31</v>
      </c>
      <c r="K847" s="97"/>
      <c r="L847" s="93" t="str">
        <f t="shared" si="1"/>
        <v/>
      </c>
      <c r="M847" s="98">
        <f t="shared" si="2"/>
        <v>0</v>
      </c>
      <c r="N847" s="77"/>
      <c r="O847" s="90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</row>
    <row r="848" ht="18.0" customHeight="1">
      <c r="A848" s="81"/>
      <c r="B848" s="91" t="str">
        <f>"56-00-09"</f>
        <v>56-00-09</v>
      </c>
      <c r="C848" s="91" t="str">
        <f>"693102517097"</f>
        <v>693102517097</v>
      </c>
      <c r="D848" s="92" t="s">
        <v>871</v>
      </c>
      <c r="E848" s="93" t="s">
        <v>375</v>
      </c>
      <c r="F848" s="94">
        <v>19.0</v>
      </c>
      <c r="G848" s="94">
        <v>9.5</v>
      </c>
      <c r="H848" s="95">
        <v>0.604</v>
      </c>
      <c r="I848" s="96">
        <v>9.0288</v>
      </c>
      <c r="J848" s="93" t="s">
        <v>31</v>
      </c>
      <c r="K848" s="97"/>
      <c r="L848" s="93" t="str">
        <f t="shared" si="1"/>
        <v/>
      </c>
      <c r="M848" s="98">
        <f t="shared" si="2"/>
        <v>0</v>
      </c>
      <c r="N848" s="77"/>
      <c r="O848" s="90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</row>
    <row r="849" ht="18.0" customHeight="1">
      <c r="A849" s="81"/>
      <c r="B849" s="91" t="str">
        <f>"56-00-04"</f>
        <v>56-00-04</v>
      </c>
      <c r="C849" s="91" t="str">
        <f>"693102517042"</f>
        <v>693102517042</v>
      </c>
      <c r="D849" s="92" t="s">
        <v>872</v>
      </c>
      <c r="E849" s="93" t="s">
        <v>375</v>
      </c>
      <c r="F849" s="94">
        <v>19.0</v>
      </c>
      <c r="G849" s="94">
        <v>9.5</v>
      </c>
      <c r="H849" s="95">
        <v>0.604</v>
      </c>
      <c r="I849" s="96">
        <v>9.0288</v>
      </c>
      <c r="J849" s="93" t="s">
        <v>31</v>
      </c>
      <c r="K849" s="97"/>
      <c r="L849" s="93" t="str">
        <f t="shared" si="1"/>
        <v/>
      </c>
      <c r="M849" s="98">
        <f t="shared" si="2"/>
        <v>0</v>
      </c>
      <c r="N849" s="77"/>
      <c r="O849" s="90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</row>
    <row r="850" ht="18.0" customHeight="1">
      <c r="A850" s="81"/>
      <c r="B850" s="91" t="str">
        <f>"56-00-06"</f>
        <v>56-00-06</v>
      </c>
      <c r="C850" s="91" t="str">
        <f>"693102600065"</f>
        <v>693102600065</v>
      </c>
      <c r="D850" s="92" t="s">
        <v>873</v>
      </c>
      <c r="E850" s="93" t="s">
        <v>375</v>
      </c>
      <c r="F850" s="94">
        <v>19.0</v>
      </c>
      <c r="G850" s="94">
        <v>9.5</v>
      </c>
      <c r="H850" s="95">
        <v>0.604</v>
      </c>
      <c r="I850" s="96">
        <v>9.0288</v>
      </c>
      <c r="J850" s="93" t="s">
        <v>31</v>
      </c>
      <c r="K850" s="97"/>
      <c r="L850" s="93" t="str">
        <f t="shared" si="1"/>
        <v/>
      </c>
      <c r="M850" s="98">
        <f t="shared" si="2"/>
        <v>0</v>
      </c>
      <c r="N850" s="77"/>
      <c r="O850" s="90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</row>
    <row r="851" ht="18.0" customHeight="1">
      <c r="A851" s="81"/>
      <c r="B851" s="91" t="str">
        <f>"56-33-76"</f>
        <v>56-33-76</v>
      </c>
      <c r="C851" s="91" t="str">
        <f>"693102633766"</f>
        <v>693102633766</v>
      </c>
      <c r="D851" s="92" t="s">
        <v>874</v>
      </c>
      <c r="E851" s="93" t="s">
        <v>375</v>
      </c>
      <c r="F851" s="94">
        <v>19.0</v>
      </c>
      <c r="G851" s="94">
        <v>9.5</v>
      </c>
      <c r="H851" s="95">
        <v>0.604</v>
      </c>
      <c r="I851" s="96">
        <v>9.0288</v>
      </c>
      <c r="J851" s="93" t="s">
        <v>31</v>
      </c>
      <c r="K851" s="97"/>
      <c r="L851" s="93" t="str">
        <f t="shared" si="1"/>
        <v/>
      </c>
      <c r="M851" s="98">
        <f t="shared" si="2"/>
        <v>0</v>
      </c>
      <c r="N851" s="77"/>
      <c r="O851" s="90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</row>
    <row r="852" ht="18.0" customHeight="1">
      <c r="A852" s="81"/>
      <c r="B852" s="91" t="str">
        <f>"56-00-03"</f>
        <v>56-00-03</v>
      </c>
      <c r="C852" s="91" t="str">
        <f>"693102517035"</f>
        <v>693102517035</v>
      </c>
      <c r="D852" s="92" t="s">
        <v>875</v>
      </c>
      <c r="E852" s="93" t="s">
        <v>375</v>
      </c>
      <c r="F852" s="94">
        <v>19.0</v>
      </c>
      <c r="G852" s="94">
        <v>9.5</v>
      </c>
      <c r="H852" s="95">
        <v>0.604</v>
      </c>
      <c r="I852" s="96">
        <v>9.0288</v>
      </c>
      <c r="J852" s="93" t="s">
        <v>31</v>
      </c>
      <c r="K852" s="97"/>
      <c r="L852" s="93" t="str">
        <f t="shared" si="1"/>
        <v/>
      </c>
      <c r="M852" s="98">
        <f t="shared" si="2"/>
        <v>0</v>
      </c>
      <c r="N852" s="77"/>
      <c r="O852" s="90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</row>
    <row r="853" ht="18.0" customHeight="1">
      <c r="A853" s="81"/>
      <c r="B853" s="91" t="str">
        <f>"56-33-75"</f>
        <v>56-33-75</v>
      </c>
      <c r="C853" s="91" t="str">
        <f>"693102633759"</f>
        <v>693102633759</v>
      </c>
      <c r="D853" s="92" t="s">
        <v>876</v>
      </c>
      <c r="E853" s="93" t="s">
        <v>375</v>
      </c>
      <c r="F853" s="94">
        <v>19.0</v>
      </c>
      <c r="G853" s="94">
        <v>9.5</v>
      </c>
      <c r="H853" s="95">
        <v>0.604</v>
      </c>
      <c r="I853" s="96">
        <v>9.0288</v>
      </c>
      <c r="J853" s="93" t="s">
        <v>31</v>
      </c>
      <c r="K853" s="97"/>
      <c r="L853" s="93" t="str">
        <f t="shared" si="1"/>
        <v/>
      </c>
      <c r="M853" s="98">
        <f t="shared" si="2"/>
        <v>0</v>
      </c>
      <c r="N853" s="77"/>
      <c r="O853" s="90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</row>
    <row r="854" ht="18.0" customHeight="1">
      <c r="A854" s="81"/>
      <c r="B854" s="91" t="str">
        <f>"56-00-07"</f>
        <v>56-00-07</v>
      </c>
      <c r="C854" s="91" t="str">
        <f>"693102600072"</f>
        <v>693102600072</v>
      </c>
      <c r="D854" s="92" t="s">
        <v>877</v>
      </c>
      <c r="E854" s="93" t="s">
        <v>375</v>
      </c>
      <c r="F854" s="94">
        <v>19.0</v>
      </c>
      <c r="G854" s="94">
        <v>9.5</v>
      </c>
      <c r="H854" s="95">
        <v>0.604</v>
      </c>
      <c r="I854" s="96">
        <v>9.0288</v>
      </c>
      <c r="J854" s="93" t="s">
        <v>31</v>
      </c>
      <c r="K854" s="97"/>
      <c r="L854" s="93" t="str">
        <f t="shared" si="1"/>
        <v/>
      </c>
      <c r="M854" s="98">
        <f t="shared" si="2"/>
        <v>0</v>
      </c>
      <c r="N854" s="77"/>
      <c r="O854" s="90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</row>
    <row r="855" ht="18.0" customHeight="1">
      <c r="A855" s="81"/>
      <c r="B855" s="91" t="str">
        <f>"59-33-85"</f>
        <v>59-33-85</v>
      </c>
      <c r="C855" s="91" t="str">
        <f>"693102933859"</f>
        <v>693102933859</v>
      </c>
      <c r="D855" s="92" t="s">
        <v>878</v>
      </c>
      <c r="E855" s="93" t="s">
        <v>248</v>
      </c>
      <c r="F855" s="94">
        <v>29.0</v>
      </c>
      <c r="G855" s="94">
        <v>14.5</v>
      </c>
      <c r="H855" s="95">
        <v>0.604</v>
      </c>
      <c r="I855" s="96">
        <v>13.7808</v>
      </c>
      <c r="J855" s="93" t="s">
        <v>31</v>
      </c>
      <c r="K855" s="97"/>
      <c r="L855" s="93" t="str">
        <f t="shared" si="1"/>
        <v/>
      </c>
      <c r="M855" s="98">
        <f t="shared" si="2"/>
        <v>0</v>
      </c>
      <c r="N855" s="77"/>
      <c r="O855" s="90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</row>
    <row r="856" ht="18.0" customHeight="1">
      <c r="A856" s="81"/>
      <c r="B856" s="91" t="str">
        <f>"51788"</f>
        <v>51788</v>
      </c>
      <c r="C856" s="91" t="str">
        <f>"693102517882"</f>
        <v>693102517882</v>
      </c>
      <c r="D856" s="92" t="s">
        <v>879</v>
      </c>
      <c r="E856" s="93" t="s">
        <v>248</v>
      </c>
      <c r="F856" s="94">
        <v>29.0</v>
      </c>
      <c r="G856" s="94">
        <v>14.5</v>
      </c>
      <c r="H856" s="95">
        <v>0.604</v>
      </c>
      <c r="I856" s="96">
        <v>13.7808</v>
      </c>
      <c r="J856" s="93" t="s">
        <v>31</v>
      </c>
      <c r="K856" s="97"/>
      <c r="L856" s="93" t="str">
        <f t="shared" si="1"/>
        <v/>
      </c>
      <c r="M856" s="98">
        <f t="shared" si="2"/>
        <v>0</v>
      </c>
      <c r="N856" s="77"/>
      <c r="O856" s="90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</row>
    <row r="857" ht="18.0" customHeight="1">
      <c r="A857" s="81"/>
      <c r="B857" s="91" t="str">
        <f>"59-33-86"</f>
        <v>59-33-86</v>
      </c>
      <c r="C857" s="91" t="str">
        <f>"693102933866"</f>
        <v>693102933866</v>
      </c>
      <c r="D857" s="92" t="s">
        <v>880</v>
      </c>
      <c r="E857" s="93" t="s">
        <v>248</v>
      </c>
      <c r="F857" s="94">
        <v>29.0</v>
      </c>
      <c r="G857" s="94">
        <v>14.5</v>
      </c>
      <c r="H857" s="95">
        <v>0.604</v>
      </c>
      <c r="I857" s="96">
        <v>13.7808</v>
      </c>
      <c r="J857" s="93" t="s">
        <v>31</v>
      </c>
      <c r="K857" s="97"/>
      <c r="L857" s="93" t="str">
        <f t="shared" si="1"/>
        <v/>
      </c>
      <c r="M857" s="98">
        <f t="shared" si="2"/>
        <v>0</v>
      </c>
      <c r="N857" s="77"/>
      <c r="O857" s="90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</row>
    <row r="858" ht="18.0" customHeight="1">
      <c r="A858" s="81"/>
      <c r="B858" s="91" t="str">
        <f>"10611"</f>
        <v>10611</v>
      </c>
      <c r="C858" s="91" t="str">
        <f>"693102106116"</f>
        <v>693102106116</v>
      </c>
      <c r="D858" s="92" t="s">
        <v>881</v>
      </c>
      <c r="E858" s="93" t="s">
        <v>248</v>
      </c>
      <c r="F858" s="94">
        <v>29.0</v>
      </c>
      <c r="G858" s="94">
        <v>14.5</v>
      </c>
      <c r="H858" s="95">
        <v>0.604</v>
      </c>
      <c r="I858" s="96">
        <v>13.780800000000005</v>
      </c>
      <c r="J858" s="93" t="s">
        <v>31</v>
      </c>
      <c r="K858" s="97"/>
      <c r="L858" s="93" t="str">
        <f t="shared" si="1"/>
        <v/>
      </c>
      <c r="M858" s="98">
        <f t="shared" si="2"/>
        <v>0</v>
      </c>
      <c r="N858" s="77"/>
      <c r="O858" s="90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</row>
    <row r="859" ht="18.0" customHeight="1">
      <c r="A859" s="81"/>
      <c r="B859" s="91" t="str">
        <f>"59-33-87"</f>
        <v>59-33-87</v>
      </c>
      <c r="C859" s="91" t="str">
        <f>"693102517875"</f>
        <v>693102517875</v>
      </c>
      <c r="D859" s="92" t="s">
        <v>882</v>
      </c>
      <c r="E859" s="93" t="s">
        <v>248</v>
      </c>
      <c r="F859" s="94">
        <v>29.0</v>
      </c>
      <c r="G859" s="94">
        <v>14.5</v>
      </c>
      <c r="H859" s="95">
        <v>0.604</v>
      </c>
      <c r="I859" s="96">
        <v>13.7808</v>
      </c>
      <c r="J859" s="93" t="s">
        <v>31</v>
      </c>
      <c r="K859" s="97"/>
      <c r="L859" s="93" t="str">
        <f t="shared" si="1"/>
        <v/>
      </c>
      <c r="M859" s="98">
        <f t="shared" si="2"/>
        <v>0</v>
      </c>
      <c r="N859" s="77"/>
      <c r="O859" s="90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</row>
    <row r="860" ht="18.0" customHeight="1">
      <c r="A860" s="81"/>
      <c r="B860" s="91" t="str">
        <f>"59-33-84"</f>
        <v>59-33-84</v>
      </c>
      <c r="C860" s="91" t="str">
        <f>"693102933842"</f>
        <v>693102933842</v>
      </c>
      <c r="D860" s="92" t="s">
        <v>883</v>
      </c>
      <c r="E860" s="93" t="s">
        <v>248</v>
      </c>
      <c r="F860" s="94">
        <v>29.0</v>
      </c>
      <c r="G860" s="94">
        <v>14.5</v>
      </c>
      <c r="H860" s="95">
        <v>0.604</v>
      </c>
      <c r="I860" s="96">
        <v>13.7808</v>
      </c>
      <c r="J860" s="93" t="s">
        <v>31</v>
      </c>
      <c r="K860" s="97"/>
      <c r="L860" s="93" t="str">
        <f t="shared" si="1"/>
        <v/>
      </c>
      <c r="M860" s="98">
        <f t="shared" si="2"/>
        <v>0</v>
      </c>
      <c r="N860" s="77"/>
      <c r="O860" s="90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</row>
    <row r="861" ht="18.0" customHeight="1">
      <c r="A861" s="81"/>
      <c r="B861" s="91" t="str">
        <f>"10610"</f>
        <v>10610</v>
      </c>
      <c r="C861" s="91" t="str">
        <f>"693102106109"</f>
        <v>693102106109</v>
      </c>
      <c r="D861" s="92" t="s">
        <v>884</v>
      </c>
      <c r="E861" s="93" t="s">
        <v>248</v>
      </c>
      <c r="F861" s="94">
        <v>29.0</v>
      </c>
      <c r="G861" s="94">
        <v>14.5</v>
      </c>
      <c r="H861" s="95">
        <v>0.604</v>
      </c>
      <c r="I861" s="96">
        <v>13.780800000000005</v>
      </c>
      <c r="J861" s="93" t="s">
        <v>31</v>
      </c>
      <c r="K861" s="97"/>
      <c r="L861" s="93" t="str">
        <f t="shared" si="1"/>
        <v/>
      </c>
      <c r="M861" s="98">
        <f t="shared" si="2"/>
        <v>0</v>
      </c>
      <c r="N861" s="77"/>
      <c r="O861" s="90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</row>
    <row r="862" ht="18.0" customHeight="1">
      <c r="A862" s="81"/>
      <c r="B862" s="91" t="str">
        <f>"16033"</f>
        <v>16033</v>
      </c>
      <c r="C862" s="91" t="str">
        <f>"693102160330"</f>
        <v>693102160330</v>
      </c>
      <c r="D862" s="92" t="s">
        <v>885</v>
      </c>
      <c r="E862" s="93" t="s">
        <v>248</v>
      </c>
      <c r="F862" s="94">
        <v>35.0</v>
      </c>
      <c r="G862" s="94">
        <v>17.5</v>
      </c>
      <c r="H862" s="95">
        <v>0.604</v>
      </c>
      <c r="I862" s="96">
        <v>16.631999999999998</v>
      </c>
      <c r="J862" s="93" t="s">
        <v>31</v>
      </c>
      <c r="K862" s="97"/>
      <c r="L862" s="93" t="str">
        <f t="shared" si="1"/>
        <v/>
      </c>
      <c r="M862" s="98">
        <f t="shared" si="2"/>
        <v>0</v>
      </c>
      <c r="N862" s="77"/>
      <c r="O862" s="90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</row>
    <row r="863" ht="18.0" customHeight="1">
      <c r="A863" s="81"/>
      <c r="B863" s="91" t="str">
        <f>"35020"</f>
        <v>35020</v>
      </c>
      <c r="C863" s="91" t="str">
        <f>"693102350205"</f>
        <v>693102350205</v>
      </c>
      <c r="D863" s="92" t="s">
        <v>886</v>
      </c>
      <c r="E863" s="93" t="s">
        <v>248</v>
      </c>
      <c r="F863" s="94">
        <v>35.0</v>
      </c>
      <c r="G863" s="94">
        <v>17.5</v>
      </c>
      <c r="H863" s="95">
        <v>0.604</v>
      </c>
      <c r="I863" s="96">
        <v>16.631999999999998</v>
      </c>
      <c r="J863" s="93" t="s">
        <v>31</v>
      </c>
      <c r="K863" s="97"/>
      <c r="L863" s="93" t="str">
        <f t="shared" si="1"/>
        <v/>
      </c>
      <c r="M863" s="98">
        <f t="shared" si="2"/>
        <v>0</v>
      </c>
      <c r="N863" s="77"/>
      <c r="O863" s="90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</row>
    <row r="864" ht="18.0" customHeight="1">
      <c r="A864" s="81"/>
      <c r="B864" s="91" t="str">
        <f>"51711"</f>
        <v>51711</v>
      </c>
      <c r="C864" s="91" t="str">
        <f>"693102517110"</f>
        <v>693102517110</v>
      </c>
      <c r="D864" s="92" t="s">
        <v>887</v>
      </c>
      <c r="E864" s="93" t="s">
        <v>723</v>
      </c>
      <c r="F864" s="94">
        <v>15.0</v>
      </c>
      <c r="G864" s="94">
        <v>7.5</v>
      </c>
      <c r="H864" s="95">
        <v>0.6039999999999999</v>
      </c>
      <c r="I864" s="96">
        <v>7.128</v>
      </c>
      <c r="J864" s="93" t="s">
        <v>31</v>
      </c>
      <c r="K864" s="97"/>
      <c r="L864" s="93" t="str">
        <f t="shared" si="1"/>
        <v/>
      </c>
      <c r="M864" s="98">
        <f t="shared" si="2"/>
        <v>0</v>
      </c>
      <c r="N864" s="77"/>
      <c r="O864" s="90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</row>
    <row r="865" ht="18.0" customHeight="1">
      <c r="A865" s="81"/>
      <c r="B865" s="91" t="str">
        <f>"51712"</f>
        <v>51712</v>
      </c>
      <c r="C865" s="91" t="str">
        <f>"693102517127"</f>
        <v>693102517127</v>
      </c>
      <c r="D865" s="92" t="s">
        <v>888</v>
      </c>
      <c r="E865" s="93" t="s">
        <v>723</v>
      </c>
      <c r="F865" s="94">
        <v>15.0</v>
      </c>
      <c r="G865" s="94">
        <v>7.5</v>
      </c>
      <c r="H865" s="95">
        <v>0.6039999999999999</v>
      </c>
      <c r="I865" s="96">
        <v>7.128</v>
      </c>
      <c r="J865" s="93" t="s">
        <v>31</v>
      </c>
      <c r="K865" s="97"/>
      <c r="L865" s="93" t="str">
        <f t="shared" si="1"/>
        <v/>
      </c>
      <c r="M865" s="98">
        <f t="shared" si="2"/>
        <v>0</v>
      </c>
      <c r="N865" s="77"/>
      <c r="O865" s="90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</row>
    <row r="866" ht="18.0" customHeight="1">
      <c r="A866" s="81"/>
      <c r="B866" s="91" t="str">
        <f>"35023"</f>
        <v>35023</v>
      </c>
      <c r="C866" s="91" t="str">
        <f>"693102350236"</f>
        <v>693102350236</v>
      </c>
      <c r="D866" s="92" t="s">
        <v>889</v>
      </c>
      <c r="E866" s="93" t="s">
        <v>95</v>
      </c>
      <c r="F866" s="94">
        <v>129.0</v>
      </c>
      <c r="G866" s="94">
        <v>64.5</v>
      </c>
      <c r="H866" s="95">
        <v>0.604</v>
      </c>
      <c r="I866" s="96">
        <v>61.3008</v>
      </c>
      <c r="J866" s="93" t="s">
        <v>31</v>
      </c>
      <c r="K866" s="97"/>
      <c r="L866" s="93" t="str">
        <f t="shared" si="1"/>
        <v/>
      </c>
      <c r="M866" s="98">
        <f t="shared" si="2"/>
        <v>0</v>
      </c>
      <c r="N866" s="77"/>
      <c r="O866" s="90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</row>
    <row r="867" ht="18.0" customHeight="1">
      <c r="A867" s="81"/>
      <c r="B867" s="91" t="str">
        <f>"20227"</f>
        <v>20227</v>
      </c>
      <c r="C867" s="91" t="str">
        <f>"693102202276"</f>
        <v>693102202276</v>
      </c>
      <c r="D867" s="92" t="s">
        <v>890</v>
      </c>
      <c r="E867" s="93" t="s">
        <v>95</v>
      </c>
      <c r="F867" s="94">
        <v>59.0</v>
      </c>
      <c r="G867" s="94">
        <v>29.5</v>
      </c>
      <c r="H867" s="95">
        <v>0.604</v>
      </c>
      <c r="I867" s="96">
        <v>28.036800000000003</v>
      </c>
      <c r="J867" s="93" t="s">
        <v>31</v>
      </c>
      <c r="K867" s="97"/>
      <c r="L867" s="93" t="str">
        <f t="shared" si="1"/>
        <v/>
      </c>
      <c r="M867" s="98">
        <f t="shared" si="2"/>
        <v>0</v>
      </c>
      <c r="N867" s="77"/>
      <c r="O867" s="90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</row>
    <row r="868" ht="18.0" customHeight="1">
      <c r="A868" s="81"/>
      <c r="B868" s="91" t="str">
        <f>"20226"</f>
        <v>20226</v>
      </c>
      <c r="C868" s="91" t="str">
        <f>"693102202269"</f>
        <v>693102202269</v>
      </c>
      <c r="D868" s="92" t="s">
        <v>891</v>
      </c>
      <c r="E868" s="93" t="s">
        <v>95</v>
      </c>
      <c r="F868" s="94">
        <v>59.0</v>
      </c>
      <c r="G868" s="94">
        <v>29.5</v>
      </c>
      <c r="H868" s="95">
        <v>0.604</v>
      </c>
      <c r="I868" s="96">
        <v>28.036800000000003</v>
      </c>
      <c r="J868" s="93" t="s">
        <v>31</v>
      </c>
      <c r="K868" s="97"/>
      <c r="L868" s="93" t="str">
        <f t="shared" si="1"/>
        <v/>
      </c>
      <c r="M868" s="98">
        <f t="shared" si="2"/>
        <v>0</v>
      </c>
      <c r="N868" s="77"/>
      <c r="O868" s="90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</row>
    <row r="869" ht="18.0" customHeight="1">
      <c r="A869" s="81"/>
      <c r="B869" s="91" t="str">
        <f>"20228"</f>
        <v>20228</v>
      </c>
      <c r="C869" s="91" t="str">
        <f>"693102202283"</f>
        <v>693102202283</v>
      </c>
      <c r="D869" s="92" t="s">
        <v>892</v>
      </c>
      <c r="E869" s="93" t="s">
        <v>95</v>
      </c>
      <c r="F869" s="94">
        <v>59.0</v>
      </c>
      <c r="G869" s="94">
        <v>29.5</v>
      </c>
      <c r="H869" s="95">
        <v>0.604</v>
      </c>
      <c r="I869" s="96">
        <v>28.036800000000003</v>
      </c>
      <c r="J869" s="93" t="s">
        <v>31</v>
      </c>
      <c r="K869" s="97"/>
      <c r="L869" s="93" t="str">
        <f t="shared" si="1"/>
        <v/>
      </c>
      <c r="M869" s="98">
        <f t="shared" si="2"/>
        <v>0</v>
      </c>
      <c r="N869" s="77"/>
      <c r="O869" s="90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</row>
    <row r="870" ht="18.0" customHeight="1">
      <c r="A870" s="81"/>
      <c r="B870" s="91" t="str">
        <f>"26specify color"</f>
        <v>26specify color</v>
      </c>
      <c r="C870" s="91" t="str">
        <f t="shared" ref="C870:C892" si="5">""</f>
        <v/>
      </c>
      <c r="D870" s="92" t="s">
        <v>893</v>
      </c>
      <c r="E870" s="93" t="s">
        <v>894</v>
      </c>
      <c r="F870" s="94">
        <v>9.0</v>
      </c>
      <c r="G870" s="94">
        <v>4.5</v>
      </c>
      <c r="H870" s="95">
        <v>0.604</v>
      </c>
      <c r="I870" s="96">
        <v>4.2768</v>
      </c>
      <c r="J870" s="93" t="s">
        <v>31</v>
      </c>
      <c r="K870" s="97"/>
      <c r="L870" s="93" t="str">
        <f t="shared" si="1"/>
        <v/>
      </c>
      <c r="M870" s="98">
        <f t="shared" si="2"/>
        <v>0</v>
      </c>
      <c r="N870" s="77"/>
      <c r="O870" s="90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</row>
    <row r="871" ht="18.0" customHeight="1">
      <c r="A871" s="81"/>
      <c r="B871" s="91" t="str">
        <f t="shared" ref="B871:B872" si="6">"36specify color"</f>
        <v>36specify color</v>
      </c>
      <c r="C871" s="91" t="str">
        <f t="shared" si="5"/>
        <v/>
      </c>
      <c r="D871" s="92" t="s">
        <v>895</v>
      </c>
      <c r="E871" s="93" t="s">
        <v>375</v>
      </c>
      <c r="F871" s="94">
        <v>12.0</v>
      </c>
      <c r="G871" s="94">
        <v>6.0</v>
      </c>
      <c r="H871" s="95">
        <v>0.604</v>
      </c>
      <c r="I871" s="96">
        <v>5.7024</v>
      </c>
      <c r="J871" s="93" t="s">
        <v>31</v>
      </c>
      <c r="K871" s="97"/>
      <c r="L871" s="93" t="str">
        <f t="shared" si="1"/>
        <v/>
      </c>
      <c r="M871" s="98">
        <f t="shared" si="2"/>
        <v>0</v>
      </c>
      <c r="N871" s="77"/>
      <c r="O871" s="90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</row>
    <row r="872" ht="18.0" customHeight="1">
      <c r="A872" s="81"/>
      <c r="B872" s="91" t="str">
        <f t="shared" si="6"/>
        <v>36specify color</v>
      </c>
      <c r="C872" s="91" t="str">
        <f t="shared" si="5"/>
        <v/>
      </c>
      <c r="D872" s="92" t="s">
        <v>896</v>
      </c>
      <c r="E872" s="93" t="s">
        <v>375</v>
      </c>
      <c r="F872" s="94">
        <v>12.0</v>
      </c>
      <c r="G872" s="94">
        <v>6.0</v>
      </c>
      <c r="H872" s="95">
        <v>0.604</v>
      </c>
      <c r="I872" s="96">
        <v>5.7024</v>
      </c>
      <c r="J872" s="93" t="s">
        <v>31</v>
      </c>
      <c r="K872" s="97"/>
      <c r="L872" s="93" t="str">
        <f t="shared" si="1"/>
        <v/>
      </c>
      <c r="M872" s="98">
        <f t="shared" si="2"/>
        <v>0</v>
      </c>
      <c r="N872" s="77"/>
      <c r="O872" s="90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</row>
    <row r="873" ht="18.0" customHeight="1">
      <c r="A873" s="81"/>
      <c r="B873" s="91" t="str">
        <f>"36specify item"</f>
        <v>36specify item</v>
      </c>
      <c r="C873" s="91" t="str">
        <f t="shared" si="5"/>
        <v/>
      </c>
      <c r="D873" s="92" t="s">
        <v>897</v>
      </c>
      <c r="E873" s="93" t="s">
        <v>375</v>
      </c>
      <c r="F873" s="94">
        <v>12.0</v>
      </c>
      <c r="G873" s="94">
        <v>6.0</v>
      </c>
      <c r="H873" s="95">
        <v>0.604</v>
      </c>
      <c r="I873" s="96">
        <v>5.7024</v>
      </c>
      <c r="J873" s="93" t="s">
        <v>31</v>
      </c>
      <c r="K873" s="97"/>
      <c r="L873" s="93" t="str">
        <f t="shared" si="1"/>
        <v/>
      </c>
      <c r="M873" s="98">
        <f t="shared" si="2"/>
        <v>0</v>
      </c>
      <c r="N873" s="77"/>
      <c r="O873" s="90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</row>
    <row r="874" ht="18.0" customHeight="1">
      <c r="A874" s="81"/>
      <c r="B874" s="91" t="str">
        <f>"36095"</f>
        <v>36095</v>
      </c>
      <c r="C874" s="91" t="str">
        <f t="shared" si="5"/>
        <v/>
      </c>
      <c r="D874" s="92" t="s">
        <v>898</v>
      </c>
      <c r="E874" s="93" t="s">
        <v>375</v>
      </c>
      <c r="F874" s="94">
        <v>15.0</v>
      </c>
      <c r="G874" s="94">
        <v>7.5</v>
      </c>
      <c r="H874" s="95">
        <v>0.6039999999999999</v>
      </c>
      <c r="I874" s="96">
        <v>7.128</v>
      </c>
      <c r="J874" s="93" t="s">
        <v>31</v>
      </c>
      <c r="K874" s="97"/>
      <c r="L874" s="93" t="str">
        <f t="shared" si="1"/>
        <v/>
      </c>
      <c r="M874" s="98">
        <f t="shared" si="2"/>
        <v>0</v>
      </c>
      <c r="N874" s="77"/>
      <c r="O874" s="90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</row>
    <row r="875" ht="18.0" customHeight="1">
      <c r="A875" s="81"/>
      <c r="B875" s="91" t="str">
        <f>"36096"</f>
        <v>36096</v>
      </c>
      <c r="C875" s="91" t="str">
        <f t="shared" si="5"/>
        <v/>
      </c>
      <c r="D875" s="92" t="s">
        <v>899</v>
      </c>
      <c r="E875" s="93" t="s">
        <v>375</v>
      </c>
      <c r="F875" s="94">
        <v>15.0</v>
      </c>
      <c r="G875" s="94">
        <v>7.5</v>
      </c>
      <c r="H875" s="95">
        <v>0.6039999999999999</v>
      </c>
      <c r="I875" s="96">
        <v>7.128</v>
      </c>
      <c r="J875" s="93" t="s">
        <v>31</v>
      </c>
      <c r="K875" s="97"/>
      <c r="L875" s="93" t="str">
        <f t="shared" si="1"/>
        <v/>
      </c>
      <c r="M875" s="98">
        <f t="shared" si="2"/>
        <v>0</v>
      </c>
      <c r="N875" s="77"/>
      <c r="O875" s="90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</row>
    <row r="876" ht="18.0" customHeight="1">
      <c r="A876" s="81"/>
      <c r="B876" s="91" t="str">
        <f>"36094"</f>
        <v>36094</v>
      </c>
      <c r="C876" s="91" t="str">
        <f t="shared" si="5"/>
        <v/>
      </c>
      <c r="D876" s="92" t="s">
        <v>900</v>
      </c>
      <c r="E876" s="93" t="s">
        <v>375</v>
      </c>
      <c r="F876" s="94">
        <v>15.0</v>
      </c>
      <c r="G876" s="94">
        <v>7.5</v>
      </c>
      <c r="H876" s="95">
        <v>0.6039999999999999</v>
      </c>
      <c r="I876" s="96">
        <v>7.128</v>
      </c>
      <c r="J876" s="93" t="s">
        <v>31</v>
      </c>
      <c r="K876" s="97"/>
      <c r="L876" s="93" t="str">
        <f t="shared" si="1"/>
        <v/>
      </c>
      <c r="M876" s="98">
        <f t="shared" si="2"/>
        <v>0</v>
      </c>
      <c r="N876" s="77"/>
      <c r="O876" s="90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</row>
    <row r="877" ht="18.0" customHeight="1">
      <c r="A877" s="81"/>
      <c r="B877" s="91" t="str">
        <f>"59specify #"</f>
        <v>59specify #</v>
      </c>
      <c r="C877" s="91" t="str">
        <f t="shared" si="5"/>
        <v/>
      </c>
      <c r="D877" s="92" t="s">
        <v>897</v>
      </c>
      <c r="E877" s="93" t="s">
        <v>248</v>
      </c>
      <c r="F877" s="94">
        <v>19.0</v>
      </c>
      <c r="G877" s="94">
        <v>9.5</v>
      </c>
      <c r="H877" s="95">
        <v>0.604</v>
      </c>
      <c r="I877" s="96">
        <v>9.0288</v>
      </c>
      <c r="J877" s="93" t="s">
        <v>31</v>
      </c>
      <c r="K877" s="97"/>
      <c r="L877" s="93" t="str">
        <f t="shared" si="1"/>
        <v/>
      </c>
      <c r="M877" s="98">
        <f t="shared" si="2"/>
        <v>0</v>
      </c>
      <c r="N877" s="77"/>
      <c r="O877" s="90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</row>
    <row r="878" ht="18.0" customHeight="1">
      <c r="A878" s="81"/>
      <c r="B878" s="91" t="str">
        <f>"59specify color"</f>
        <v>59specify color</v>
      </c>
      <c r="C878" s="91" t="str">
        <f t="shared" si="5"/>
        <v/>
      </c>
      <c r="D878" s="92" t="s">
        <v>896</v>
      </c>
      <c r="E878" s="93" t="s">
        <v>248</v>
      </c>
      <c r="F878" s="94">
        <v>25.0</v>
      </c>
      <c r="G878" s="94">
        <v>12.5</v>
      </c>
      <c r="H878" s="95">
        <v>0.604</v>
      </c>
      <c r="I878" s="96">
        <v>11.88</v>
      </c>
      <c r="J878" s="93" t="s">
        <v>31</v>
      </c>
      <c r="K878" s="97"/>
      <c r="L878" s="93" t="str">
        <f t="shared" si="1"/>
        <v/>
      </c>
      <c r="M878" s="98">
        <f t="shared" si="2"/>
        <v>0</v>
      </c>
      <c r="N878" s="77"/>
      <c r="O878" s="90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</row>
    <row r="879" ht="18.0" customHeight="1">
      <c r="A879" s="81"/>
      <c r="B879" s="91" t="str">
        <f>"59038"</f>
        <v>59038</v>
      </c>
      <c r="C879" s="91" t="str">
        <f t="shared" si="5"/>
        <v/>
      </c>
      <c r="D879" s="92" t="s">
        <v>901</v>
      </c>
      <c r="E879" s="93" t="s">
        <v>248</v>
      </c>
      <c r="F879" s="94">
        <v>25.0</v>
      </c>
      <c r="G879" s="94">
        <v>12.5</v>
      </c>
      <c r="H879" s="95">
        <v>0.604</v>
      </c>
      <c r="I879" s="96">
        <v>11.88</v>
      </c>
      <c r="J879" s="93" t="s">
        <v>31</v>
      </c>
      <c r="K879" s="97"/>
      <c r="L879" s="93" t="str">
        <f t="shared" si="1"/>
        <v/>
      </c>
      <c r="M879" s="98">
        <f t="shared" si="2"/>
        <v>0</v>
      </c>
      <c r="N879" s="77"/>
      <c r="O879" s="90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</row>
    <row r="880" ht="18.0" customHeight="1">
      <c r="A880" s="81"/>
      <c r="B880" s="91" t="str">
        <f>"59000"</f>
        <v>59000</v>
      </c>
      <c r="C880" s="91" t="str">
        <f t="shared" si="5"/>
        <v/>
      </c>
      <c r="D880" s="92" t="s">
        <v>902</v>
      </c>
      <c r="E880" s="93" t="s">
        <v>248</v>
      </c>
      <c r="F880" s="94">
        <v>25.0</v>
      </c>
      <c r="G880" s="94">
        <v>12.5</v>
      </c>
      <c r="H880" s="95">
        <v>0.604</v>
      </c>
      <c r="I880" s="96">
        <v>11.88</v>
      </c>
      <c r="J880" s="93" t="s">
        <v>31</v>
      </c>
      <c r="K880" s="97"/>
      <c r="L880" s="93" t="str">
        <f t="shared" si="1"/>
        <v/>
      </c>
      <c r="M880" s="98">
        <f t="shared" si="2"/>
        <v>0</v>
      </c>
      <c r="N880" s="77"/>
      <c r="O880" s="90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</row>
    <row r="881" ht="18.0" customHeight="1">
      <c r="A881" s="81"/>
      <c r="B881" s="91" t="str">
        <f>"59003"</f>
        <v>59003</v>
      </c>
      <c r="C881" s="91" t="str">
        <f t="shared" si="5"/>
        <v/>
      </c>
      <c r="D881" s="92" t="s">
        <v>903</v>
      </c>
      <c r="E881" s="93" t="s">
        <v>248</v>
      </c>
      <c r="F881" s="94">
        <v>25.0</v>
      </c>
      <c r="G881" s="94">
        <v>12.5</v>
      </c>
      <c r="H881" s="95">
        <v>0.604</v>
      </c>
      <c r="I881" s="96">
        <v>11.88</v>
      </c>
      <c r="J881" s="93" t="s">
        <v>31</v>
      </c>
      <c r="K881" s="97"/>
      <c r="L881" s="93" t="str">
        <f t="shared" si="1"/>
        <v/>
      </c>
      <c r="M881" s="98">
        <f t="shared" si="2"/>
        <v>0</v>
      </c>
      <c r="N881" s="77"/>
      <c r="O881" s="90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</row>
    <row r="882" ht="18.0" customHeight="1">
      <c r="A882" s="81"/>
      <c r="B882" s="91" t="str">
        <f>"59080"</f>
        <v>59080</v>
      </c>
      <c r="C882" s="91" t="str">
        <f t="shared" si="5"/>
        <v/>
      </c>
      <c r="D882" s="92" t="s">
        <v>904</v>
      </c>
      <c r="E882" s="93" t="s">
        <v>248</v>
      </c>
      <c r="F882" s="94">
        <v>25.0</v>
      </c>
      <c r="G882" s="94">
        <v>12.5</v>
      </c>
      <c r="H882" s="95">
        <v>0.604</v>
      </c>
      <c r="I882" s="96">
        <v>11.88</v>
      </c>
      <c r="J882" s="93" t="s">
        <v>31</v>
      </c>
      <c r="K882" s="97"/>
      <c r="L882" s="93" t="str">
        <f t="shared" si="1"/>
        <v/>
      </c>
      <c r="M882" s="98">
        <f t="shared" si="2"/>
        <v>0</v>
      </c>
      <c r="N882" s="77"/>
      <c r="O882" s="90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</row>
    <row r="883" ht="18.0" customHeight="1">
      <c r="A883" s="81"/>
      <c r="B883" s="91" t="str">
        <f>"59023"</f>
        <v>59023</v>
      </c>
      <c r="C883" s="91" t="str">
        <f t="shared" si="5"/>
        <v/>
      </c>
      <c r="D883" s="92" t="s">
        <v>905</v>
      </c>
      <c r="E883" s="93" t="s">
        <v>248</v>
      </c>
      <c r="F883" s="94">
        <v>25.0</v>
      </c>
      <c r="G883" s="94">
        <v>12.5</v>
      </c>
      <c r="H883" s="95">
        <v>0.604</v>
      </c>
      <c r="I883" s="96">
        <v>11.88</v>
      </c>
      <c r="J883" s="93" t="s">
        <v>31</v>
      </c>
      <c r="K883" s="97"/>
      <c r="L883" s="93" t="str">
        <f t="shared" si="1"/>
        <v/>
      </c>
      <c r="M883" s="98">
        <f t="shared" si="2"/>
        <v>0</v>
      </c>
      <c r="N883" s="77"/>
      <c r="O883" s="90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</row>
    <row r="884" ht="18.0" customHeight="1">
      <c r="A884" s="81"/>
      <c r="B884" s="91" t="str">
        <f>"59005"</f>
        <v>59005</v>
      </c>
      <c r="C884" s="91" t="str">
        <f t="shared" si="5"/>
        <v/>
      </c>
      <c r="D884" s="92" t="s">
        <v>906</v>
      </c>
      <c r="E884" s="93" t="s">
        <v>248</v>
      </c>
      <c r="F884" s="94">
        <v>29.0</v>
      </c>
      <c r="G884" s="94">
        <v>14.5</v>
      </c>
      <c r="H884" s="95">
        <v>0.604</v>
      </c>
      <c r="I884" s="96">
        <v>13.7808</v>
      </c>
      <c r="J884" s="93" t="s">
        <v>31</v>
      </c>
      <c r="K884" s="97"/>
      <c r="L884" s="93" t="str">
        <f t="shared" si="1"/>
        <v/>
      </c>
      <c r="M884" s="98">
        <f t="shared" si="2"/>
        <v>0</v>
      </c>
      <c r="N884" s="77"/>
      <c r="O884" s="90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</row>
    <row r="885" ht="18.0" customHeight="1">
      <c r="A885" s="81"/>
      <c r="B885" s="91" t="str">
        <f>"59006"</f>
        <v>59006</v>
      </c>
      <c r="C885" s="91" t="str">
        <f t="shared" si="5"/>
        <v/>
      </c>
      <c r="D885" s="92" t="s">
        <v>907</v>
      </c>
      <c r="E885" s="93" t="s">
        <v>248</v>
      </c>
      <c r="F885" s="94">
        <v>25.0</v>
      </c>
      <c r="G885" s="94">
        <v>12.5</v>
      </c>
      <c r="H885" s="95">
        <v>0.604</v>
      </c>
      <c r="I885" s="96">
        <v>11.88</v>
      </c>
      <c r="J885" s="93" t="s">
        <v>31</v>
      </c>
      <c r="K885" s="97"/>
      <c r="L885" s="93" t="str">
        <f t="shared" si="1"/>
        <v/>
      </c>
      <c r="M885" s="98">
        <f t="shared" si="2"/>
        <v>0</v>
      </c>
      <c r="N885" s="77"/>
      <c r="O885" s="90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</row>
    <row r="886" ht="18.0" customHeight="1">
      <c r="A886" s="81"/>
      <c r="B886" s="91" t="str">
        <f>"59004"</f>
        <v>59004</v>
      </c>
      <c r="C886" s="91" t="str">
        <f t="shared" si="5"/>
        <v/>
      </c>
      <c r="D886" s="92" t="s">
        <v>908</v>
      </c>
      <c r="E886" s="93" t="s">
        <v>248</v>
      </c>
      <c r="F886" s="94">
        <v>25.0</v>
      </c>
      <c r="G886" s="94">
        <v>12.5</v>
      </c>
      <c r="H886" s="95">
        <v>0.604</v>
      </c>
      <c r="I886" s="96">
        <v>11.88</v>
      </c>
      <c r="J886" s="93" t="s">
        <v>31</v>
      </c>
      <c r="K886" s="97"/>
      <c r="L886" s="93" t="str">
        <f t="shared" si="1"/>
        <v/>
      </c>
      <c r="M886" s="98">
        <f t="shared" si="2"/>
        <v>0</v>
      </c>
      <c r="N886" s="77"/>
      <c r="O886" s="90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</row>
    <row r="887" ht="18.0" customHeight="1">
      <c r="A887" s="81"/>
      <c r="B887" s="91" t="str">
        <f>"59024"</f>
        <v>59024</v>
      </c>
      <c r="C887" s="91" t="str">
        <f t="shared" si="5"/>
        <v/>
      </c>
      <c r="D887" s="92" t="s">
        <v>909</v>
      </c>
      <c r="E887" s="93" t="s">
        <v>248</v>
      </c>
      <c r="F887" s="94">
        <v>25.0</v>
      </c>
      <c r="G887" s="94">
        <v>12.5</v>
      </c>
      <c r="H887" s="95">
        <v>0.604</v>
      </c>
      <c r="I887" s="96">
        <v>11.88</v>
      </c>
      <c r="J887" s="93" t="s">
        <v>31</v>
      </c>
      <c r="K887" s="97"/>
      <c r="L887" s="93" t="str">
        <f t="shared" si="1"/>
        <v/>
      </c>
      <c r="M887" s="98">
        <f t="shared" si="2"/>
        <v>0</v>
      </c>
      <c r="N887" s="77"/>
      <c r="O887" s="90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</row>
    <row r="888" ht="18.0" customHeight="1">
      <c r="A888" s="81"/>
      <c r="B888" s="91" t="str">
        <f>"59025"</f>
        <v>59025</v>
      </c>
      <c r="C888" s="91" t="str">
        <f t="shared" si="5"/>
        <v/>
      </c>
      <c r="D888" s="92" t="s">
        <v>910</v>
      </c>
      <c r="E888" s="93" t="s">
        <v>248</v>
      </c>
      <c r="F888" s="94">
        <v>25.0</v>
      </c>
      <c r="G888" s="94">
        <v>12.5</v>
      </c>
      <c r="H888" s="95">
        <v>0.604</v>
      </c>
      <c r="I888" s="96">
        <v>11.88</v>
      </c>
      <c r="J888" s="93" t="s">
        <v>31</v>
      </c>
      <c r="K888" s="97"/>
      <c r="L888" s="93" t="str">
        <f t="shared" si="1"/>
        <v/>
      </c>
      <c r="M888" s="98">
        <f t="shared" si="2"/>
        <v>0</v>
      </c>
      <c r="N888" s="77"/>
      <c r="O888" s="90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</row>
    <row r="889" ht="18.0" customHeight="1">
      <c r="A889" s="81"/>
      <c r="B889" s="91" t="str">
        <f>"59026"</f>
        <v>59026</v>
      </c>
      <c r="C889" s="91" t="str">
        <f t="shared" si="5"/>
        <v/>
      </c>
      <c r="D889" s="92" t="s">
        <v>911</v>
      </c>
      <c r="E889" s="93" t="s">
        <v>248</v>
      </c>
      <c r="F889" s="94">
        <v>25.0</v>
      </c>
      <c r="G889" s="94">
        <v>12.5</v>
      </c>
      <c r="H889" s="95">
        <v>0.604</v>
      </c>
      <c r="I889" s="96">
        <v>11.88</v>
      </c>
      <c r="J889" s="93" t="s">
        <v>31</v>
      </c>
      <c r="K889" s="97"/>
      <c r="L889" s="93" t="str">
        <f t="shared" si="1"/>
        <v/>
      </c>
      <c r="M889" s="98">
        <f t="shared" si="2"/>
        <v>0</v>
      </c>
      <c r="N889" s="77"/>
      <c r="O889" s="90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</row>
    <row r="890" ht="18.0" customHeight="1">
      <c r="A890" s="81"/>
      <c r="B890" s="91" t="str">
        <f>"59007"</f>
        <v>59007</v>
      </c>
      <c r="C890" s="91" t="str">
        <f t="shared" si="5"/>
        <v/>
      </c>
      <c r="D890" s="92" t="s">
        <v>912</v>
      </c>
      <c r="E890" s="93" t="s">
        <v>248</v>
      </c>
      <c r="F890" s="94">
        <v>25.0</v>
      </c>
      <c r="G890" s="94">
        <v>12.5</v>
      </c>
      <c r="H890" s="95">
        <v>0.604</v>
      </c>
      <c r="I890" s="96">
        <v>11.88</v>
      </c>
      <c r="J890" s="93" t="s">
        <v>31</v>
      </c>
      <c r="K890" s="97"/>
      <c r="L890" s="93" t="str">
        <f t="shared" si="1"/>
        <v/>
      </c>
      <c r="M890" s="98">
        <f t="shared" si="2"/>
        <v>0</v>
      </c>
      <c r="N890" s="77"/>
      <c r="O890" s="90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</row>
    <row r="891" ht="18.0" customHeight="1">
      <c r="A891" s="81"/>
      <c r="B891" s="91" t="str">
        <f>"59001"</f>
        <v>59001</v>
      </c>
      <c r="C891" s="91" t="str">
        <f t="shared" si="5"/>
        <v/>
      </c>
      <c r="D891" s="92" t="s">
        <v>913</v>
      </c>
      <c r="E891" s="93" t="s">
        <v>248</v>
      </c>
      <c r="F891" s="94">
        <v>19.0</v>
      </c>
      <c r="G891" s="94">
        <v>9.5</v>
      </c>
      <c r="H891" s="95">
        <v>0.604</v>
      </c>
      <c r="I891" s="96">
        <v>9.0288</v>
      </c>
      <c r="J891" s="93" t="s">
        <v>31</v>
      </c>
      <c r="K891" s="97"/>
      <c r="L891" s="93" t="str">
        <f t="shared" si="1"/>
        <v/>
      </c>
      <c r="M891" s="98">
        <f t="shared" si="2"/>
        <v>0</v>
      </c>
      <c r="N891" s="77"/>
      <c r="O891" s="90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</row>
    <row r="892" ht="18.0" customHeight="1">
      <c r="A892" s="81"/>
      <c r="B892" s="91" t="str">
        <f>"59002"</f>
        <v>59002</v>
      </c>
      <c r="C892" s="91" t="str">
        <f t="shared" si="5"/>
        <v/>
      </c>
      <c r="D892" s="92" t="s">
        <v>914</v>
      </c>
      <c r="E892" s="93" t="s">
        <v>248</v>
      </c>
      <c r="F892" s="94">
        <v>29.0</v>
      </c>
      <c r="G892" s="94">
        <v>14.5</v>
      </c>
      <c r="H892" s="95">
        <v>0.604</v>
      </c>
      <c r="I892" s="96">
        <v>13.7808</v>
      </c>
      <c r="J892" s="93" t="s">
        <v>31</v>
      </c>
      <c r="K892" s="97"/>
      <c r="L892" s="93" t="str">
        <f t="shared" si="1"/>
        <v/>
      </c>
      <c r="M892" s="98">
        <f t="shared" si="2"/>
        <v>0</v>
      </c>
      <c r="N892" s="77"/>
      <c r="O892" s="90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</row>
    <row r="893" ht="18.0" customHeight="1">
      <c r="A893" s="81"/>
      <c r="B893" s="91" t="str">
        <f>"24000"</f>
        <v>24000</v>
      </c>
      <c r="C893" s="91" t="str">
        <f>"693102240001"</f>
        <v>693102240001</v>
      </c>
      <c r="D893" s="92" t="s">
        <v>915</v>
      </c>
      <c r="E893" s="93" t="s">
        <v>916</v>
      </c>
      <c r="F893" s="94">
        <v>180.0</v>
      </c>
      <c r="G893" s="94">
        <v>90.0</v>
      </c>
      <c r="H893" s="95">
        <v>0.5820733333333333</v>
      </c>
      <c r="I893" s="96">
        <v>90.27216</v>
      </c>
      <c r="J893" s="93" t="s">
        <v>31</v>
      </c>
      <c r="K893" s="97"/>
      <c r="L893" s="93" t="str">
        <f t="shared" si="1"/>
        <v/>
      </c>
      <c r="M893" s="98">
        <f t="shared" si="2"/>
        <v>0</v>
      </c>
      <c r="N893" s="77"/>
      <c r="O893" s="90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</row>
    <row r="894" ht="18.0" customHeight="1">
      <c r="A894" s="81"/>
      <c r="B894" s="91" t="str">
        <f>"24001"</f>
        <v>24001</v>
      </c>
      <c r="C894" s="91" t="str">
        <f>"693102240018"</f>
        <v>693102240018</v>
      </c>
      <c r="D894" s="92" t="s">
        <v>917</v>
      </c>
      <c r="E894" s="93" t="s">
        <v>916</v>
      </c>
      <c r="F894" s="94">
        <v>180.0</v>
      </c>
      <c r="G894" s="94">
        <v>90.0</v>
      </c>
      <c r="H894" s="95">
        <v>0.5820733333333333</v>
      </c>
      <c r="I894" s="96">
        <v>90.27216</v>
      </c>
      <c r="J894" s="93" t="s">
        <v>31</v>
      </c>
      <c r="K894" s="97"/>
      <c r="L894" s="93" t="str">
        <f t="shared" si="1"/>
        <v/>
      </c>
      <c r="M894" s="98">
        <f t="shared" si="2"/>
        <v>0</v>
      </c>
      <c r="N894" s="77"/>
      <c r="O894" s="90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</row>
    <row r="895" ht="18.0" customHeight="1">
      <c r="A895" s="81"/>
      <c r="B895" s="91" t="str">
        <f>"24002"</f>
        <v>24002</v>
      </c>
      <c r="C895" s="91" t="str">
        <f>"693102240025"</f>
        <v>693102240025</v>
      </c>
      <c r="D895" s="92" t="s">
        <v>918</v>
      </c>
      <c r="E895" s="93" t="s">
        <v>916</v>
      </c>
      <c r="F895" s="94">
        <v>230.0</v>
      </c>
      <c r="G895" s="94">
        <v>115.0</v>
      </c>
      <c r="H895" s="95">
        <v>0.5296782608695652</v>
      </c>
      <c r="I895" s="96">
        <v>129.8088</v>
      </c>
      <c r="J895" s="93" t="s">
        <v>31</v>
      </c>
      <c r="K895" s="97"/>
      <c r="L895" s="93" t="str">
        <f t="shared" si="1"/>
        <v/>
      </c>
      <c r="M895" s="98">
        <f t="shared" si="2"/>
        <v>0</v>
      </c>
      <c r="N895" s="77"/>
      <c r="O895" s="90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</row>
    <row r="896" ht="18.0" customHeight="1">
      <c r="A896" s="81"/>
      <c r="B896" s="91" t="str">
        <f>"24003"</f>
        <v>24003</v>
      </c>
      <c r="C896" s="91" t="str">
        <f>"693102240032"</f>
        <v>693102240032</v>
      </c>
      <c r="D896" s="92" t="s">
        <v>919</v>
      </c>
      <c r="E896" s="93" t="s">
        <v>916</v>
      </c>
      <c r="F896" s="94">
        <v>230.0</v>
      </c>
      <c r="G896" s="94">
        <v>115.0</v>
      </c>
      <c r="H896" s="95">
        <v>0.5296782608695652</v>
      </c>
      <c r="I896" s="96">
        <v>129.8088</v>
      </c>
      <c r="J896" s="93" t="s">
        <v>31</v>
      </c>
      <c r="K896" s="97"/>
      <c r="L896" s="93" t="str">
        <f t="shared" si="1"/>
        <v/>
      </c>
      <c r="M896" s="98">
        <f t="shared" si="2"/>
        <v>0</v>
      </c>
      <c r="N896" s="77"/>
      <c r="O896" s="90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</row>
    <row r="897" ht="18.0" customHeight="1">
      <c r="A897" s="81"/>
      <c r="B897" s="91" t="str">
        <f>"24004"</f>
        <v>24004</v>
      </c>
      <c r="C897" s="91" t="str">
        <f>"693102240049"</f>
        <v>693102240049</v>
      </c>
      <c r="D897" s="92" t="s">
        <v>920</v>
      </c>
      <c r="E897" s="93" t="s">
        <v>95</v>
      </c>
      <c r="F897" s="94">
        <v>180.0</v>
      </c>
      <c r="G897" s="94">
        <v>90.0</v>
      </c>
      <c r="H897" s="95">
        <v>0.5820733333333333</v>
      </c>
      <c r="I897" s="96">
        <v>90.27216</v>
      </c>
      <c r="J897" s="93" t="s">
        <v>31</v>
      </c>
      <c r="K897" s="97"/>
      <c r="L897" s="93" t="str">
        <f t="shared" si="1"/>
        <v/>
      </c>
      <c r="M897" s="98">
        <f t="shared" si="2"/>
        <v>0</v>
      </c>
      <c r="N897" s="77"/>
      <c r="O897" s="90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</row>
    <row r="898" ht="18.0" customHeight="1">
      <c r="A898" s="81"/>
      <c r="B898" s="91" t="str">
        <f>"24005"</f>
        <v>24005</v>
      </c>
      <c r="C898" s="91" t="str">
        <f>"693102240056"</f>
        <v>693102240056</v>
      </c>
      <c r="D898" s="92" t="s">
        <v>921</v>
      </c>
      <c r="E898" s="93" t="s">
        <v>95</v>
      </c>
      <c r="F898" s="94">
        <v>230.0</v>
      </c>
      <c r="G898" s="94">
        <v>115.0</v>
      </c>
      <c r="H898" s="95">
        <v>0.5296782608695652</v>
      </c>
      <c r="I898" s="96">
        <v>129.8088</v>
      </c>
      <c r="J898" s="93" t="s">
        <v>31</v>
      </c>
      <c r="K898" s="97"/>
      <c r="L898" s="93" t="str">
        <f t="shared" si="1"/>
        <v/>
      </c>
      <c r="M898" s="98">
        <f t="shared" si="2"/>
        <v>0</v>
      </c>
      <c r="N898" s="77"/>
      <c r="O898" s="90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</row>
    <row r="899" ht="18.0" customHeight="1">
      <c r="A899" s="81"/>
      <c r="B899" s="91" t="str">
        <f>"80-93-11"</f>
        <v>80-93-11</v>
      </c>
      <c r="C899" s="91" t="str">
        <f>"693102093119"</f>
        <v>693102093119</v>
      </c>
      <c r="D899" s="92" t="s">
        <v>922</v>
      </c>
      <c r="E899" s="93" t="s">
        <v>95</v>
      </c>
      <c r="F899" s="94">
        <v>745.0</v>
      </c>
      <c r="G899" s="94">
        <v>372.5</v>
      </c>
      <c r="H899" s="95">
        <v>0.6204778523489932</v>
      </c>
      <c r="I899" s="96">
        <v>339.2928</v>
      </c>
      <c r="J899" s="93" t="s">
        <v>31</v>
      </c>
      <c r="K899" s="97"/>
      <c r="L899" s="93" t="str">
        <f t="shared" si="1"/>
        <v/>
      </c>
      <c r="M899" s="98">
        <f t="shared" si="2"/>
        <v>0</v>
      </c>
      <c r="N899" s="77"/>
      <c r="O899" s="90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</row>
    <row r="900" ht="18.0" customHeight="1">
      <c r="A900" s="81"/>
      <c r="B900" s="91" t="str">
        <f>"80-93-09"</f>
        <v>80-93-09</v>
      </c>
      <c r="C900" s="91" t="str">
        <f>"693102093096"</f>
        <v>693102093096</v>
      </c>
      <c r="D900" s="92" t="s">
        <v>923</v>
      </c>
      <c r="E900" s="93" t="s">
        <v>95</v>
      </c>
      <c r="F900" s="94">
        <v>900.0</v>
      </c>
      <c r="G900" s="94">
        <v>450.0</v>
      </c>
      <c r="H900" s="95">
        <v>0.5614666666666667</v>
      </c>
      <c r="I900" s="96">
        <v>473.616</v>
      </c>
      <c r="J900" s="93" t="s">
        <v>31</v>
      </c>
      <c r="K900" s="97"/>
      <c r="L900" s="93" t="str">
        <f t="shared" si="1"/>
        <v/>
      </c>
      <c r="M900" s="98">
        <f t="shared" si="2"/>
        <v>0</v>
      </c>
      <c r="N900" s="77"/>
      <c r="O900" s="90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</row>
    <row r="901" ht="18.0" customHeight="1">
      <c r="A901" s="81"/>
      <c r="B901" s="91" t="str">
        <f>"80-93-04SS"</f>
        <v>80-93-04SS</v>
      </c>
      <c r="C901" s="91" t="str">
        <f>"693102809345"</f>
        <v>693102809345</v>
      </c>
      <c r="D901" s="92" t="s">
        <v>924</v>
      </c>
      <c r="E901" s="93" t="s">
        <v>95</v>
      </c>
      <c r="F901" s="94">
        <v>367.0</v>
      </c>
      <c r="G901" s="94">
        <v>183.5</v>
      </c>
      <c r="H901" s="95">
        <v>0.604</v>
      </c>
      <c r="I901" s="96">
        <v>174.39839999999998</v>
      </c>
      <c r="J901" s="93" t="s">
        <v>31</v>
      </c>
      <c r="K901" s="97"/>
      <c r="L901" s="93" t="str">
        <f t="shared" si="1"/>
        <v/>
      </c>
      <c r="M901" s="98">
        <f t="shared" si="2"/>
        <v>0</v>
      </c>
      <c r="N901" s="77"/>
      <c r="O901" s="90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</row>
    <row r="902" ht="18.0" customHeight="1">
      <c r="A902" s="81"/>
      <c r="B902" s="91" t="str">
        <f>"80-93-03"</f>
        <v>80-93-03</v>
      </c>
      <c r="C902" s="91" t="str">
        <f>"693102093034"</f>
        <v>693102093034</v>
      </c>
      <c r="D902" s="92" t="s">
        <v>925</v>
      </c>
      <c r="E902" s="93" t="s">
        <v>95</v>
      </c>
      <c r="F902" s="94"/>
      <c r="G902" s="94"/>
      <c r="H902" s="95"/>
      <c r="I902" s="96">
        <v>220.176</v>
      </c>
      <c r="J902" s="93" t="s">
        <v>31</v>
      </c>
      <c r="K902" s="97"/>
      <c r="L902" s="93" t="str">
        <f t="shared" si="1"/>
        <v/>
      </c>
      <c r="M902" s="98">
        <f t="shared" si="2"/>
        <v>0</v>
      </c>
      <c r="N902" s="77"/>
      <c r="O902" s="90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</row>
    <row r="903" ht="18.0" customHeight="1">
      <c r="A903" s="81"/>
      <c r="B903" s="91" t="str">
        <f>"80-94-15"</f>
        <v>80-94-15</v>
      </c>
      <c r="C903" s="91" t="str">
        <f>"693102094154"</f>
        <v>693102094154</v>
      </c>
      <c r="D903" s="92" t="s">
        <v>926</v>
      </c>
      <c r="E903" s="93" t="s">
        <v>95</v>
      </c>
      <c r="F903" s="94">
        <v>630.0</v>
      </c>
      <c r="G903" s="94">
        <v>315.0</v>
      </c>
      <c r="H903" s="95">
        <v>0.6404571428571428</v>
      </c>
      <c r="I903" s="96">
        <v>271.8144</v>
      </c>
      <c r="J903" s="93" t="s">
        <v>31</v>
      </c>
      <c r="K903" s="97"/>
      <c r="L903" s="93" t="str">
        <f t="shared" si="1"/>
        <v/>
      </c>
      <c r="M903" s="98">
        <f t="shared" si="2"/>
        <v>0</v>
      </c>
      <c r="N903" s="77"/>
      <c r="O903" s="90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</row>
    <row r="904" ht="18.0" customHeight="1">
      <c r="A904" s="81"/>
      <c r="B904" s="91" t="str">
        <f>"93070"</f>
        <v>93070</v>
      </c>
      <c r="C904" s="91" t="str">
        <f>"693102930704"</f>
        <v>693102930704</v>
      </c>
      <c r="D904" s="92" t="s">
        <v>927</v>
      </c>
      <c r="E904" s="93" t="s">
        <v>95</v>
      </c>
      <c r="F904" s="94">
        <v>140.0</v>
      </c>
      <c r="G904" s="94">
        <v>70.0</v>
      </c>
      <c r="H904" s="95">
        <v>0.604</v>
      </c>
      <c r="I904" s="96">
        <v>66.52799999999999</v>
      </c>
      <c r="J904" s="93" t="s">
        <v>31</v>
      </c>
      <c r="K904" s="97"/>
      <c r="L904" s="93" t="str">
        <f t="shared" si="1"/>
        <v/>
      </c>
      <c r="M904" s="98">
        <f t="shared" si="2"/>
        <v>0</v>
      </c>
      <c r="N904" s="77"/>
      <c r="O904" s="90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</row>
    <row r="905" ht="18.0" customHeight="1">
      <c r="A905" s="81"/>
      <c r="B905" s="91" t="str">
        <f>"80-96-05"</f>
        <v>80-96-05</v>
      </c>
      <c r="C905" s="91" t="str">
        <f>"693102093058"</f>
        <v>693102093058</v>
      </c>
      <c r="D905" s="92" t="s">
        <v>928</v>
      </c>
      <c r="E905" s="93" t="s">
        <v>95</v>
      </c>
      <c r="F905" s="94">
        <v>1995.0</v>
      </c>
      <c r="G905" s="94">
        <v>997.5</v>
      </c>
      <c r="H905" s="95">
        <v>0.43759398496240604</v>
      </c>
      <c r="I905" s="96">
        <v>1346.3999999999999</v>
      </c>
      <c r="J905" s="93" t="s">
        <v>31</v>
      </c>
      <c r="K905" s="97"/>
      <c r="L905" s="93" t="str">
        <f t="shared" si="1"/>
        <v/>
      </c>
      <c r="M905" s="98">
        <f t="shared" si="2"/>
        <v>0</v>
      </c>
      <c r="N905" s="77"/>
      <c r="O905" s="90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</row>
    <row r="906" ht="18.0" customHeight="1">
      <c r="A906" s="81"/>
      <c r="B906" s="91" t="str">
        <f>"71002"</f>
        <v>71002</v>
      </c>
      <c r="C906" s="91" t="str">
        <f>"693102710023"</f>
        <v>693102710023</v>
      </c>
      <c r="D906" s="92" t="s">
        <v>929</v>
      </c>
      <c r="E906" s="93" t="s">
        <v>95</v>
      </c>
      <c r="F906" s="94">
        <v>1040.0</v>
      </c>
      <c r="G906" s="94">
        <v>520.0</v>
      </c>
      <c r="H906" s="95">
        <v>0.5748076923076922</v>
      </c>
      <c r="I906" s="96">
        <v>530.64</v>
      </c>
      <c r="J906" s="93" t="s">
        <v>31</v>
      </c>
      <c r="K906" s="97"/>
      <c r="L906" s="93" t="str">
        <f t="shared" si="1"/>
        <v/>
      </c>
      <c r="M906" s="98">
        <f t="shared" si="2"/>
        <v>0</v>
      </c>
      <c r="N906" s="77"/>
      <c r="O906" s="90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</row>
    <row r="907" ht="18.0" customHeight="1">
      <c r="A907" s="81"/>
      <c r="B907" s="91" t="str">
        <f>"71000"</f>
        <v>71000</v>
      </c>
      <c r="C907" s="91" t="str">
        <f>"693102710009"</f>
        <v>693102710009</v>
      </c>
      <c r="D907" s="92" t="s">
        <v>930</v>
      </c>
      <c r="E907" s="93" t="s">
        <v>95</v>
      </c>
      <c r="F907" s="94">
        <v>1380.0</v>
      </c>
      <c r="G907" s="94">
        <v>690.0</v>
      </c>
      <c r="H907" s="95">
        <v>0.5886956521739131</v>
      </c>
      <c r="I907" s="96">
        <v>681.12</v>
      </c>
      <c r="J907" s="93" t="s">
        <v>31</v>
      </c>
      <c r="K907" s="97"/>
      <c r="L907" s="93" t="str">
        <f t="shared" si="1"/>
        <v/>
      </c>
      <c r="M907" s="98">
        <f t="shared" si="2"/>
        <v>0</v>
      </c>
      <c r="N907" s="77"/>
      <c r="O907" s="90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</row>
    <row r="908" ht="18.0" customHeight="1">
      <c r="A908" s="81"/>
      <c r="B908" s="91" t="str">
        <f>"71001"</f>
        <v>71001</v>
      </c>
      <c r="C908" s="91" t="str">
        <f>"693102710016"</f>
        <v>693102710016</v>
      </c>
      <c r="D908" s="92" t="s">
        <v>931</v>
      </c>
      <c r="E908" s="93" t="s">
        <v>932</v>
      </c>
      <c r="F908" s="94">
        <v>820.0</v>
      </c>
      <c r="G908" s="94">
        <v>410.0</v>
      </c>
      <c r="H908" s="95">
        <v>0.11463414634146342</v>
      </c>
      <c r="I908" s="96">
        <v>871.1999999999999</v>
      </c>
      <c r="J908" s="93" t="s">
        <v>31</v>
      </c>
      <c r="K908" s="97"/>
      <c r="L908" s="93" t="str">
        <f t="shared" si="1"/>
        <v/>
      </c>
      <c r="M908" s="98">
        <f t="shared" si="2"/>
        <v>0</v>
      </c>
      <c r="N908" s="77"/>
      <c r="O908" s="90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</row>
    <row r="909" ht="18.0" customHeight="1">
      <c r="A909" s="81"/>
      <c r="B909" s="91" t="str">
        <f>"80-97-03"</f>
        <v>80-97-03</v>
      </c>
      <c r="C909" s="91" t="str">
        <f>"693102097032"</f>
        <v>693102097032</v>
      </c>
      <c r="D909" s="92" t="s">
        <v>933</v>
      </c>
      <c r="E909" s="93" t="s">
        <v>95</v>
      </c>
      <c r="F909" s="94">
        <v>1475.0</v>
      </c>
      <c r="G909" s="94">
        <v>737.5</v>
      </c>
      <c r="H909" s="95">
        <v>0.7941694915254238</v>
      </c>
      <c r="I909" s="96">
        <v>364.32</v>
      </c>
      <c r="J909" s="93" t="s">
        <v>31</v>
      </c>
      <c r="K909" s="97"/>
      <c r="L909" s="93" t="str">
        <f t="shared" si="1"/>
        <v/>
      </c>
      <c r="M909" s="98">
        <f t="shared" si="2"/>
        <v>0</v>
      </c>
      <c r="N909" s="77"/>
      <c r="O909" s="90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</row>
    <row r="910" ht="18.0" customHeight="1">
      <c r="A910" s="81"/>
      <c r="B910" s="91" t="str">
        <f>"91002"</f>
        <v>91002</v>
      </c>
      <c r="C910" s="91" t="str">
        <f>"693102910027"</f>
        <v>693102910027</v>
      </c>
      <c r="D910" s="92" t="s">
        <v>934</v>
      </c>
      <c r="E910" s="93" t="s">
        <v>95</v>
      </c>
      <c r="F910" s="94"/>
      <c r="G910" s="94"/>
      <c r="H910" s="95"/>
      <c r="I910" s="96">
        <v>570.24</v>
      </c>
      <c r="J910" s="93" t="s">
        <v>31</v>
      </c>
      <c r="K910" s="97"/>
      <c r="L910" s="93" t="str">
        <f t="shared" si="1"/>
        <v/>
      </c>
      <c r="M910" s="98">
        <f t="shared" si="2"/>
        <v>0</v>
      </c>
      <c r="N910" s="77"/>
      <c r="O910" s="90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</row>
    <row r="911" ht="18.0" customHeight="1">
      <c r="A911" s="81"/>
      <c r="B911" s="91" t="str">
        <f>"10157"</f>
        <v>10157</v>
      </c>
      <c r="C911" s="91" t="str">
        <f>"693102101579"</f>
        <v>693102101579</v>
      </c>
      <c r="D911" s="92" t="s">
        <v>935</v>
      </c>
      <c r="E911" s="93" t="s">
        <v>95</v>
      </c>
      <c r="F911" s="94"/>
      <c r="G911" s="94"/>
      <c r="H911" s="95"/>
      <c r="I911" s="96">
        <v>411.84</v>
      </c>
      <c r="J911" s="93" t="s">
        <v>31</v>
      </c>
      <c r="K911" s="97"/>
      <c r="L911" s="93" t="str">
        <f t="shared" si="1"/>
        <v/>
      </c>
      <c r="M911" s="98">
        <f t="shared" si="2"/>
        <v>0</v>
      </c>
      <c r="N911" s="77"/>
      <c r="O911" s="90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</row>
    <row r="912" ht="18.0" customHeight="1">
      <c r="A912" s="81"/>
      <c r="B912" s="91" t="str">
        <f>"10151"</f>
        <v>10151</v>
      </c>
      <c r="C912" s="91" t="str">
        <f>"693102101517"</f>
        <v>693102101517</v>
      </c>
      <c r="D912" s="92" t="s">
        <v>936</v>
      </c>
      <c r="E912" s="93" t="s">
        <v>95</v>
      </c>
      <c r="F912" s="94"/>
      <c r="G912" s="94"/>
      <c r="H912" s="95"/>
      <c r="I912" s="96">
        <v>788.832</v>
      </c>
      <c r="J912" s="93" t="s">
        <v>31</v>
      </c>
      <c r="K912" s="97"/>
      <c r="L912" s="93" t="str">
        <f t="shared" si="1"/>
        <v/>
      </c>
      <c r="M912" s="98">
        <f t="shared" si="2"/>
        <v>0</v>
      </c>
      <c r="N912" s="77"/>
      <c r="O912" s="90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</row>
    <row r="913" ht="18.0" customHeight="1">
      <c r="A913" s="81"/>
      <c r="B913" s="91" t="str">
        <f>"10152"</f>
        <v>10152</v>
      </c>
      <c r="C913" s="91" t="str">
        <f>"693102101524"</f>
        <v>693102101524</v>
      </c>
      <c r="D913" s="92" t="s">
        <v>937</v>
      </c>
      <c r="E913" s="93" t="s">
        <v>95</v>
      </c>
      <c r="F913" s="94"/>
      <c r="G913" s="94"/>
      <c r="H913" s="95"/>
      <c r="I913" s="96">
        <v>394.416</v>
      </c>
      <c r="J913" s="93" t="s">
        <v>31</v>
      </c>
      <c r="K913" s="97"/>
      <c r="L913" s="93" t="str">
        <f t="shared" si="1"/>
        <v/>
      </c>
      <c r="M913" s="98">
        <f t="shared" si="2"/>
        <v>0</v>
      </c>
      <c r="N913" s="77"/>
      <c r="O913" s="90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</row>
    <row r="914" ht="18.0" customHeight="1">
      <c r="A914" s="81"/>
      <c r="B914" s="91" t="str">
        <f>"10153"</f>
        <v>10153</v>
      </c>
      <c r="C914" s="91" t="str">
        <f>"693102101531"</f>
        <v>693102101531</v>
      </c>
      <c r="D914" s="92" t="s">
        <v>938</v>
      </c>
      <c r="E914" s="93" t="s">
        <v>95</v>
      </c>
      <c r="F914" s="94"/>
      <c r="G914" s="94"/>
      <c r="H914" s="95"/>
      <c r="I914" s="96">
        <v>394.416</v>
      </c>
      <c r="J914" s="93" t="s">
        <v>31</v>
      </c>
      <c r="K914" s="97"/>
      <c r="L914" s="93" t="str">
        <f t="shared" si="1"/>
        <v/>
      </c>
      <c r="M914" s="98">
        <f t="shared" si="2"/>
        <v>0</v>
      </c>
      <c r="N914" s="77"/>
      <c r="O914" s="90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</row>
    <row r="915" ht="18.0" customHeight="1">
      <c r="A915" s="81"/>
      <c r="B915" s="91" t="str">
        <f>"10154"</f>
        <v>10154</v>
      </c>
      <c r="C915" s="91" t="str">
        <f>"693102101548"</f>
        <v>693102101548</v>
      </c>
      <c r="D915" s="92" t="s">
        <v>939</v>
      </c>
      <c r="E915" s="93" t="s">
        <v>95</v>
      </c>
      <c r="F915" s="94"/>
      <c r="G915" s="94"/>
      <c r="H915" s="95"/>
      <c r="I915" s="96">
        <v>394.416</v>
      </c>
      <c r="J915" s="93" t="s">
        <v>31</v>
      </c>
      <c r="K915" s="97"/>
      <c r="L915" s="93" t="str">
        <f t="shared" si="1"/>
        <v/>
      </c>
      <c r="M915" s="98">
        <f t="shared" si="2"/>
        <v>0</v>
      </c>
      <c r="N915" s="77"/>
      <c r="O915" s="90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</row>
    <row r="916" ht="18.0" customHeight="1">
      <c r="A916" s="81"/>
      <c r="B916" s="91" t="str">
        <f>"10155"</f>
        <v>10155</v>
      </c>
      <c r="C916" s="91" t="str">
        <f>"693102101555"</f>
        <v>693102101555</v>
      </c>
      <c r="D916" s="92" t="s">
        <v>940</v>
      </c>
      <c r="E916" s="93" t="s">
        <v>95</v>
      </c>
      <c r="F916" s="94"/>
      <c r="G916" s="94"/>
      <c r="H916" s="95"/>
      <c r="I916" s="96">
        <v>394.416</v>
      </c>
      <c r="J916" s="93" t="s">
        <v>31</v>
      </c>
      <c r="K916" s="97"/>
      <c r="L916" s="93" t="str">
        <f t="shared" si="1"/>
        <v/>
      </c>
      <c r="M916" s="98">
        <f t="shared" si="2"/>
        <v>0</v>
      </c>
      <c r="N916" s="77"/>
      <c r="O916" s="90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</row>
    <row r="917" ht="18.0" customHeight="1">
      <c r="A917" s="81"/>
      <c r="B917" s="91" t="str">
        <f>"10137"</f>
        <v>10137</v>
      </c>
      <c r="C917" s="91" t="str">
        <f>"693102101371"</f>
        <v>693102101371</v>
      </c>
      <c r="D917" s="92" t="s">
        <v>941</v>
      </c>
      <c r="E917" s="93" t="s">
        <v>95</v>
      </c>
      <c r="F917" s="94"/>
      <c r="G917" s="94"/>
      <c r="H917" s="95"/>
      <c r="I917" s="96">
        <v>39.6</v>
      </c>
      <c r="J917" s="93" t="s">
        <v>31</v>
      </c>
      <c r="K917" s="97"/>
      <c r="L917" s="93" t="str">
        <f t="shared" si="1"/>
        <v/>
      </c>
      <c r="M917" s="98">
        <f t="shared" si="2"/>
        <v>0</v>
      </c>
      <c r="N917" s="77"/>
      <c r="O917" s="90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</row>
    <row r="918" ht="18.0" customHeight="1">
      <c r="A918" s="81"/>
      <c r="B918" s="91" t="str">
        <f>"10138"</f>
        <v>10138</v>
      </c>
      <c r="C918" s="91" t="str">
        <f>"693102101388"</f>
        <v>693102101388</v>
      </c>
      <c r="D918" s="92" t="s">
        <v>942</v>
      </c>
      <c r="E918" s="93" t="s">
        <v>95</v>
      </c>
      <c r="F918" s="94"/>
      <c r="G918" s="94"/>
      <c r="H918" s="95"/>
      <c r="I918" s="96">
        <v>39.6</v>
      </c>
      <c r="J918" s="93" t="s">
        <v>31</v>
      </c>
      <c r="K918" s="97"/>
      <c r="L918" s="93" t="str">
        <f t="shared" si="1"/>
        <v/>
      </c>
      <c r="M918" s="98">
        <f t="shared" si="2"/>
        <v>0</v>
      </c>
      <c r="N918" s="77"/>
      <c r="O918" s="90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</row>
    <row r="919" ht="18.0" customHeight="1">
      <c r="A919" s="81"/>
      <c r="B919" s="91" t="str">
        <f>"10139"</f>
        <v>10139</v>
      </c>
      <c r="C919" s="91" t="str">
        <f>"693102101395"</f>
        <v>693102101395</v>
      </c>
      <c r="D919" s="92" t="s">
        <v>943</v>
      </c>
      <c r="E919" s="93" t="s">
        <v>95</v>
      </c>
      <c r="F919" s="94"/>
      <c r="G919" s="94"/>
      <c r="H919" s="95"/>
      <c r="I919" s="96">
        <v>39.6</v>
      </c>
      <c r="J919" s="93" t="s">
        <v>31</v>
      </c>
      <c r="K919" s="97"/>
      <c r="L919" s="93" t="str">
        <f t="shared" si="1"/>
        <v/>
      </c>
      <c r="M919" s="98">
        <f t="shared" si="2"/>
        <v>0</v>
      </c>
      <c r="N919" s="77"/>
      <c r="O919" s="90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</row>
    <row r="920" ht="18.0" customHeight="1">
      <c r="A920" s="81"/>
      <c r="B920" s="91" t="str">
        <f>"10140"</f>
        <v>10140</v>
      </c>
      <c r="C920" s="91" t="str">
        <f>"693102101401"</f>
        <v>693102101401</v>
      </c>
      <c r="D920" s="92" t="s">
        <v>944</v>
      </c>
      <c r="E920" s="93" t="s">
        <v>95</v>
      </c>
      <c r="F920" s="94"/>
      <c r="G920" s="94"/>
      <c r="H920" s="95"/>
      <c r="I920" s="96">
        <v>39.6</v>
      </c>
      <c r="J920" s="93" t="s">
        <v>31</v>
      </c>
      <c r="K920" s="97"/>
      <c r="L920" s="93" t="str">
        <f t="shared" si="1"/>
        <v/>
      </c>
      <c r="M920" s="98">
        <f t="shared" si="2"/>
        <v>0</v>
      </c>
      <c r="N920" s="77"/>
      <c r="O920" s="90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</row>
    <row r="921" ht="18.0" customHeight="1">
      <c r="A921" s="81"/>
      <c r="B921" s="91" t="str">
        <f>"10141"</f>
        <v>10141</v>
      </c>
      <c r="C921" s="91" t="str">
        <f>"693102101418"</f>
        <v>693102101418</v>
      </c>
      <c r="D921" s="92" t="s">
        <v>945</v>
      </c>
      <c r="E921" s="93" t="s">
        <v>95</v>
      </c>
      <c r="F921" s="94"/>
      <c r="G921" s="94"/>
      <c r="H921" s="95"/>
      <c r="I921" s="96">
        <v>39.6</v>
      </c>
      <c r="J921" s="93" t="s">
        <v>31</v>
      </c>
      <c r="K921" s="97"/>
      <c r="L921" s="93" t="str">
        <f t="shared" si="1"/>
        <v/>
      </c>
      <c r="M921" s="98">
        <f t="shared" si="2"/>
        <v>0</v>
      </c>
      <c r="N921" s="77"/>
      <c r="O921" s="90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</row>
    <row r="922" ht="18.0" customHeight="1">
      <c r="A922" s="81"/>
      <c r="B922" s="91" t="str">
        <f>"10142"</f>
        <v>10142</v>
      </c>
      <c r="C922" s="91" t="str">
        <f>"693102101425"</f>
        <v>693102101425</v>
      </c>
      <c r="D922" s="92" t="s">
        <v>946</v>
      </c>
      <c r="E922" s="93" t="s">
        <v>95</v>
      </c>
      <c r="F922" s="94"/>
      <c r="G922" s="94"/>
      <c r="H922" s="95"/>
      <c r="I922" s="96">
        <v>39.6</v>
      </c>
      <c r="J922" s="93" t="s">
        <v>31</v>
      </c>
      <c r="K922" s="97"/>
      <c r="L922" s="93" t="str">
        <f t="shared" si="1"/>
        <v/>
      </c>
      <c r="M922" s="98">
        <f t="shared" si="2"/>
        <v>0</v>
      </c>
      <c r="N922" s="77"/>
      <c r="O922" s="90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</row>
    <row r="923" ht="18.0" customHeight="1">
      <c r="A923" s="81"/>
      <c r="B923" s="91" t="str">
        <f>"10143"</f>
        <v>10143</v>
      </c>
      <c r="C923" s="91" t="str">
        <f>"693102101432"</f>
        <v>693102101432</v>
      </c>
      <c r="D923" s="92" t="s">
        <v>947</v>
      </c>
      <c r="E923" s="93" t="s">
        <v>95</v>
      </c>
      <c r="F923" s="94"/>
      <c r="G923" s="94"/>
      <c r="H923" s="95"/>
      <c r="I923" s="96">
        <v>39.6</v>
      </c>
      <c r="J923" s="93" t="s">
        <v>31</v>
      </c>
      <c r="K923" s="97"/>
      <c r="L923" s="93" t="str">
        <f t="shared" si="1"/>
        <v/>
      </c>
      <c r="M923" s="98">
        <f t="shared" si="2"/>
        <v>0</v>
      </c>
      <c r="N923" s="77"/>
      <c r="O923" s="90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</row>
    <row r="924" ht="18.0" customHeight="1">
      <c r="A924" s="81"/>
      <c r="B924" s="91" t="str">
        <f>"10144"</f>
        <v>10144</v>
      </c>
      <c r="C924" s="91" t="str">
        <f>"693102101449"</f>
        <v>693102101449</v>
      </c>
      <c r="D924" s="92" t="s">
        <v>948</v>
      </c>
      <c r="E924" s="93" t="s">
        <v>95</v>
      </c>
      <c r="F924" s="94"/>
      <c r="G924" s="94"/>
      <c r="H924" s="95"/>
      <c r="I924" s="96">
        <v>39.6</v>
      </c>
      <c r="J924" s="93" t="s">
        <v>31</v>
      </c>
      <c r="K924" s="97"/>
      <c r="L924" s="93" t="str">
        <f t="shared" si="1"/>
        <v/>
      </c>
      <c r="M924" s="98">
        <f t="shared" si="2"/>
        <v>0</v>
      </c>
      <c r="N924" s="77"/>
      <c r="O924" s="90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</row>
    <row r="925" ht="18.0" customHeight="1">
      <c r="A925" s="81"/>
      <c r="B925" s="91" t="str">
        <f>"10145"</f>
        <v>10145</v>
      </c>
      <c r="C925" s="91" t="str">
        <f>"693102101456"</f>
        <v>693102101456</v>
      </c>
      <c r="D925" s="92" t="s">
        <v>949</v>
      </c>
      <c r="E925" s="93" t="s">
        <v>95</v>
      </c>
      <c r="F925" s="94"/>
      <c r="G925" s="94"/>
      <c r="H925" s="95"/>
      <c r="I925" s="96">
        <v>39.6</v>
      </c>
      <c r="J925" s="93" t="s">
        <v>31</v>
      </c>
      <c r="K925" s="97"/>
      <c r="L925" s="93" t="str">
        <f t="shared" si="1"/>
        <v/>
      </c>
      <c r="M925" s="98">
        <f t="shared" si="2"/>
        <v>0</v>
      </c>
      <c r="N925" s="77"/>
      <c r="O925" s="90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</row>
    <row r="926" ht="18.0" customHeight="1">
      <c r="A926" s="81"/>
      <c r="B926" s="91" t="str">
        <f>"10146"</f>
        <v>10146</v>
      </c>
      <c r="C926" s="91" t="str">
        <f>"693102101463"</f>
        <v>693102101463</v>
      </c>
      <c r="D926" s="92" t="s">
        <v>950</v>
      </c>
      <c r="E926" s="93" t="s">
        <v>95</v>
      </c>
      <c r="F926" s="94"/>
      <c r="G926" s="94"/>
      <c r="H926" s="95"/>
      <c r="I926" s="96">
        <v>39.6</v>
      </c>
      <c r="J926" s="93" t="s">
        <v>31</v>
      </c>
      <c r="K926" s="97"/>
      <c r="L926" s="93" t="str">
        <f t="shared" si="1"/>
        <v/>
      </c>
      <c r="M926" s="98">
        <f t="shared" si="2"/>
        <v>0</v>
      </c>
      <c r="N926" s="77"/>
      <c r="O926" s="90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</row>
    <row r="927" ht="18.0" customHeight="1">
      <c r="A927" s="81"/>
      <c r="B927" s="91" t="str">
        <f>"10147"</f>
        <v>10147</v>
      </c>
      <c r="C927" s="91" t="str">
        <f>"693102101470"</f>
        <v>693102101470</v>
      </c>
      <c r="D927" s="92" t="s">
        <v>951</v>
      </c>
      <c r="E927" s="93" t="s">
        <v>95</v>
      </c>
      <c r="F927" s="94"/>
      <c r="G927" s="94"/>
      <c r="H927" s="95"/>
      <c r="I927" s="96">
        <v>39.6</v>
      </c>
      <c r="J927" s="93" t="s">
        <v>31</v>
      </c>
      <c r="K927" s="97"/>
      <c r="L927" s="93" t="str">
        <f t="shared" si="1"/>
        <v/>
      </c>
      <c r="M927" s="98">
        <f t="shared" si="2"/>
        <v>0</v>
      </c>
      <c r="N927" s="77"/>
      <c r="O927" s="90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</row>
    <row r="928" ht="18.0" customHeight="1">
      <c r="A928" s="81"/>
      <c r="B928" s="91" t="str">
        <f>"10148"</f>
        <v>10148</v>
      </c>
      <c r="C928" s="91" t="str">
        <f>"693102101487"</f>
        <v>693102101487</v>
      </c>
      <c r="D928" s="92" t="s">
        <v>952</v>
      </c>
      <c r="E928" s="93" t="s">
        <v>95</v>
      </c>
      <c r="F928" s="94"/>
      <c r="G928" s="94"/>
      <c r="H928" s="95"/>
      <c r="I928" s="96">
        <v>39.6</v>
      </c>
      <c r="J928" s="93" t="s">
        <v>31</v>
      </c>
      <c r="K928" s="97"/>
      <c r="L928" s="93" t="str">
        <f t="shared" si="1"/>
        <v/>
      </c>
      <c r="M928" s="98">
        <f t="shared" si="2"/>
        <v>0</v>
      </c>
      <c r="N928" s="77"/>
      <c r="O928" s="90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</row>
    <row r="929" ht="18.0" customHeight="1">
      <c r="A929" s="81"/>
      <c r="B929" s="91" t="str">
        <f>"10149"</f>
        <v>10149</v>
      </c>
      <c r="C929" s="91" t="str">
        <f>"693102101494"</f>
        <v>693102101494</v>
      </c>
      <c r="D929" s="92" t="s">
        <v>953</v>
      </c>
      <c r="E929" s="93" t="s">
        <v>95</v>
      </c>
      <c r="F929" s="94"/>
      <c r="G929" s="94"/>
      <c r="H929" s="95"/>
      <c r="I929" s="96">
        <v>39.6</v>
      </c>
      <c r="J929" s="93" t="s">
        <v>31</v>
      </c>
      <c r="K929" s="97"/>
      <c r="L929" s="93" t="str">
        <f t="shared" si="1"/>
        <v/>
      </c>
      <c r="M929" s="98">
        <f t="shared" si="2"/>
        <v>0</v>
      </c>
      <c r="N929" s="77"/>
      <c r="O929" s="90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</row>
    <row r="930" ht="18.0" customHeight="1">
      <c r="A930" s="81"/>
      <c r="B930" s="91" t="str">
        <f>"10150"</f>
        <v>10150</v>
      </c>
      <c r="C930" s="91" t="str">
        <f>"693102101500"</f>
        <v>693102101500</v>
      </c>
      <c r="D930" s="92" t="s">
        <v>954</v>
      </c>
      <c r="E930" s="93" t="s">
        <v>95</v>
      </c>
      <c r="F930" s="94"/>
      <c r="G930" s="94"/>
      <c r="H930" s="95"/>
      <c r="I930" s="96">
        <v>39.6</v>
      </c>
      <c r="J930" s="93" t="s">
        <v>31</v>
      </c>
      <c r="K930" s="97"/>
      <c r="L930" s="93" t="str">
        <f t="shared" si="1"/>
        <v/>
      </c>
      <c r="M930" s="98">
        <f t="shared" si="2"/>
        <v>0</v>
      </c>
      <c r="N930" s="77"/>
      <c r="O930" s="90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</row>
    <row r="931" ht="18.0" customHeight="1">
      <c r="A931" s="81"/>
      <c r="B931" s="91" t="str">
        <f>"A202522195"</f>
        <v>A202522195</v>
      </c>
      <c r="C931" s="91" t="str">
        <f>"693102221956"</f>
        <v>693102221956</v>
      </c>
      <c r="D931" s="92" t="s">
        <v>955</v>
      </c>
      <c r="E931" s="93" t="s">
        <v>95</v>
      </c>
      <c r="F931" s="94">
        <v>39.0</v>
      </c>
      <c r="G931" s="94">
        <v>19.5</v>
      </c>
      <c r="H931" s="95">
        <v>0.604</v>
      </c>
      <c r="I931" s="96">
        <v>18.532799999999998</v>
      </c>
      <c r="J931" s="93" t="s">
        <v>31</v>
      </c>
      <c r="K931" s="97"/>
      <c r="L931" s="93" t="str">
        <f t="shared" si="1"/>
        <v/>
      </c>
      <c r="M931" s="98">
        <f t="shared" si="2"/>
        <v>0</v>
      </c>
      <c r="N931" s="77"/>
      <c r="O931" s="90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</row>
    <row r="932" ht="18.0" customHeight="1">
      <c r="A932" s="81"/>
      <c r="B932" s="91" t="str">
        <f>"A202522099"</f>
        <v>A202522099</v>
      </c>
      <c r="C932" s="91" t="str">
        <f>"693102220997"</f>
        <v>693102220997</v>
      </c>
      <c r="D932" s="92" t="s">
        <v>956</v>
      </c>
      <c r="E932" s="93" t="s">
        <v>95</v>
      </c>
      <c r="F932" s="94">
        <v>39.0</v>
      </c>
      <c r="G932" s="94">
        <v>19.5</v>
      </c>
      <c r="H932" s="95">
        <v>0.604</v>
      </c>
      <c r="I932" s="96">
        <v>18.532799999999998</v>
      </c>
      <c r="J932" s="93" t="s">
        <v>31</v>
      </c>
      <c r="K932" s="97"/>
      <c r="L932" s="93" t="str">
        <f t="shared" si="1"/>
        <v/>
      </c>
      <c r="M932" s="98">
        <f t="shared" si="2"/>
        <v>0</v>
      </c>
      <c r="N932" s="77"/>
      <c r="O932" s="90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</row>
    <row r="933" ht="18.0" customHeight="1">
      <c r="A933" s="81"/>
      <c r="B933" s="91" t="str">
        <f>"A202522194"</f>
        <v>A202522194</v>
      </c>
      <c r="C933" s="91" t="str">
        <f>"693102221949"</f>
        <v>693102221949</v>
      </c>
      <c r="D933" s="92" t="s">
        <v>957</v>
      </c>
      <c r="E933" s="93" t="s">
        <v>95</v>
      </c>
      <c r="F933" s="94">
        <v>39.0</v>
      </c>
      <c r="G933" s="94">
        <v>19.5</v>
      </c>
      <c r="H933" s="95">
        <v>0.604</v>
      </c>
      <c r="I933" s="96">
        <v>18.532799999999998</v>
      </c>
      <c r="J933" s="93" t="s">
        <v>31</v>
      </c>
      <c r="K933" s="97"/>
      <c r="L933" s="93" t="str">
        <f t="shared" si="1"/>
        <v/>
      </c>
      <c r="M933" s="98">
        <f t="shared" si="2"/>
        <v>0</v>
      </c>
      <c r="N933" s="77"/>
      <c r="O933" s="90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</row>
    <row r="934" ht="18.0" customHeight="1">
      <c r="A934" s="81"/>
      <c r="B934" s="91" t="str">
        <f>"A202522000L"</f>
        <v>A202522000L</v>
      </c>
      <c r="C934" s="91" t="str">
        <f t="shared" ref="C934:C936" si="7">""</f>
        <v/>
      </c>
      <c r="D934" s="92" t="s">
        <v>958</v>
      </c>
      <c r="E934" s="93" t="s">
        <v>95</v>
      </c>
      <c r="F934" s="94">
        <v>350.0</v>
      </c>
      <c r="G934" s="94">
        <v>175.0</v>
      </c>
      <c r="H934" s="95">
        <v>0.6605714285714286</v>
      </c>
      <c r="I934" s="96">
        <v>142.56</v>
      </c>
      <c r="J934" s="93" t="s">
        <v>31</v>
      </c>
      <c r="K934" s="97"/>
      <c r="L934" s="93" t="str">
        <f t="shared" si="1"/>
        <v/>
      </c>
      <c r="M934" s="98">
        <f t="shared" si="2"/>
        <v>0</v>
      </c>
      <c r="N934" s="77"/>
      <c r="O934" s="90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</row>
    <row r="935" ht="18.0" customHeight="1">
      <c r="A935" s="81"/>
      <c r="B935" s="91" t="str">
        <f>"A202522000M"</f>
        <v>A202522000M</v>
      </c>
      <c r="C935" s="91" t="str">
        <f t="shared" si="7"/>
        <v/>
      </c>
      <c r="D935" s="92" t="s">
        <v>959</v>
      </c>
      <c r="E935" s="93" t="s">
        <v>95</v>
      </c>
      <c r="F935" s="94">
        <v>350.0</v>
      </c>
      <c r="G935" s="94">
        <v>175.0</v>
      </c>
      <c r="H935" s="95">
        <v>0.6605714285714286</v>
      </c>
      <c r="I935" s="96">
        <v>142.56</v>
      </c>
      <c r="J935" s="93" t="s">
        <v>31</v>
      </c>
      <c r="K935" s="97"/>
      <c r="L935" s="93" t="str">
        <f t="shared" si="1"/>
        <v/>
      </c>
      <c r="M935" s="98">
        <f t="shared" si="2"/>
        <v>0</v>
      </c>
      <c r="N935" s="77"/>
      <c r="O935" s="90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</row>
    <row r="936" ht="18.0" customHeight="1">
      <c r="A936" s="81"/>
      <c r="B936" s="91" t="str">
        <f>"A202522000T"</f>
        <v>A202522000T</v>
      </c>
      <c r="C936" s="91" t="str">
        <f t="shared" si="7"/>
        <v/>
      </c>
      <c r="D936" s="92" t="s">
        <v>960</v>
      </c>
      <c r="E936" s="93" t="s">
        <v>95</v>
      </c>
      <c r="F936" s="94">
        <v>350.0</v>
      </c>
      <c r="G936" s="94">
        <v>175.0</v>
      </c>
      <c r="H936" s="95">
        <v>0.6605714285714286</v>
      </c>
      <c r="I936" s="96">
        <v>142.56</v>
      </c>
      <c r="J936" s="93" t="s">
        <v>31</v>
      </c>
      <c r="K936" s="97"/>
      <c r="L936" s="93" t="str">
        <f t="shared" si="1"/>
        <v/>
      </c>
      <c r="M936" s="98">
        <f t="shared" si="2"/>
        <v>0</v>
      </c>
      <c r="N936" s="77"/>
      <c r="O936" s="90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</row>
    <row r="937" ht="18.0" customHeight="1">
      <c r="A937" s="81"/>
      <c r="B937" s="91" t="str">
        <f>"73-09-10"</f>
        <v>73-09-10</v>
      </c>
      <c r="C937" s="91" t="str">
        <f>"693102309104"</f>
        <v>693102309104</v>
      </c>
      <c r="D937" s="92" t="s">
        <v>961</v>
      </c>
      <c r="E937" s="93" t="s">
        <v>95</v>
      </c>
      <c r="F937" s="94"/>
      <c r="G937" s="94"/>
      <c r="H937" s="95"/>
      <c r="I937" s="96">
        <v>7.919999999999999</v>
      </c>
      <c r="J937" s="93" t="s">
        <v>31</v>
      </c>
      <c r="K937" s="97"/>
      <c r="L937" s="93" t="str">
        <f t="shared" si="1"/>
        <v/>
      </c>
      <c r="M937" s="98">
        <f t="shared" si="2"/>
        <v>0</v>
      </c>
      <c r="N937" s="77"/>
      <c r="O937" s="90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</row>
    <row r="938" ht="18.0" customHeight="1">
      <c r="A938" s="81"/>
      <c r="B938" s="91" t="str">
        <f>"90-558"</f>
        <v>90-558</v>
      </c>
      <c r="C938" s="91" t="str">
        <f>"693102905580"</f>
        <v>693102905580</v>
      </c>
      <c r="D938" s="92" t="s">
        <v>962</v>
      </c>
      <c r="E938" s="93" t="s">
        <v>95</v>
      </c>
      <c r="F938" s="94"/>
      <c r="G938" s="94"/>
      <c r="H938" s="95"/>
      <c r="I938" s="96">
        <v>2.376</v>
      </c>
      <c r="J938" s="93" t="s">
        <v>31</v>
      </c>
      <c r="K938" s="97"/>
      <c r="L938" s="93" t="str">
        <f t="shared" si="1"/>
        <v/>
      </c>
      <c r="M938" s="98">
        <f t="shared" si="2"/>
        <v>0</v>
      </c>
      <c r="N938" s="77"/>
      <c r="O938" s="90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</row>
    <row r="939" ht="18.0" customHeight="1">
      <c r="A939" s="81"/>
      <c r="B939" s="91" t="str">
        <f>"70314"</f>
        <v>70314</v>
      </c>
      <c r="C939" s="91" t="str">
        <f>"693102703148"</f>
        <v>693102703148</v>
      </c>
      <c r="D939" s="92" t="s">
        <v>963</v>
      </c>
      <c r="E939" s="93" t="s">
        <v>95</v>
      </c>
      <c r="F939" s="94">
        <v>2.0</v>
      </c>
      <c r="G939" s="94">
        <v>1.0</v>
      </c>
      <c r="H939" s="95">
        <v>0.604</v>
      </c>
      <c r="I939" s="96">
        <v>0.9504</v>
      </c>
      <c r="J939" s="93" t="s">
        <v>31</v>
      </c>
      <c r="K939" s="97"/>
      <c r="L939" s="93" t="str">
        <f t="shared" si="1"/>
        <v/>
      </c>
      <c r="M939" s="98">
        <f t="shared" si="2"/>
        <v>0</v>
      </c>
      <c r="N939" s="77"/>
      <c r="O939" s="90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</row>
    <row r="940" ht="18.0" customHeight="1">
      <c r="A940" s="81"/>
      <c r="B940" s="91" t="str">
        <f>"123458"</f>
        <v>123458</v>
      </c>
      <c r="C940" s="91" t="str">
        <f>"693102123458"</f>
        <v>693102123458</v>
      </c>
      <c r="D940" s="92" t="s">
        <v>964</v>
      </c>
      <c r="E940" s="93" t="s">
        <v>95</v>
      </c>
      <c r="F940" s="94"/>
      <c r="G940" s="94"/>
      <c r="H940" s="95"/>
      <c r="I940" s="96">
        <v>2.376</v>
      </c>
      <c r="J940" s="93" t="s">
        <v>31</v>
      </c>
      <c r="K940" s="97"/>
      <c r="L940" s="93" t="str">
        <f t="shared" si="1"/>
        <v/>
      </c>
      <c r="M940" s="98">
        <f t="shared" si="2"/>
        <v>0</v>
      </c>
      <c r="N940" s="77"/>
      <c r="O940" s="90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</row>
    <row r="941" ht="18.0" customHeight="1">
      <c r="A941" s="81"/>
      <c r="B941" s="91" t="str">
        <f>"PK0111"</f>
        <v>PK0111</v>
      </c>
      <c r="C941" s="91" t="str">
        <f>"693102345676"</f>
        <v>693102345676</v>
      </c>
      <c r="D941" s="92" t="s">
        <v>965</v>
      </c>
      <c r="E941" s="93" t="s">
        <v>95</v>
      </c>
      <c r="F941" s="94"/>
      <c r="G941" s="94"/>
      <c r="H941" s="95"/>
      <c r="I941" s="96">
        <v>4.752</v>
      </c>
      <c r="J941" s="93" t="s">
        <v>31</v>
      </c>
      <c r="K941" s="97"/>
      <c r="L941" s="93" t="str">
        <f t="shared" si="1"/>
        <v/>
      </c>
      <c r="M941" s="98">
        <f t="shared" si="2"/>
        <v>0</v>
      </c>
      <c r="N941" s="77"/>
      <c r="O941" s="90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</row>
    <row r="942" ht="18.0" customHeight="1">
      <c r="A942" s="81"/>
      <c r="B942" s="91" t="str">
        <f>"71-69-50"</f>
        <v>71-69-50</v>
      </c>
      <c r="C942" s="91" t="str">
        <f>"693102169500"</f>
        <v>693102169500</v>
      </c>
      <c r="D942" s="92" t="s">
        <v>966</v>
      </c>
      <c r="E942" s="93" t="s">
        <v>95</v>
      </c>
      <c r="F942" s="94">
        <v>10.0</v>
      </c>
      <c r="G942" s="94">
        <v>5.0</v>
      </c>
      <c r="H942" s="95">
        <v>0.604</v>
      </c>
      <c r="I942" s="96">
        <v>4.752</v>
      </c>
      <c r="J942" s="93" t="s">
        <v>31</v>
      </c>
      <c r="K942" s="97"/>
      <c r="L942" s="93" t="str">
        <f t="shared" si="1"/>
        <v/>
      </c>
      <c r="M942" s="98">
        <f t="shared" si="2"/>
        <v>0</v>
      </c>
      <c r="N942" s="77"/>
      <c r="O942" s="90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</row>
    <row r="943" ht="18.0" customHeight="1">
      <c r="A943" s="81"/>
      <c r="B943" s="91" t="str">
        <f>"71-69-56"</f>
        <v>71-69-56</v>
      </c>
      <c r="C943" s="91" t="str">
        <f>"693102169562"</f>
        <v>693102169562</v>
      </c>
      <c r="D943" s="92" t="s">
        <v>967</v>
      </c>
      <c r="E943" s="93" t="s">
        <v>95</v>
      </c>
      <c r="F943" s="94">
        <v>17.0</v>
      </c>
      <c r="G943" s="94">
        <v>8.5</v>
      </c>
      <c r="H943" s="95">
        <v>0.6040000000000001</v>
      </c>
      <c r="I943" s="96">
        <v>8.0784</v>
      </c>
      <c r="J943" s="93" t="s">
        <v>31</v>
      </c>
      <c r="K943" s="97"/>
      <c r="L943" s="93" t="str">
        <f t="shared" si="1"/>
        <v/>
      </c>
      <c r="M943" s="98">
        <f t="shared" si="2"/>
        <v>0</v>
      </c>
      <c r="N943" s="77"/>
      <c r="O943" s="90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</row>
    <row r="944" ht="18.0" customHeight="1">
      <c r="A944" s="81"/>
      <c r="B944" s="91" t="str">
        <f>"40006"</f>
        <v>40006</v>
      </c>
      <c r="C944" s="91" t="str">
        <f>"693102400061"</f>
        <v>693102400061</v>
      </c>
      <c r="D944" s="92" t="s">
        <v>968</v>
      </c>
      <c r="E944" s="93" t="s">
        <v>969</v>
      </c>
      <c r="F944" s="94">
        <v>7.0</v>
      </c>
      <c r="G944" s="94">
        <v>3.5</v>
      </c>
      <c r="H944" s="95">
        <v>0.604</v>
      </c>
      <c r="I944" s="96">
        <v>3.3264</v>
      </c>
      <c r="J944" s="93" t="s">
        <v>31</v>
      </c>
      <c r="K944" s="97"/>
      <c r="L944" s="93" t="str">
        <f t="shared" si="1"/>
        <v/>
      </c>
      <c r="M944" s="98">
        <f t="shared" si="2"/>
        <v>0</v>
      </c>
      <c r="N944" s="77"/>
      <c r="O944" s="90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</row>
    <row r="945" ht="18.0" customHeight="1">
      <c r="A945" s="81"/>
      <c r="B945" s="91" t="str">
        <f>"BAG-WH"</f>
        <v>BAG-WH</v>
      </c>
      <c r="C945" s="91" t="str">
        <f t="shared" ref="C945:C946" si="8">""</f>
        <v/>
      </c>
      <c r="D945" s="92" t="s">
        <v>970</v>
      </c>
      <c r="E945" s="93" t="s">
        <v>95</v>
      </c>
      <c r="F945" s="94"/>
      <c r="G945" s="94"/>
      <c r="H945" s="95"/>
      <c r="I945" s="96">
        <v>1.188</v>
      </c>
      <c r="J945" s="93" t="s">
        <v>31</v>
      </c>
      <c r="K945" s="97"/>
      <c r="L945" s="93" t="str">
        <f t="shared" si="1"/>
        <v/>
      </c>
      <c r="M945" s="98">
        <f t="shared" si="2"/>
        <v>0</v>
      </c>
      <c r="N945" s="77"/>
      <c r="O945" s="90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</row>
    <row r="946" ht="18.0" customHeight="1">
      <c r="A946" s="81"/>
      <c r="B946" s="91" t="str">
        <f>"BAG-BLK"</f>
        <v>BAG-BLK</v>
      </c>
      <c r="C946" s="91" t="str">
        <f t="shared" si="8"/>
        <v/>
      </c>
      <c r="D946" s="92" t="s">
        <v>971</v>
      </c>
      <c r="E946" s="93" t="s">
        <v>95</v>
      </c>
      <c r="F946" s="94"/>
      <c r="G946" s="94"/>
      <c r="H946" s="95"/>
      <c r="I946" s="96">
        <v>1.188</v>
      </c>
      <c r="J946" s="93" t="s">
        <v>31</v>
      </c>
      <c r="K946" s="97"/>
      <c r="L946" s="93" t="str">
        <f t="shared" si="1"/>
        <v/>
      </c>
      <c r="M946" s="98">
        <f t="shared" si="2"/>
        <v>0</v>
      </c>
      <c r="N946" s="77"/>
      <c r="O946" s="90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</row>
    <row r="947" ht="18.0" customHeight="1">
      <c r="A947" s="81"/>
      <c r="B947" s="91" t="str">
        <f>"71-69-90"</f>
        <v>71-69-90</v>
      </c>
      <c r="C947" s="91" t="str">
        <f>"693102169906"</f>
        <v>693102169906</v>
      </c>
      <c r="D947" s="92" t="s">
        <v>972</v>
      </c>
      <c r="E947" s="93" t="s">
        <v>973</v>
      </c>
      <c r="F947" s="94">
        <v>10.0</v>
      </c>
      <c r="G947" s="94">
        <v>5.0</v>
      </c>
      <c r="H947" s="95">
        <v>0.604</v>
      </c>
      <c r="I947" s="96">
        <v>4.752</v>
      </c>
      <c r="J947" s="93" t="s">
        <v>31</v>
      </c>
      <c r="K947" s="97"/>
      <c r="L947" s="93" t="str">
        <f t="shared" si="1"/>
        <v/>
      </c>
      <c r="M947" s="98">
        <f t="shared" si="2"/>
        <v>0</v>
      </c>
      <c r="N947" s="77"/>
      <c r="O947" s="90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</row>
    <row r="948" ht="18.0" customHeight="1">
      <c r="A948" s="81"/>
      <c r="B948" s="91" t="str">
        <f>"71-69-91"</f>
        <v>71-69-91</v>
      </c>
      <c r="C948" s="91" t="str">
        <f>"693102169913"</f>
        <v>693102169913</v>
      </c>
      <c r="D948" s="92" t="s">
        <v>974</v>
      </c>
      <c r="E948" s="93" t="s">
        <v>975</v>
      </c>
      <c r="F948" s="94">
        <v>10.0</v>
      </c>
      <c r="G948" s="94">
        <v>5.0</v>
      </c>
      <c r="H948" s="95">
        <v>0.604</v>
      </c>
      <c r="I948" s="96">
        <v>4.752</v>
      </c>
      <c r="J948" s="93" t="s">
        <v>31</v>
      </c>
      <c r="K948" s="97"/>
      <c r="L948" s="93" t="str">
        <f t="shared" si="1"/>
        <v/>
      </c>
      <c r="M948" s="98">
        <f t="shared" si="2"/>
        <v>0</v>
      </c>
      <c r="N948" s="77"/>
      <c r="O948" s="90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</row>
    <row r="949" ht="18.0" customHeight="1">
      <c r="A949" s="81"/>
      <c r="B949" s="91" t="str">
        <f>"71-69-92"</f>
        <v>71-69-92</v>
      </c>
      <c r="C949" s="91" t="str">
        <f>"693102169920"</f>
        <v>693102169920</v>
      </c>
      <c r="D949" s="92" t="s">
        <v>976</v>
      </c>
      <c r="E949" s="93" t="s">
        <v>977</v>
      </c>
      <c r="F949" s="94">
        <v>19.0</v>
      </c>
      <c r="G949" s="94">
        <v>9.5</v>
      </c>
      <c r="H949" s="95">
        <v>0.604</v>
      </c>
      <c r="I949" s="96">
        <v>9.0288</v>
      </c>
      <c r="J949" s="93" t="s">
        <v>31</v>
      </c>
      <c r="K949" s="97"/>
      <c r="L949" s="93" t="str">
        <f t="shared" si="1"/>
        <v/>
      </c>
      <c r="M949" s="98">
        <f t="shared" si="2"/>
        <v>0</v>
      </c>
      <c r="N949" s="77"/>
      <c r="O949" s="90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</row>
    <row r="950" ht="18.0" customHeight="1">
      <c r="A950" s="81"/>
      <c r="B950" s="91" t="str">
        <f>"71-69-95"</f>
        <v>71-69-95</v>
      </c>
      <c r="C950" s="91" t="str">
        <f>"693102169951"</f>
        <v>693102169951</v>
      </c>
      <c r="D950" s="92" t="s">
        <v>978</v>
      </c>
      <c r="E950" s="93" t="s">
        <v>979</v>
      </c>
      <c r="F950" s="94">
        <v>15.0</v>
      </c>
      <c r="G950" s="94">
        <v>7.5</v>
      </c>
      <c r="H950" s="95">
        <v>0.6039999999999999</v>
      </c>
      <c r="I950" s="96">
        <v>7.128</v>
      </c>
      <c r="J950" s="93" t="s">
        <v>31</v>
      </c>
      <c r="K950" s="97"/>
      <c r="L950" s="93" t="str">
        <f t="shared" si="1"/>
        <v/>
      </c>
      <c r="M950" s="98">
        <f t="shared" si="2"/>
        <v>0</v>
      </c>
      <c r="N950" s="77"/>
      <c r="O950" s="90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</row>
    <row r="951" ht="18.0" customHeight="1">
      <c r="A951" s="81"/>
      <c r="B951" s="91" t="str">
        <f>"PK0523"</f>
        <v>PK0523</v>
      </c>
      <c r="C951" s="91" t="str">
        <f>"693102005235"</f>
        <v>693102005235</v>
      </c>
      <c r="D951" s="92" t="s">
        <v>980</v>
      </c>
      <c r="E951" s="93" t="s">
        <v>981</v>
      </c>
      <c r="F951" s="94">
        <v>24.0</v>
      </c>
      <c r="G951" s="94">
        <v>12.0</v>
      </c>
      <c r="H951" s="95">
        <v>0.604</v>
      </c>
      <c r="I951" s="96">
        <v>11.4048</v>
      </c>
      <c r="J951" s="93" t="s">
        <v>31</v>
      </c>
      <c r="K951" s="97"/>
      <c r="L951" s="93" t="str">
        <f t="shared" si="1"/>
        <v/>
      </c>
      <c r="M951" s="98">
        <f t="shared" si="2"/>
        <v>0</v>
      </c>
      <c r="N951" s="77"/>
      <c r="O951" s="90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</row>
    <row r="952" ht="18.0" customHeight="1">
      <c r="A952" s="81"/>
      <c r="B952" s="91" t="str">
        <f>"1079"</f>
        <v>1079</v>
      </c>
      <c r="C952" s="91" t="str">
        <f>"693102010796"</f>
        <v>693102010796</v>
      </c>
      <c r="D952" s="92" t="s">
        <v>982</v>
      </c>
      <c r="E952" s="93" t="s">
        <v>95</v>
      </c>
      <c r="F952" s="94">
        <v>15.0</v>
      </c>
      <c r="G952" s="94">
        <v>7.5</v>
      </c>
      <c r="H952" s="95">
        <v>0.33999999999999997</v>
      </c>
      <c r="I952" s="96">
        <v>11.88</v>
      </c>
      <c r="J952" s="93" t="s">
        <v>31</v>
      </c>
      <c r="K952" s="97"/>
      <c r="L952" s="93" t="str">
        <f t="shared" si="1"/>
        <v/>
      </c>
      <c r="M952" s="98">
        <f t="shared" si="2"/>
        <v>0</v>
      </c>
      <c r="N952" s="77"/>
      <c r="O952" s="90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</row>
    <row r="953" ht="18.0" customHeight="1">
      <c r="A953" s="81"/>
      <c r="B953" s="91" t="str">
        <f>"1081"</f>
        <v>1081</v>
      </c>
      <c r="C953" s="91" t="str">
        <f>"693102010819"</f>
        <v>693102010819</v>
      </c>
      <c r="D953" s="92" t="s">
        <v>983</v>
      </c>
      <c r="E953" s="93" t="s">
        <v>95</v>
      </c>
      <c r="F953" s="94">
        <v>15.0</v>
      </c>
      <c r="G953" s="94">
        <v>7.5</v>
      </c>
      <c r="H953" s="95">
        <v>0.33999999999999997</v>
      </c>
      <c r="I953" s="96">
        <v>11.88</v>
      </c>
      <c r="J953" s="93" t="s">
        <v>31</v>
      </c>
      <c r="K953" s="97"/>
      <c r="L953" s="93" t="str">
        <f t="shared" si="1"/>
        <v/>
      </c>
      <c r="M953" s="98">
        <f t="shared" si="2"/>
        <v>0</v>
      </c>
      <c r="N953" s="77"/>
      <c r="O953" s="90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</row>
    <row r="954" ht="18.0" customHeight="1">
      <c r="A954" s="81"/>
      <c r="B954" s="91" t="str">
        <f>"1082"</f>
        <v>1082</v>
      </c>
      <c r="C954" s="91" t="str">
        <f>"693102010826"</f>
        <v>693102010826</v>
      </c>
      <c r="D954" s="92" t="s">
        <v>984</v>
      </c>
      <c r="E954" s="93" t="s">
        <v>95</v>
      </c>
      <c r="F954" s="94">
        <v>15.0</v>
      </c>
      <c r="G954" s="94">
        <v>7.5</v>
      </c>
      <c r="H954" s="95">
        <v>0.33999999999999997</v>
      </c>
      <c r="I954" s="96">
        <v>11.88</v>
      </c>
      <c r="J954" s="93" t="s">
        <v>31</v>
      </c>
      <c r="K954" s="97"/>
      <c r="L954" s="93" t="str">
        <f t="shared" si="1"/>
        <v/>
      </c>
      <c r="M954" s="98">
        <f t="shared" si="2"/>
        <v>0</v>
      </c>
      <c r="N954" s="77"/>
      <c r="O954" s="90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</row>
    <row r="955" ht="18.0" customHeight="1">
      <c r="A955" s="81"/>
      <c r="B955" s="91" t="str">
        <f>"16077"</f>
        <v>16077</v>
      </c>
      <c r="C955" s="91" t="str">
        <f>"693102160774"</f>
        <v>693102160774</v>
      </c>
      <c r="D955" s="92" t="s">
        <v>985</v>
      </c>
      <c r="E955" s="93" t="s">
        <v>95</v>
      </c>
      <c r="F955" s="94">
        <v>12.0</v>
      </c>
      <c r="G955" s="94">
        <v>6.0</v>
      </c>
      <c r="H955" s="95">
        <v>0.6039999999999999</v>
      </c>
      <c r="I955" s="96">
        <v>5.702400000000002</v>
      </c>
      <c r="J955" s="93" t="s">
        <v>31</v>
      </c>
      <c r="K955" s="97"/>
      <c r="L955" s="93" t="str">
        <f t="shared" si="1"/>
        <v/>
      </c>
      <c r="M955" s="98">
        <f t="shared" si="2"/>
        <v>0</v>
      </c>
      <c r="N955" s="77"/>
      <c r="O955" s="90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</row>
    <row r="956" ht="18.0" customHeight="1">
      <c r="A956" s="81"/>
      <c r="B956" s="91" t="str">
        <f>"70315"</f>
        <v>70315</v>
      </c>
      <c r="C956" s="91" t="str">
        <f>"693102703155"</f>
        <v>693102703155</v>
      </c>
      <c r="D956" s="92" t="s">
        <v>986</v>
      </c>
      <c r="E956" s="93" t="s">
        <v>95</v>
      </c>
      <c r="F956" s="94">
        <v>30.0</v>
      </c>
      <c r="G956" s="94">
        <v>15.0</v>
      </c>
      <c r="H956" s="95">
        <v>0.9076000000000001</v>
      </c>
      <c r="I956" s="96">
        <v>3.3264</v>
      </c>
      <c r="J956" s="93" t="s">
        <v>31</v>
      </c>
      <c r="K956" s="97"/>
      <c r="L956" s="93" t="str">
        <f t="shared" si="1"/>
        <v/>
      </c>
      <c r="M956" s="98">
        <f t="shared" si="2"/>
        <v>0</v>
      </c>
      <c r="N956" s="77"/>
      <c r="O956" s="90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</row>
    <row r="957" ht="18.0" customHeight="1">
      <c r="A957" s="81"/>
      <c r="B957" s="91" t="str">
        <f>"77777"</f>
        <v>77777</v>
      </c>
      <c r="C957" s="91" t="str">
        <f>"693102777774"</f>
        <v>693102777774</v>
      </c>
      <c r="D957" s="92" t="s">
        <v>987</v>
      </c>
      <c r="E957" s="93" t="s">
        <v>988</v>
      </c>
      <c r="F957" s="94">
        <v>15.0</v>
      </c>
      <c r="G957" s="94">
        <v>7.5</v>
      </c>
      <c r="H957" s="95">
        <v>0.20799999999999993</v>
      </c>
      <c r="I957" s="96">
        <v>14.256</v>
      </c>
      <c r="J957" s="93" t="s">
        <v>31</v>
      </c>
      <c r="K957" s="97"/>
      <c r="L957" s="93" t="str">
        <f t="shared" si="1"/>
        <v/>
      </c>
      <c r="M957" s="98">
        <f t="shared" si="2"/>
        <v>0</v>
      </c>
      <c r="N957" s="77"/>
      <c r="O957" s="90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</row>
    <row r="958" ht="18.0" customHeight="1">
      <c r="A958" s="81"/>
      <c r="B958" s="91" t="str">
        <f>"10105"</f>
        <v>10105</v>
      </c>
      <c r="C958" s="91" t="str">
        <f>"693102101050"</f>
        <v>693102101050</v>
      </c>
      <c r="D958" s="92" t="s">
        <v>989</v>
      </c>
      <c r="E958" s="93" t="s">
        <v>990</v>
      </c>
      <c r="F958" s="94">
        <v>15.0</v>
      </c>
      <c r="G958" s="94">
        <v>7.5</v>
      </c>
      <c r="H958" s="95">
        <v>0.33999999999999997</v>
      </c>
      <c r="I958" s="96">
        <v>11.88</v>
      </c>
      <c r="J958" s="93" t="s">
        <v>31</v>
      </c>
      <c r="K958" s="97"/>
      <c r="L958" s="93" t="str">
        <f t="shared" si="1"/>
        <v/>
      </c>
      <c r="M958" s="98">
        <f t="shared" si="2"/>
        <v>0</v>
      </c>
      <c r="N958" s="77"/>
      <c r="O958" s="90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</row>
    <row r="959" ht="18.0" customHeight="1">
      <c r="A959" s="81"/>
      <c r="B959" s="91" t="str">
        <f>"10111"</f>
        <v>10111</v>
      </c>
      <c r="C959" s="91" t="str">
        <f>"693102101111"</f>
        <v>693102101111</v>
      </c>
      <c r="D959" s="92" t="s">
        <v>991</v>
      </c>
      <c r="E959" s="93" t="s">
        <v>988</v>
      </c>
      <c r="F959" s="94">
        <v>12.0</v>
      </c>
      <c r="G959" s="94">
        <v>6.0</v>
      </c>
      <c r="H959" s="95">
        <v>0.009999999999999934</v>
      </c>
      <c r="I959" s="96">
        <v>14.256</v>
      </c>
      <c r="J959" s="93" t="s">
        <v>31</v>
      </c>
      <c r="K959" s="97"/>
      <c r="L959" s="93" t="str">
        <f t="shared" si="1"/>
        <v/>
      </c>
      <c r="M959" s="98">
        <f t="shared" si="2"/>
        <v>0</v>
      </c>
      <c r="N959" s="77"/>
      <c r="O959" s="90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</row>
    <row r="960" ht="18.0" customHeight="1">
      <c r="A960" s="81"/>
      <c r="B960" s="91" t="str">
        <f>"10104"</f>
        <v>10104</v>
      </c>
      <c r="C960" s="91" t="str">
        <f>"693102101043"</f>
        <v>693102101043</v>
      </c>
      <c r="D960" s="92" t="s">
        <v>992</v>
      </c>
      <c r="E960" s="93" t="s">
        <v>95</v>
      </c>
      <c r="F960" s="94">
        <v>15.0</v>
      </c>
      <c r="G960" s="94">
        <v>7.5</v>
      </c>
      <c r="H960" s="95">
        <v>0.20799999999999993</v>
      </c>
      <c r="I960" s="96">
        <v>14.256</v>
      </c>
      <c r="J960" s="93" t="s">
        <v>31</v>
      </c>
      <c r="K960" s="97"/>
      <c r="L960" s="93" t="str">
        <f t="shared" si="1"/>
        <v/>
      </c>
      <c r="M960" s="98">
        <f t="shared" si="2"/>
        <v>0</v>
      </c>
      <c r="N960" s="77"/>
      <c r="O960" s="90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</row>
    <row r="961" ht="18.0" customHeight="1">
      <c r="A961" s="81"/>
      <c r="B961" s="91" t="str">
        <f>"10112"</f>
        <v>10112</v>
      </c>
      <c r="C961" s="91" t="str">
        <f>"693102101128"</f>
        <v>693102101128</v>
      </c>
      <c r="D961" s="92" t="s">
        <v>993</v>
      </c>
      <c r="E961" s="93" t="s">
        <v>95</v>
      </c>
      <c r="F961" s="94">
        <v>15.0</v>
      </c>
      <c r="G961" s="94">
        <v>7.5</v>
      </c>
      <c r="H961" s="95">
        <v>0.20799999999999993</v>
      </c>
      <c r="I961" s="96">
        <v>14.256</v>
      </c>
      <c r="J961" s="93" t="s">
        <v>31</v>
      </c>
      <c r="K961" s="97"/>
      <c r="L961" s="93" t="str">
        <f t="shared" si="1"/>
        <v/>
      </c>
      <c r="M961" s="98">
        <f t="shared" si="2"/>
        <v>0</v>
      </c>
      <c r="N961" s="77"/>
      <c r="O961" s="90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</row>
    <row r="962" ht="18.0" customHeight="1">
      <c r="A962" s="81"/>
      <c r="B962" s="91" t="str">
        <f>"10108"</f>
        <v>10108</v>
      </c>
      <c r="C962" s="91" t="str">
        <f>"693102101081"</f>
        <v>693102101081</v>
      </c>
      <c r="D962" s="92" t="s">
        <v>994</v>
      </c>
      <c r="E962" s="93" t="s">
        <v>95</v>
      </c>
      <c r="F962" s="94">
        <v>8.0</v>
      </c>
      <c r="G962" s="94">
        <v>4.0</v>
      </c>
      <c r="H962" s="95">
        <v>0.33999999999999997</v>
      </c>
      <c r="I962" s="96">
        <v>6.336</v>
      </c>
      <c r="J962" s="93" t="s">
        <v>31</v>
      </c>
      <c r="K962" s="97"/>
      <c r="L962" s="93" t="str">
        <f t="shared" si="1"/>
        <v/>
      </c>
      <c r="M962" s="98">
        <f t="shared" si="2"/>
        <v>0</v>
      </c>
      <c r="N962" s="77"/>
      <c r="O962" s="90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</row>
    <row r="963" ht="18.0" customHeight="1">
      <c r="A963" s="81"/>
      <c r="B963" s="91" t="str">
        <f>"71-69-74"</f>
        <v>71-69-74</v>
      </c>
      <c r="C963" s="91" t="str">
        <f>"693102169746"</f>
        <v>693102169746</v>
      </c>
      <c r="D963" s="92" t="s">
        <v>995</v>
      </c>
      <c r="E963" s="93" t="s">
        <v>95</v>
      </c>
      <c r="F963" s="94">
        <v>20.0</v>
      </c>
      <c r="G963" s="94">
        <v>10.0</v>
      </c>
      <c r="H963" s="95">
        <v>0.604</v>
      </c>
      <c r="I963" s="96">
        <v>9.504</v>
      </c>
      <c r="J963" s="93" t="s">
        <v>31</v>
      </c>
      <c r="K963" s="97"/>
      <c r="L963" s="93" t="str">
        <f t="shared" si="1"/>
        <v/>
      </c>
      <c r="M963" s="98">
        <f t="shared" si="2"/>
        <v>0</v>
      </c>
      <c r="N963" s="77"/>
      <c r="O963" s="90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</row>
    <row r="964" ht="18.0" customHeight="1">
      <c r="A964" s="81"/>
      <c r="B964" s="91" t="str">
        <f>"71-69-49"</f>
        <v>71-69-49</v>
      </c>
      <c r="C964" s="91" t="str">
        <f>"693102169494"</f>
        <v>693102169494</v>
      </c>
      <c r="D964" s="92" t="s">
        <v>996</v>
      </c>
      <c r="E964" s="93" t="s">
        <v>95</v>
      </c>
      <c r="F964" s="94">
        <v>99.0</v>
      </c>
      <c r="G964" s="94">
        <v>49.5</v>
      </c>
      <c r="H964" s="95">
        <v>0.604</v>
      </c>
      <c r="I964" s="96">
        <v>47.0448</v>
      </c>
      <c r="J964" s="93" t="s">
        <v>31</v>
      </c>
      <c r="K964" s="97"/>
      <c r="L964" s="93" t="str">
        <f t="shared" si="1"/>
        <v/>
      </c>
      <c r="M964" s="98">
        <f t="shared" si="2"/>
        <v>0</v>
      </c>
      <c r="N964" s="77"/>
      <c r="O964" s="90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</row>
    <row r="965" ht="18.0" customHeight="1">
      <c r="A965" s="81"/>
      <c r="B965" s="91" t="str">
        <f>"71-69-54"</f>
        <v>71-69-54</v>
      </c>
      <c r="C965" s="91" t="str">
        <f>"693102169548"</f>
        <v>693102169548</v>
      </c>
      <c r="D965" s="92" t="s">
        <v>997</v>
      </c>
      <c r="E965" s="93" t="s">
        <v>95</v>
      </c>
      <c r="F965" s="94">
        <v>123.0</v>
      </c>
      <c r="G965" s="94">
        <v>61.5</v>
      </c>
      <c r="H965" s="95">
        <v>0.604</v>
      </c>
      <c r="I965" s="96">
        <v>58.4496</v>
      </c>
      <c r="J965" s="93" t="s">
        <v>31</v>
      </c>
      <c r="K965" s="97"/>
      <c r="L965" s="93" t="str">
        <f t="shared" si="1"/>
        <v/>
      </c>
      <c r="M965" s="98">
        <f t="shared" si="2"/>
        <v>0</v>
      </c>
      <c r="N965" s="77"/>
      <c r="O965" s="90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</row>
    <row r="966" ht="18.0" customHeight="1">
      <c r="A966" s="81"/>
      <c r="B966" s="91" t="str">
        <f>"71-69-51"</f>
        <v>71-69-51</v>
      </c>
      <c r="C966" s="91" t="str">
        <f>"693102169517"</f>
        <v>693102169517</v>
      </c>
      <c r="D966" s="92" t="s">
        <v>998</v>
      </c>
      <c r="E966" s="93" t="s">
        <v>95</v>
      </c>
      <c r="F966" s="94">
        <v>49.0</v>
      </c>
      <c r="G966" s="94">
        <v>24.5</v>
      </c>
      <c r="H966" s="95">
        <v>0.604</v>
      </c>
      <c r="I966" s="96">
        <v>23.2848</v>
      </c>
      <c r="J966" s="93" t="s">
        <v>31</v>
      </c>
      <c r="K966" s="97"/>
      <c r="L966" s="93" t="str">
        <f t="shared" si="1"/>
        <v/>
      </c>
      <c r="M966" s="98">
        <f t="shared" si="2"/>
        <v>0</v>
      </c>
      <c r="N966" s="77"/>
      <c r="O966" s="90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</row>
    <row r="967" ht="18.0" customHeight="1">
      <c r="A967" s="81"/>
      <c r="B967" s="91" t="str">
        <f>"71-69-53"</f>
        <v>71-69-53</v>
      </c>
      <c r="C967" s="91" t="str">
        <f>"693102169531"</f>
        <v>693102169531</v>
      </c>
      <c r="D967" s="92" t="s">
        <v>999</v>
      </c>
      <c r="E967" s="93" t="s">
        <v>95</v>
      </c>
      <c r="F967" s="94">
        <v>190.0</v>
      </c>
      <c r="G967" s="94">
        <v>95.0</v>
      </c>
      <c r="H967" s="95">
        <v>0.604</v>
      </c>
      <c r="I967" s="96">
        <v>90.288</v>
      </c>
      <c r="J967" s="93" t="s">
        <v>31</v>
      </c>
      <c r="K967" s="97"/>
      <c r="L967" s="93" t="str">
        <f t="shared" si="1"/>
        <v/>
      </c>
      <c r="M967" s="98">
        <f t="shared" si="2"/>
        <v>0</v>
      </c>
      <c r="N967" s="77"/>
      <c r="O967" s="90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</row>
    <row r="968" ht="18.0" customHeight="1">
      <c r="A968" s="81"/>
      <c r="B968" s="91" t="str">
        <f>"71-69-57"</f>
        <v>71-69-57</v>
      </c>
      <c r="C968" s="91" t="str">
        <f>"693102169579"</f>
        <v>693102169579</v>
      </c>
      <c r="D968" s="92" t="s">
        <v>1000</v>
      </c>
      <c r="E968" s="93" t="s">
        <v>95</v>
      </c>
      <c r="F968" s="94">
        <v>209.0</v>
      </c>
      <c r="G968" s="94">
        <v>104.5</v>
      </c>
      <c r="H968" s="95">
        <v>0.604</v>
      </c>
      <c r="I968" s="96">
        <v>99.31679999999999</v>
      </c>
      <c r="J968" s="93" t="s">
        <v>31</v>
      </c>
      <c r="K968" s="97"/>
      <c r="L968" s="93" t="str">
        <f t="shared" si="1"/>
        <v/>
      </c>
      <c r="M968" s="98">
        <f t="shared" si="2"/>
        <v>0</v>
      </c>
      <c r="N968" s="77"/>
      <c r="O968" s="90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</row>
    <row r="969" ht="18.0" customHeight="1">
      <c r="A969" s="81"/>
      <c r="B969" s="91" t="str">
        <f>"71-69-01"</f>
        <v>71-69-01</v>
      </c>
      <c r="C969" s="91" t="str">
        <f>"693102169012"</f>
        <v>693102169012</v>
      </c>
      <c r="D969" s="92" t="s">
        <v>1001</v>
      </c>
      <c r="E969" s="93" t="s">
        <v>95</v>
      </c>
      <c r="F969" s="94">
        <v>11.0</v>
      </c>
      <c r="G969" s="94">
        <v>5.5</v>
      </c>
      <c r="H969" s="95">
        <v>0.604</v>
      </c>
      <c r="I969" s="96">
        <v>5.2272</v>
      </c>
      <c r="J969" s="93" t="s">
        <v>31</v>
      </c>
      <c r="K969" s="97"/>
      <c r="L969" s="93" t="str">
        <f t="shared" si="1"/>
        <v/>
      </c>
      <c r="M969" s="98">
        <f t="shared" si="2"/>
        <v>0</v>
      </c>
      <c r="N969" s="77"/>
      <c r="O969" s="90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</row>
    <row r="970" ht="18.0" customHeight="1">
      <c r="A970" s="81"/>
      <c r="B970" s="91" t="str">
        <f>"71-69-02"</f>
        <v>71-69-02</v>
      </c>
      <c r="C970" s="91" t="str">
        <f>"693102169029"</f>
        <v>693102169029</v>
      </c>
      <c r="D970" s="92" t="s">
        <v>1002</v>
      </c>
      <c r="E970" s="93" t="s">
        <v>95</v>
      </c>
      <c r="F970" s="94">
        <v>20.0</v>
      </c>
      <c r="G970" s="94">
        <v>10.0</v>
      </c>
      <c r="H970" s="95">
        <v>0.604</v>
      </c>
      <c r="I970" s="96">
        <v>9.504</v>
      </c>
      <c r="J970" s="93" t="s">
        <v>31</v>
      </c>
      <c r="K970" s="97"/>
      <c r="L970" s="93" t="str">
        <f t="shared" si="1"/>
        <v/>
      </c>
      <c r="M970" s="98">
        <f t="shared" si="2"/>
        <v>0</v>
      </c>
      <c r="N970" s="77"/>
      <c r="O970" s="90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</row>
    <row r="971" ht="18.0" customHeight="1">
      <c r="A971" s="81"/>
      <c r="B971" s="91" t="str">
        <f>"71-69-03"</f>
        <v>71-69-03</v>
      </c>
      <c r="C971" s="91" t="str">
        <f>"693102169036"</f>
        <v>693102169036</v>
      </c>
      <c r="D971" s="92" t="s">
        <v>1003</v>
      </c>
      <c r="E971" s="93" t="s">
        <v>95</v>
      </c>
      <c r="F971" s="94">
        <v>15.0</v>
      </c>
      <c r="G971" s="94">
        <v>7.5</v>
      </c>
      <c r="H971" s="95">
        <v>0.6039999999999999</v>
      </c>
      <c r="I971" s="96">
        <v>7.128</v>
      </c>
      <c r="J971" s="93" t="s">
        <v>31</v>
      </c>
      <c r="K971" s="97"/>
      <c r="L971" s="93" t="str">
        <f t="shared" si="1"/>
        <v/>
      </c>
      <c r="M971" s="98">
        <f t="shared" si="2"/>
        <v>0</v>
      </c>
      <c r="N971" s="77"/>
      <c r="O971" s="90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</row>
    <row r="972" ht="18.0" customHeight="1">
      <c r="A972" s="81"/>
      <c r="B972" s="91" t="str">
        <f>"71-69-04"</f>
        <v>71-69-04</v>
      </c>
      <c r="C972" s="91" t="str">
        <f>"693102169043"</f>
        <v>693102169043</v>
      </c>
      <c r="D972" s="92" t="s">
        <v>1004</v>
      </c>
      <c r="E972" s="93" t="s">
        <v>95</v>
      </c>
      <c r="F972" s="94">
        <v>15.0</v>
      </c>
      <c r="G972" s="94">
        <v>7.5</v>
      </c>
      <c r="H972" s="95">
        <v>0.6039999999999999</v>
      </c>
      <c r="I972" s="96">
        <v>7.128</v>
      </c>
      <c r="J972" s="93" t="s">
        <v>31</v>
      </c>
      <c r="K972" s="97"/>
      <c r="L972" s="93" t="str">
        <f t="shared" si="1"/>
        <v/>
      </c>
      <c r="M972" s="98">
        <f t="shared" si="2"/>
        <v>0</v>
      </c>
      <c r="N972" s="77"/>
      <c r="O972" s="90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</row>
    <row r="973" ht="18.0" customHeight="1">
      <c r="A973" s="81"/>
      <c r="B973" s="91" t="str">
        <f>"71-69-05"</f>
        <v>71-69-05</v>
      </c>
      <c r="C973" s="91" t="str">
        <f>"693102169050"</f>
        <v>693102169050</v>
      </c>
      <c r="D973" s="92" t="s">
        <v>1005</v>
      </c>
      <c r="E973" s="93" t="s">
        <v>95</v>
      </c>
      <c r="F973" s="94">
        <v>25.0</v>
      </c>
      <c r="G973" s="94">
        <v>12.5</v>
      </c>
      <c r="H973" s="95">
        <v>0.604</v>
      </c>
      <c r="I973" s="96">
        <v>11.88</v>
      </c>
      <c r="J973" s="93" t="s">
        <v>31</v>
      </c>
      <c r="K973" s="97"/>
      <c r="L973" s="93" t="str">
        <f t="shared" si="1"/>
        <v/>
      </c>
      <c r="M973" s="98">
        <f t="shared" si="2"/>
        <v>0</v>
      </c>
      <c r="N973" s="77"/>
      <c r="O973" s="90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</row>
    <row r="974" ht="18.0" customHeight="1">
      <c r="A974" s="81"/>
      <c r="B974" s="91" t="str">
        <f>"71-69-06"</f>
        <v>71-69-06</v>
      </c>
      <c r="C974" s="91" t="str">
        <f>"693102169067"</f>
        <v>693102169067</v>
      </c>
      <c r="D974" s="92" t="s">
        <v>1006</v>
      </c>
      <c r="E974" s="93" t="s">
        <v>95</v>
      </c>
      <c r="F974" s="94">
        <v>30.0</v>
      </c>
      <c r="G974" s="94">
        <v>15.0</v>
      </c>
      <c r="H974" s="95">
        <v>0.6039999999999999</v>
      </c>
      <c r="I974" s="96">
        <v>14.256</v>
      </c>
      <c r="J974" s="93" t="s">
        <v>31</v>
      </c>
      <c r="K974" s="97"/>
      <c r="L974" s="93" t="str">
        <f t="shared" si="1"/>
        <v/>
      </c>
      <c r="M974" s="98">
        <f t="shared" si="2"/>
        <v>0</v>
      </c>
      <c r="N974" s="77"/>
      <c r="O974" s="90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</row>
    <row r="975" ht="18.0" customHeight="1">
      <c r="A975" s="81"/>
      <c r="B975" s="91" t="str">
        <f>"71-69-07"</f>
        <v>71-69-07</v>
      </c>
      <c r="C975" s="91" t="str">
        <f>"693102169074"</f>
        <v>693102169074</v>
      </c>
      <c r="D975" s="92" t="s">
        <v>1007</v>
      </c>
      <c r="E975" s="93" t="s">
        <v>95</v>
      </c>
      <c r="F975" s="94">
        <v>15.0</v>
      </c>
      <c r="G975" s="94">
        <v>7.5</v>
      </c>
      <c r="H975" s="95">
        <v>0.6039999999999999</v>
      </c>
      <c r="I975" s="96">
        <v>7.128</v>
      </c>
      <c r="J975" s="93" t="s">
        <v>31</v>
      </c>
      <c r="K975" s="97"/>
      <c r="L975" s="93" t="str">
        <f t="shared" si="1"/>
        <v/>
      </c>
      <c r="M975" s="98">
        <f t="shared" si="2"/>
        <v>0</v>
      </c>
      <c r="N975" s="77"/>
      <c r="O975" s="90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</row>
    <row r="976" ht="18.0" customHeight="1">
      <c r="A976" s="81"/>
      <c r="B976" s="91" t="str">
        <f>"71-69-08"</f>
        <v>71-69-08</v>
      </c>
      <c r="C976" s="91" t="str">
        <f>"693102169081"</f>
        <v>693102169081</v>
      </c>
      <c r="D976" s="92" t="s">
        <v>1008</v>
      </c>
      <c r="E976" s="93" t="s">
        <v>95</v>
      </c>
      <c r="F976" s="94">
        <v>28.0</v>
      </c>
      <c r="G976" s="94">
        <v>14.0</v>
      </c>
      <c r="H976" s="95">
        <v>0.604</v>
      </c>
      <c r="I976" s="96">
        <v>13.3056</v>
      </c>
      <c r="J976" s="93" t="s">
        <v>31</v>
      </c>
      <c r="K976" s="97"/>
      <c r="L976" s="93" t="str">
        <f t="shared" si="1"/>
        <v/>
      </c>
      <c r="M976" s="98">
        <f t="shared" si="2"/>
        <v>0</v>
      </c>
      <c r="N976" s="77"/>
      <c r="O976" s="90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</row>
    <row r="977" ht="18.0" customHeight="1">
      <c r="A977" s="81"/>
      <c r="B977" s="91" t="str">
        <f>"71-69-09"</f>
        <v>71-69-09</v>
      </c>
      <c r="C977" s="91" t="str">
        <f>"693102169098"</f>
        <v>693102169098</v>
      </c>
      <c r="D977" s="92" t="s">
        <v>1009</v>
      </c>
      <c r="E977" s="93" t="s">
        <v>95</v>
      </c>
      <c r="F977" s="94">
        <v>34.0</v>
      </c>
      <c r="G977" s="94">
        <v>17.0</v>
      </c>
      <c r="H977" s="95">
        <v>0.6040000000000001</v>
      </c>
      <c r="I977" s="96">
        <v>16.1568</v>
      </c>
      <c r="J977" s="93" t="s">
        <v>31</v>
      </c>
      <c r="K977" s="97"/>
      <c r="L977" s="93" t="str">
        <f t="shared" si="1"/>
        <v/>
      </c>
      <c r="M977" s="98">
        <f t="shared" si="2"/>
        <v>0</v>
      </c>
      <c r="N977" s="77"/>
      <c r="O977" s="90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</row>
    <row r="978" ht="18.0" customHeight="1">
      <c r="A978" s="81"/>
      <c r="B978" s="91" t="str">
        <f>"71-69-10"</f>
        <v>71-69-10</v>
      </c>
      <c r="C978" s="91" t="str">
        <f>"693102169104"</f>
        <v>693102169104</v>
      </c>
      <c r="D978" s="92" t="s">
        <v>1010</v>
      </c>
      <c r="E978" s="93" t="s">
        <v>95</v>
      </c>
      <c r="F978" s="94">
        <v>13.0</v>
      </c>
      <c r="G978" s="94">
        <v>6.5</v>
      </c>
      <c r="H978" s="95">
        <v>0.604</v>
      </c>
      <c r="I978" s="96">
        <v>6.177599999999999</v>
      </c>
      <c r="J978" s="93" t="s">
        <v>31</v>
      </c>
      <c r="K978" s="97"/>
      <c r="L978" s="93" t="str">
        <f t="shared" si="1"/>
        <v/>
      </c>
      <c r="M978" s="98">
        <f t="shared" si="2"/>
        <v>0</v>
      </c>
      <c r="N978" s="77"/>
      <c r="O978" s="90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</row>
    <row r="979" ht="18.0" customHeight="1">
      <c r="A979" s="81"/>
      <c r="B979" s="91" t="str">
        <f>"71-69-11"</f>
        <v>71-69-11</v>
      </c>
      <c r="C979" s="91" t="str">
        <f>"693102169111"</f>
        <v>693102169111</v>
      </c>
      <c r="D979" s="92" t="s">
        <v>1011</v>
      </c>
      <c r="E979" s="93" t="s">
        <v>95</v>
      </c>
      <c r="F979" s="94">
        <v>16.0</v>
      </c>
      <c r="G979" s="94">
        <v>8.0</v>
      </c>
      <c r="H979" s="95">
        <v>0.604</v>
      </c>
      <c r="I979" s="96">
        <v>7.6032</v>
      </c>
      <c r="J979" s="93" t="s">
        <v>31</v>
      </c>
      <c r="K979" s="97"/>
      <c r="L979" s="93" t="str">
        <f t="shared" si="1"/>
        <v/>
      </c>
      <c r="M979" s="98">
        <f t="shared" si="2"/>
        <v>0</v>
      </c>
      <c r="N979" s="77"/>
      <c r="O979" s="90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</row>
    <row r="980" ht="18.0" customHeight="1">
      <c r="A980" s="81"/>
      <c r="B980" s="91" t="str">
        <f>"71-69-16"</f>
        <v>71-69-16</v>
      </c>
      <c r="C980" s="91" t="str">
        <f>"693102169166"</f>
        <v>693102169166</v>
      </c>
      <c r="D980" s="92" t="s">
        <v>1012</v>
      </c>
      <c r="E980" s="93" t="s">
        <v>95</v>
      </c>
      <c r="F980" s="94">
        <v>13.0</v>
      </c>
      <c r="G980" s="94">
        <v>6.5</v>
      </c>
      <c r="H980" s="95">
        <v>0.604</v>
      </c>
      <c r="I980" s="96">
        <v>6.177599999999999</v>
      </c>
      <c r="J980" s="93" t="s">
        <v>31</v>
      </c>
      <c r="K980" s="97"/>
      <c r="L980" s="93" t="str">
        <f t="shared" si="1"/>
        <v/>
      </c>
      <c r="M980" s="98">
        <f t="shared" si="2"/>
        <v>0</v>
      </c>
      <c r="N980" s="77"/>
      <c r="O980" s="90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</row>
    <row r="981" ht="18.0" customHeight="1">
      <c r="A981" s="81"/>
      <c r="B981" s="91" t="str">
        <f>"71-69-18"</f>
        <v>71-69-18</v>
      </c>
      <c r="C981" s="91" t="str">
        <f>"693102169180"</f>
        <v>693102169180</v>
      </c>
      <c r="D981" s="92" t="s">
        <v>1013</v>
      </c>
      <c r="E981" s="93" t="s">
        <v>95</v>
      </c>
      <c r="F981" s="94">
        <v>16.0</v>
      </c>
      <c r="G981" s="94">
        <v>8.0</v>
      </c>
      <c r="H981" s="95">
        <v>0.604</v>
      </c>
      <c r="I981" s="96">
        <v>7.6032</v>
      </c>
      <c r="J981" s="93" t="s">
        <v>31</v>
      </c>
      <c r="K981" s="97"/>
      <c r="L981" s="93" t="str">
        <f t="shared" si="1"/>
        <v/>
      </c>
      <c r="M981" s="98">
        <f t="shared" si="2"/>
        <v>0</v>
      </c>
      <c r="N981" s="77"/>
      <c r="O981" s="90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</row>
    <row r="982" ht="18.0" customHeight="1">
      <c r="A982" s="81"/>
      <c r="B982" s="91" t="str">
        <f>"71-69-20"</f>
        <v>71-69-20</v>
      </c>
      <c r="C982" s="91" t="str">
        <f>"693102169203"</f>
        <v>693102169203</v>
      </c>
      <c r="D982" s="92" t="s">
        <v>1014</v>
      </c>
      <c r="E982" s="93" t="s">
        <v>95</v>
      </c>
      <c r="F982" s="94">
        <v>30.0</v>
      </c>
      <c r="G982" s="94">
        <v>15.0</v>
      </c>
      <c r="H982" s="95">
        <v>0.6039999999999999</v>
      </c>
      <c r="I982" s="96">
        <v>14.256</v>
      </c>
      <c r="J982" s="93" t="s">
        <v>31</v>
      </c>
      <c r="K982" s="97"/>
      <c r="L982" s="93" t="str">
        <f t="shared" si="1"/>
        <v/>
      </c>
      <c r="M982" s="98">
        <f t="shared" si="2"/>
        <v>0</v>
      </c>
      <c r="N982" s="77"/>
      <c r="O982" s="90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</row>
    <row r="983" ht="18.0" customHeight="1">
      <c r="A983" s="81"/>
      <c r="B983" s="91" t="str">
        <f>"71-69-21"</f>
        <v>71-69-21</v>
      </c>
      <c r="C983" s="91" t="str">
        <f>"693102169210"</f>
        <v>693102169210</v>
      </c>
      <c r="D983" s="92" t="s">
        <v>1015</v>
      </c>
      <c r="E983" s="93" t="s">
        <v>95</v>
      </c>
      <c r="F983" s="94">
        <v>20.0</v>
      </c>
      <c r="G983" s="94">
        <v>10.0</v>
      </c>
      <c r="H983" s="95">
        <v>0.604</v>
      </c>
      <c r="I983" s="96">
        <v>9.504</v>
      </c>
      <c r="J983" s="93" t="s">
        <v>31</v>
      </c>
      <c r="K983" s="97"/>
      <c r="L983" s="93" t="str">
        <f t="shared" si="1"/>
        <v/>
      </c>
      <c r="M983" s="98">
        <f t="shared" si="2"/>
        <v>0</v>
      </c>
      <c r="N983" s="77"/>
      <c r="O983" s="90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</row>
    <row r="984" ht="18.0" customHeight="1">
      <c r="A984" s="81"/>
      <c r="B984" s="91" t="str">
        <f>"71-69-22"</f>
        <v>71-69-22</v>
      </c>
      <c r="C984" s="91" t="str">
        <f>"693102169227"</f>
        <v>693102169227</v>
      </c>
      <c r="D984" s="92" t="s">
        <v>1016</v>
      </c>
      <c r="E984" s="93" t="s">
        <v>95</v>
      </c>
      <c r="F984" s="94">
        <v>25.0</v>
      </c>
      <c r="G984" s="94">
        <v>12.5</v>
      </c>
      <c r="H984" s="95">
        <v>0.604</v>
      </c>
      <c r="I984" s="96">
        <v>11.88</v>
      </c>
      <c r="J984" s="93" t="s">
        <v>31</v>
      </c>
      <c r="K984" s="97"/>
      <c r="L984" s="93" t="str">
        <f t="shared" si="1"/>
        <v/>
      </c>
      <c r="M984" s="98">
        <f t="shared" si="2"/>
        <v>0</v>
      </c>
      <c r="N984" s="77"/>
      <c r="O984" s="90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</row>
    <row r="985" ht="18.0" customHeight="1">
      <c r="A985" s="81"/>
      <c r="B985" s="91" t="str">
        <f>"71-69-25"</f>
        <v>71-69-25</v>
      </c>
      <c r="C985" s="91" t="str">
        <f>"693102169258"</f>
        <v>693102169258</v>
      </c>
      <c r="D985" s="92" t="s">
        <v>1017</v>
      </c>
      <c r="E985" s="93" t="s">
        <v>95</v>
      </c>
      <c r="F985" s="94">
        <v>20.0</v>
      </c>
      <c r="G985" s="94">
        <v>10.0</v>
      </c>
      <c r="H985" s="95">
        <v>0.604</v>
      </c>
      <c r="I985" s="96">
        <v>9.504</v>
      </c>
      <c r="J985" s="93" t="s">
        <v>31</v>
      </c>
      <c r="K985" s="97"/>
      <c r="L985" s="93" t="str">
        <f t="shared" si="1"/>
        <v/>
      </c>
      <c r="M985" s="98">
        <f t="shared" si="2"/>
        <v>0</v>
      </c>
      <c r="N985" s="77"/>
      <c r="O985" s="90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</row>
    <row r="986" ht="18.0" customHeight="1">
      <c r="A986" s="81"/>
      <c r="B986" s="91" t="str">
        <f>"71-69-27"</f>
        <v>71-69-27</v>
      </c>
      <c r="C986" s="91" t="str">
        <f>"693102169272"</f>
        <v>693102169272</v>
      </c>
      <c r="D986" s="92" t="s">
        <v>1018</v>
      </c>
      <c r="E986" s="93" t="s">
        <v>95</v>
      </c>
      <c r="F986" s="94">
        <v>26.0</v>
      </c>
      <c r="G986" s="94">
        <v>13.0</v>
      </c>
      <c r="H986" s="95">
        <v>0.604</v>
      </c>
      <c r="I986" s="96">
        <v>12.355199999999998</v>
      </c>
      <c r="J986" s="93" t="s">
        <v>31</v>
      </c>
      <c r="K986" s="97"/>
      <c r="L986" s="93" t="str">
        <f t="shared" si="1"/>
        <v/>
      </c>
      <c r="M986" s="98">
        <f t="shared" si="2"/>
        <v>0</v>
      </c>
      <c r="N986" s="77"/>
      <c r="O986" s="90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</row>
    <row r="987" ht="18.0" customHeight="1">
      <c r="A987" s="81"/>
      <c r="B987" s="91" t="str">
        <f>"71-69-31"</f>
        <v>71-69-31</v>
      </c>
      <c r="C987" s="91" t="str">
        <f>"693102169319"</f>
        <v>693102169319</v>
      </c>
      <c r="D987" s="92" t="s">
        <v>1019</v>
      </c>
      <c r="E987" s="93" t="s">
        <v>95</v>
      </c>
      <c r="F987" s="94">
        <v>15.0</v>
      </c>
      <c r="G987" s="94">
        <v>7.5</v>
      </c>
      <c r="H987" s="95">
        <v>0.6039999999999999</v>
      </c>
      <c r="I987" s="96">
        <v>7.128</v>
      </c>
      <c r="J987" s="93" t="s">
        <v>31</v>
      </c>
      <c r="K987" s="97"/>
      <c r="L987" s="93" t="str">
        <f t="shared" si="1"/>
        <v/>
      </c>
      <c r="M987" s="98">
        <f t="shared" si="2"/>
        <v>0</v>
      </c>
      <c r="N987" s="77"/>
      <c r="O987" s="90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</row>
    <row r="988" ht="18.0" customHeight="1">
      <c r="A988" s="81"/>
      <c r="B988" s="91" t="str">
        <f>"78880"</f>
        <v>78880</v>
      </c>
      <c r="C988" s="91" t="str">
        <f>"693102788800"</f>
        <v>693102788800</v>
      </c>
      <c r="D988" s="92" t="s">
        <v>1020</v>
      </c>
      <c r="E988" s="93" t="s">
        <v>95</v>
      </c>
      <c r="F988" s="94">
        <v>29.0</v>
      </c>
      <c r="G988" s="94">
        <v>14.5</v>
      </c>
      <c r="H988" s="95">
        <v>0.604</v>
      </c>
      <c r="I988" s="96">
        <v>13.7808</v>
      </c>
      <c r="J988" s="93" t="s">
        <v>31</v>
      </c>
      <c r="K988" s="97"/>
      <c r="L988" s="93" t="str">
        <f t="shared" si="1"/>
        <v/>
      </c>
      <c r="M988" s="98">
        <f t="shared" si="2"/>
        <v>0</v>
      </c>
      <c r="N988" s="77"/>
      <c r="O988" s="90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</row>
    <row r="989" ht="18.0" customHeight="1">
      <c r="A989" s="81"/>
      <c r="B989" s="91" t="str">
        <f>"78881"</f>
        <v>78881</v>
      </c>
      <c r="C989" s="91" t="str">
        <f>"693102788817"</f>
        <v>693102788817</v>
      </c>
      <c r="D989" s="92" t="s">
        <v>1021</v>
      </c>
      <c r="E989" s="93" t="s">
        <v>95</v>
      </c>
      <c r="F989" s="94">
        <v>25.0</v>
      </c>
      <c r="G989" s="94">
        <v>12.5</v>
      </c>
      <c r="H989" s="95">
        <v>0.604</v>
      </c>
      <c r="I989" s="96">
        <v>11.88</v>
      </c>
      <c r="J989" s="93" t="s">
        <v>31</v>
      </c>
      <c r="K989" s="97"/>
      <c r="L989" s="93" t="str">
        <f t="shared" si="1"/>
        <v/>
      </c>
      <c r="M989" s="98">
        <f t="shared" si="2"/>
        <v>0</v>
      </c>
      <c r="N989" s="77"/>
      <c r="O989" s="90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</row>
    <row r="990" ht="18.0" customHeight="1">
      <c r="A990" s="81"/>
      <c r="B990" s="91" t="str">
        <f>"78882"</f>
        <v>78882</v>
      </c>
      <c r="C990" s="91" t="str">
        <f>"693102788824"</f>
        <v>693102788824</v>
      </c>
      <c r="D990" s="92" t="s">
        <v>1022</v>
      </c>
      <c r="E990" s="93" t="s">
        <v>95</v>
      </c>
      <c r="F990" s="94">
        <v>29.0</v>
      </c>
      <c r="G990" s="94">
        <v>14.5</v>
      </c>
      <c r="H990" s="95">
        <v>0.604</v>
      </c>
      <c r="I990" s="96">
        <v>13.7808</v>
      </c>
      <c r="J990" s="93" t="s">
        <v>31</v>
      </c>
      <c r="K990" s="97"/>
      <c r="L990" s="93" t="str">
        <f t="shared" si="1"/>
        <v/>
      </c>
      <c r="M990" s="98">
        <f t="shared" si="2"/>
        <v>0</v>
      </c>
      <c r="N990" s="77"/>
      <c r="O990" s="90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</row>
    <row r="991" ht="18.0" customHeight="1">
      <c r="A991" s="81"/>
      <c r="B991" s="91" t="str">
        <f>"78883"</f>
        <v>78883</v>
      </c>
      <c r="C991" s="91" t="str">
        <f>"693102788831"</f>
        <v>693102788831</v>
      </c>
      <c r="D991" s="92" t="s">
        <v>1023</v>
      </c>
      <c r="E991" s="93" t="s">
        <v>95</v>
      </c>
      <c r="F991" s="94">
        <v>29.0</v>
      </c>
      <c r="G991" s="94">
        <v>14.5</v>
      </c>
      <c r="H991" s="95">
        <v>0.604</v>
      </c>
      <c r="I991" s="96">
        <v>13.7808</v>
      </c>
      <c r="J991" s="93" t="s">
        <v>31</v>
      </c>
      <c r="K991" s="97"/>
      <c r="L991" s="93" t="str">
        <f t="shared" si="1"/>
        <v/>
      </c>
      <c r="M991" s="98">
        <f t="shared" si="2"/>
        <v>0</v>
      </c>
      <c r="N991" s="77"/>
      <c r="O991" s="90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</row>
    <row r="992" ht="18.0" customHeight="1">
      <c r="A992" s="81"/>
      <c r="B992" s="91" t="str">
        <f>"78884"</f>
        <v>78884</v>
      </c>
      <c r="C992" s="91" t="str">
        <f>"693102788848"</f>
        <v>693102788848</v>
      </c>
      <c r="D992" s="92" t="s">
        <v>1024</v>
      </c>
      <c r="E992" s="93" t="s">
        <v>95</v>
      </c>
      <c r="F992" s="94">
        <v>33.0</v>
      </c>
      <c r="G992" s="94">
        <v>16.5</v>
      </c>
      <c r="H992" s="95">
        <v>0.6040000000000001</v>
      </c>
      <c r="I992" s="96">
        <v>15.6816</v>
      </c>
      <c r="J992" s="93" t="s">
        <v>31</v>
      </c>
      <c r="K992" s="97"/>
      <c r="L992" s="93" t="str">
        <f t="shared" si="1"/>
        <v/>
      </c>
      <c r="M992" s="98">
        <f t="shared" si="2"/>
        <v>0</v>
      </c>
      <c r="N992" s="77"/>
      <c r="O992" s="90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</row>
    <row r="993" ht="18.0" customHeight="1">
      <c r="A993" s="81"/>
      <c r="B993" s="91" t="str">
        <f>"78885"</f>
        <v>78885</v>
      </c>
      <c r="C993" s="91" t="str">
        <f>"693102788855"</f>
        <v>693102788855</v>
      </c>
      <c r="D993" s="92" t="s">
        <v>1025</v>
      </c>
      <c r="E993" s="93" t="s">
        <v>95</v>
      </c>
      <c r="F993" s="94">
        <v>29.0</v>
      </c>
      <c r="G993" s="94">
        <v>14.5</v>
      </c>
      <c r="H993" s="95">
        <v>0.604</v>
      </c>
      <c r="I993" s="96">
        <v>13.7808</v>
      </c>
      <c r="J993" s="93" t="s">
        <v>31</v>
      </c>
      <c r="K993" s="97"/>
      <c r="L993" s="93" t="str">
        <f t="shared" si="1"/>
        <v/>
      </c>
      <c r="M993" s="98">
        <f t="shared" si="2"/>
        <v>0</v>
      </c>
      <c r="N993" s="77"/>
      <c r="O993" s="90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</row>
    <row r="994" ht="18.0" customHeight="1">
      <c r="A994" s="81"/>
      <c r="B994" s="91" t="str">
        <f>"78886"</f>
        <v>78886</v>
      </c>
      <c r="C994" s="91" t="str">
        <f>"693102788862"</f>
        <v>693102788862</v>
      </c>
      <c r="D994" s="92" t="s">
        <v>1026</v>
      </c>
      <c r="E994" s="93" t="s">
        <v>95</v>
      </c>
      <c r="F994" s="94">
        <v>45.0</v>
      </c>
      <c r="G994" s="94">
        <v>22.5</v>
      </c>
      <c r="H994" s="95">
        <v>0.604</v>
      </c>
      <c r="I994" s="96">
        <v>21.384</v>
      </c>
      <c r="J994" s="93" t="s">
        <v>31</v>
      </c>
      <c r="K994" s="97"/>
      <c r="L994" s="93" t="str">
        <f t="shared" si="1"/>
        <v/>
      </c>
      <c r="M994" s="98">
        <f t="shared" si="2"/>
        <v>0</v>
      </c>
      <c r="N994" s="77"/>
      <c r="O994" s="90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</row>
    <row r="995" ht="18.0" customHeight="1">
      <c r="A995" s="81"/>
      <c r="B995" s="91" t="str">
        <f>"78887"</f>
        <v>78887</v>
      </c>
      <c r="C995" s="91" t="str">
        <f>"693102788879"</f>
        <v>693102788879</v>
      </c>
      <c r="D995" s="92" t="s">
        <v>1027</v>
      </c>
      <c r="E995" s="93" t="s">
        <v>95</v>
      </c>
      <c r="F995" s="94">
        <v>57.0</v>
      </c>
      <c r="G995" s="94">
        <v>28.5</v>
      </c>
      <c r="H995" s="95">
        <v>0.604</v>
      </c>
      <c r="I995" s="96">
        <v>27.086399999999998</v>
      </c>
      <c r="J995" s="93" t="s">
        <v>31</v>
      </c>
      <c r="K995" s="97"/>
      <c r="L995" s="93" t="str">
        <f t="shared" si="1"/>
        <v/>
      </c>
      <c r="M995" s="98">
        <f t="shared" si="2"/>
        <v>0</v>
      </c>
      <c r="N995" s="77"/>
      <c r="O995" s="90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</row>
    <row r="996" ht="18.0" customHeight="1">
      <c r="A996" s="81"/>
      <c r="B996" s="91" t="str">
        <f>"78888"</f>
        <v>78888</v>
      </c>
      <c r="C996" s="91" t="str">
        <f>"693102788886"</f>
        <v>693102788886</v>
      </c>
      <c r="D996" s="92" t="s">
        <v>1028</v>
      </c>
      <c r="E996" s="93" t="s">
        <v>95</v>
      </c>
      <c r="F996" s="94">
        <v>55.0</v>
      </c>
      <c r="G996" s="94">
        <v>27.5</v>
      </c>
      <c r="H996" s="95">
        <v>0.604</v>
      </c>
      <c r="I996" s="96">
        <v>26.136</v>
      </c>
      <c r="J996" s="93" t="s">
        <v>31</v>
      </c>
      <c r="K996" s="97"/>
      <c r="L996" s="93" t="str">
        <f t="shared" si="1"/>
        <v/>
      </c>
      <c r="M996" s="98">
        <f t="shared" si="2"/>
        <v>0</v>
      </c>
      <c r="N996" s="77"/>
      <c r="O996" s="90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</row>
    <row r="997" ht="18.0" customHeight="1">
      <c r="A997" s="81"/>
      <c r="B997" s="91" t="str">
        <f>"78889"</f>
        <v>78889</v>
      </c>
      <c r="C997" s="91" t="str">
        <f>"693102788893"</f>
        <v>693102788893</v>
      </c>
      <c r="D997" s="92" t="s">
        <v>1029</v>
      </c>
      <c r="E997" s="93" t="s">
        <v>95</v>
      </c>
      <c r="F997" s="94">
        <v>59.0</v>
      </c>
      <c r="G997" s="94">
        <v>29.5</v>
      </c>
      <c r="H997" s="95">
        <v>0.604</v>
      </c>
      <c r="I997" s="96">
        <v>28.0368</v>
      </c>
      <c r="J997" s="93" t="s">
        <v>31</v>
      </c>
      <c r="K997" s="97"/>
      <c r="L997" s="93" t="str">
        <f t="shared" si="1"/>
        <v/>
      </c>
      <c r="M997" s="98">
        <f t="shared" si="2"/>
        <v>0</v>
      </c>
      <c r="N997" s="77"/>
      <c r="O997" s="90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</row>
    <row r="998" ht="18.0" customHeight="1">
      <c r="A998" s="81"/>
      <c r="B998" s="91" t="str">
        <f>"28002"</f>
        <v>28002</v>
      </c>
      <c r="C998" s="91" t="str">
        <f t="shared" ref="C998:C1040" si="9">""</f>
        <v/>
      </c>
      <c r="D998" s="92" t="s">
        <v>1030</v>
      </c>
      <c r="E998" s="93" t="s">
        <v>95</v>
      </c>
      <c r="F998" s="94"/>
      <c r="G998" s="94"/>
      <c r="H998" s="95"/>
      <c r="I998" s="96">
        <v>1.584</v>
      </c>
      <c r="J998" s="93" t="s">
        <v>31</v>
      </c>
      <c r="K998" s="97"/>
      <c r="L998" s="93" t="str">
        <f t="shared" si="1"/>
        <v/>
      </c>
      <c r="M998" s="98">
        <f t="shared" si="2"/>
        <v>0</v>
      </c>
      <c r="N998" s="77"/>
      <c r="O998" s="90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</row>
    <row r="999" ht="18.0" customHeight="1">
      <c r="A999" s="81"/>
      <c r="B999" s="91" t="str">
        <f>"RCKL"</f>
        <v>RCKL</v>
      </c>
      <c r="C999" s="91" t="str">
        <f t="shared" si="9"/>
        <v/>
      </c>
      <c r="D999" s="92" t="s">
        <v>1031</v>
      </c>
      <c r="E999" s="93" t="s">
        <v>119</v>
      </c>
      <c r="F999" s="94"/>
      <c r="G999" s="94"/>
      <c r="H999" s="95"/>
      <c r="I999" s="96">
        <v>0.5544</v>
      </c>
      <c r="J999" s="93" t="s">
        <v>31</v>
      </c>
      <c r="K999" s="97"/>
      <c r="L999" s="93" t="str">
        <f t="shared" si="1"/>
        <v/>
      </c>
      <c r="M999" s="98">
        <f t="shared" si="2"/>
        <v>0</v>
      </c>
      <c r="N999" s="77"/>
      <c r="O999" s="90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</row>
    <row r="1000" ht="18.0" customHeight="1">
      <c r="A1000" s="81"/>
      <c r="B1000" s="91" t="str">
        <f>"RCKM"</f>
        <v>RCKM</v>
      </c>
      <c r="C1000" s="91" t="str">
        <f t="shared" si="9"/>
        <v/>
      </c>
      <c r="D1000" s="92" t="s">
        <v>1032</v>
      </c>
      <c r="E1000" s="93" t="s">
        <v>119</v>
      </c>
      <c r="F1000" s="94"/>
      <c r="G1000" s="94"/>
      <c r="H1000" s="95"/>
      <c r="I1000" s="96">
        <v>0.5544</v>
      </c>
      <c r="J1000" s="93" t="s">
        <v>31</v>
      </c>
      <c r="K1000" s="97"/>
      <c r="L1000" s="93" t="str">
        <f t="shared" si="1"/>
        <v/>
      </c>
      <c r="M1000" s="98">
        <f t="shared" si="2"/>
        <v>0</v>
      </c>
      <c r="N1000" s="77"/>
      <c r="O1000" s="90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</row>
    <row r="1001" ht="18.0" customHeight="1">
      <c r="A1001" s="81"/>
      <c r="B1001" s="91" t="str">
        <f>"RCKT"</f>
        <v>RCKT</v>
      </c>
      <c r="C1001" s="91" t="str">
        <f t="shared" si="9"/>
        <v/>
      </c>
      <c r="D1001" s="92" t="s">
        <v>1033</v>
      </c>
      <c r="E1001" s="93" t="s">
        <v>119</v>
      </c>
      <c r="F1001" s="94"/>
      <c r="G1001" s="94"/>
      <c r="H1001" s="95"/>
      <c r="I1001" s="96">
        <v>0.5544</v>
      </c>
      <c r="J1001" s="93" t="s">
        <v>31</v>
      </c>
      <c r="K1001" s="97"/>
      <c r="L1001" s="93" t="str">
        <f t="shared" si="1"/>
        <v/>
      </c>
      <c r="M1001" s="98">
        <f t="shared" si="2"/>
        <v>0</v>
      </c>
      <c r="N1001" s="77"/>
      <c r="O1001" s="90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</row>
    <row r="1002" ht="18.0" customHeight="1">
      <c r="A1002" s="81"/>
      <c r="B1002" s="91" t="str">
        <f>"4112-S"</f>
        <v>4112-S</v>
      </c>
      <c r="C1002" s="91" t="str">
        <f t="shared" si="9"/>
        <v/>
      </c>
      <c r="D1002" s="92" t="s">
        <v>309</v>
      </c>
      <c r="E1002" s="93" t="s">
        <v>119</v>
      </c>
      <c r="F1002" s="94"/>
      <c r="G1002" s="94"/>
      <c r="H1002" s="95"/>
      <c r="I1002" s="96">
        <v>0.5544</v>
      </c>
      <c r="J1002" s="93" t="s">
        <v>31</v>
      </c>
      <c r="K1002" s="97"/>
      <c r="L1002" s="93" t="str">
        <f t="shared" si="1"/>
        <v/>
      </c>
      <c r="M1002" s="98">
        <f t="shared" si="2"/>
        <v>0</v>
      </c>
      <c r="N1002" s="77"/>
      <c r="O1002" s="90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</row>
    <row r="1003" ht="18.0" customHeight="1">
      <c r="A1003" s="81"/>
      <c r="B1003" s="91" t="str">
        <f>"290066S"</f>
        <v>290066S</v>
      </c>
      <c r="C1003" s="91" t="str">
        <f t="shared" si="9"/>
        <v/>
      </c>
      <c r="D1003" s="92" t="s">
        <v>1034</v>
      </c>
      <c r="E1003" s="93" t="s">
        <v>119</v>
      </c>
      <c r="F1003" s="94"/>
      <c r="G1003" s="94"/>
      <c r="H1003" s="95"/>
      <c r="I1003" s="96">
        <v>0.5544</v>
      </c>
      <c r="J1003" s="93" t="s">
        <v>31</v>
      </c>
      <c r="K1003" s="97"/>
      <c r="L1003" s="93" t="str">
        <f t="shared" si="1"/>
        <v/>
      </c>
      <c r="M1003" s="98">
        <f t="shared" si="2"/>
        <v>0</v>
      </c>
      <c r="N1003" s="77"/>
      <c r="O1003" s="90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</row>
    <row r="1004" ht="18.0" customHeight="1">
      <c r="A1004" s="81"/>
      <c r="B1004" s="91" t="str">
        <f>"290067S"</f>
        <v>290067S</v>
      </c>
      <c r="C1004" s="91" t="str">
        <f t="shared" si="9"/>
        <v/>
      </c>
      <c r="D1004" s="92" t="s">
        <v>1035</v>
      </c>
      <c r="E1004" s="93" t="s">
        <v>119</v>
      </c>
      <c r="F1004" s="94"/>
      <c r="G1004" s="94"/>
      <c r="H1004" s="95"/>
      <c r="I1004" s="96">
        <v>0.5544</v>
      </c>
      <c r="J1004" s="93" t="s">
        <v>31</v>
      </c>
      <c r="K1004" s="97"/>
      <c r="L1004" s="93" t="str">
        <f t="shared" si="1"/>
        <v/>
      </c>
      <c r="M1004" s="98">
        <f t="shared" si="2"/>
        <v>0</v>
      </c>
      <c r="N1004" s="77"/>
      <c r="O1004" s="90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</row>
    <row r="1005" ht="18.0" customHeight="1">
      <c r="A1005" s="81"/>
      <c r="B1005" s="91" t="str">
        <f>"290069S"</f>
        <v>290069S</v>
      </c>
      <c r="C1005" s="91" t="str">
        <f t="shared" si="9"/>
        <v/>
      </c>
      <c r="D1005" s="92" t="s">
        <v>1036</v>
      </c>
      <c r="E1005" s="93" t="s">
        <v>119</v>
      </c>
      <c r="F1005" s="94"/>
      <c r="G1005" s="94"/>
      <c r="H1005" s="95"/>
      <c r="I1005" s="96">
        <v>0.5544</v>
      </c>
      <c r="J1005" s="93" t="s">
        <v>31</v>
      </c>
      <c r="K1005" s="97"/>
      <c r="L1005" s="93" t="str">
        <f t="shared" si="1"/>
        <v/>
      </c>
      <c r="M1005" s="98">
        <f t="shared" si="2"/>
        <v>0</v>
      </c>
      <c r="N1005" s="77"/>
      <c r="O1005" s="90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</row>
    <row r="1006" ht="18.0" customHeight="1">
      <c r="A1006" s="81"/>
      <c r="B1006" s="91" t="str">
        <f>"290070S"</f>
        <v>290070S</v>
      </c>
      <c r="C1006" s="91" t="str">
        <f t="shared" si="9"/>
        <v/>
      </c>
      <c r="D1006" s="92" t="s">
        <v>1037</v>
      </c>
      <c r="E1006" s="93" t="s">
        <v>119</v>
      </c>
      <c r="F1006" s="94"/>
      <c r="G1006" s="94"/>
      <c r="H1006" s="95"/>
      <c r="I1006" s="96">
        <v>0.5544</v>
      </c>
      <c r="J1006" s="93" t="s">
        <v>31</v>
      </c>
      <c r="K1006" s="97"/>
      <c r="L1006" s="93" t="str">
        <f t="shared" si="1"/>
        <v/>
      </c>
      <c r="M1006" s="98">
        <f t="shared" si="2"/>
        <v>0</v>
      </c>
      <c r="N1006" s="77"/>
      <c r="O1006" s="90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</row>
    <row r="1007" ht="18.0" customHeight="1">
      <c r="A1007" s="81"/>
      <c r="B1007" s="91" t="str">
        <f>"290071S"</f>
        <v>290071S</v>
      </c>
      <c r="C1007" s="91" t="str">
        <f t="shared" si="9"/>
        <v/>
      </c>
      <c r="D1007" s="92" t="s">
        <v>1038</v>
      </c>
      <c r="E1007" s="93" t="s">
        <v>119</v>
      </c>
      <c r="F1007" s="94"/>
      <c r="G1007" s="94"/>
      <c r="H1007" s="95"/>
      <c r="I1007" s="96">
        <v>0.5544</v>
      </c>
      <c r="J1007" s="93" t="s">
        <v>31</v>
      </c>
      <c r="K1007" s="97"/>
      <c r="L1007" s="93" t="str">
        <f t="shared" si="1"/>
        <v/>
      </c>
      <c r="M1007" s="98">
        <f t="shared" si="2"/>
        <v>0</v>
      </c>
      <c r="N1007" s="77"/>
      <c r="O1007" s="90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</row>
    <row r="1008" ht="18.0" customHeight="1">
      <c r="A1008" s="81"/>
      <c r="B1008" s="91" t="str">
        <f>"290072S"</f>
        <v>290072S</v>
      </c>
      <c r="C1008" s="91" t="str">
        <f t="shared" si="9"/>
        <v/>
      </c>
      <c r="D1008" s="92" t="s">
        <v>1039</v>
      </c>
      <c r="E1008" s="93" t="s">
        <v>119</v>
      </c>
      <c r="F1008" s="94"/>
      <c r="G1008" s="94"/>
      <c r="H1008" s="95"/>
      <c r="I1008" s="96">
        <v>0.5544</v>
      </c>
      <c r="J1008" s="93" t="s">
        <v>31</v>
      </c>
      <c r="K1008" s="97"/>
      <c r="L1008" s="93" t="str">
        <f t="shared" si="1"/>
        <v/>
      </c>
      <c r="M1008" s="98">
        <f t="shared" si="2"/>
        <v>0</v>
      </c>
      <c r="N1008" s="77"/>
      <c r="O1008" s="90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</row>
    <row r="1009" ht="18.0" customHeight="1">
      <c r="A1009" s="81"/>
      <c r="B1009" s="91" t="str">
        <f>"290073S"</f>
        <v>290073S</v>
      </c>
      <c r="C1009" s="91" t="str">
        <f t="shared" si="9"/>
        <v/>
      </c>
      <c r="D1009" s="92" t="s">
        <v>1040</v>
      </c>
      <c r="E1009" s="93" t="s">
        <v>119</v>
      </c>
      <c r="F1009" s="94"/>
      <c r="G1009" s="94"/>
      <c r="H1009" s="95"/>
      <c r="I1009" s="96">
        <v>0.5544</v>
      </c>
      <c r="J1009" s="93" t="s">
        <v>31</v>
      </c>
      <c r="K1009" s="97"/>
      <c r="L1009" s="93" t="str">
        <f t="shared" si="1"/>
        <v/>
      </c>
      <c r="M1009" s="98">
        <f t="shared" si="2"/>
        <v>0</v>
      </c>
      <c r="N1009" s="77"/>
      <c r="O1009" s="90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</row>
    <row r="1010" ht="18.0" customHeight="1">
      <c r="A1010" s="81"/>
      <c r="B1010" s="91" t="str">
        <f>"290074S"</f>
        <v>290074S</v>
      </c>
      <c r="C1010" s="91" t="str">
        <f t="shared" si="9"/>
        <v/>
      </c>
      <c r="D1010" s="92" t="s">
        <v>1041</v>
      </c>
      <c r="E1010" s="93" t="s">
        <v>119</v>
      </c>
      <c r="F1010" s="94"/>
      <c r="G1010" s="94"/>
      <c r="H1010" s="95"/>
      <c r="I1010" s="96">
        <v>0.5544</v>
      </c>
      <c r="J1010" s="93" t="s">
        <v>31</v>
      </c>
      <c r="K1010" s="97"/>
      <c r="L1010" s="93" t="str">
        <f t="shared" si="1"/>
        <v/>
      </c>
      <c r="M1010" s="98">
        <f t="shared" si="2"/>
        <v>0</v>
      </c>
      <c r="N1010" s="77"/>
      <c r="O1010" s="90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</row>
    <row r="1011" ht="18.0" customHeight="1">
      <c r="A1011" s="81"/>
      <c r="B1011" s="91" t="str">
        <f>"290077S"</f>
        <v>290077S</v>
      </c>
      <c r="C1011" s="91" t="str">
        <f t="shared" si="9"/>
        <v/>
      </c>
      <c r="D1011" s="92" t="s">
        <v>1042</v>
      </c>
      <c r="E1011" s="93" t="s">
        <v>119</v>
      </c>
      <c r="F1011" s="94"/>
      <c r="G1011" s="94"/>
      <c r="H1011" s="95"/>
      <c r="I1011" s="96">
        <v>0.5544</v>
      </c>
      <c r="J1011" s="93" t="s">
        <v>31</v>
      </c>
      <c r="K1011" s="97"/>
      <c r="L1011" s="93" t="str">
        <f t="shared" si="1"/>
        <v/>
      </c>
      <c r="M1011" s="98">
        <f t="shared" si="2"/>
        <v>0</v>
      </c>
      <c r="N1011" s="77"/>
      <c r="O1011" s="90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</row>
    <row r="1012" ht="18.0" customHeight="1">
      <c r="A1012" s="81"/>
      <c r="B1012" s="91" t="str">
        <f>"290078S"</f>
        <v>290078S</v>
      </c>
      <c r="C1012" s="91" t="str">
        <f t="shared" si="9"/>
        <v/>
      </c>
      <c r="D1012" s="92" t="s">
        <v>1043</v>
      </c>
      <c r="E1012" s="93" t="s">
        <v>119</v>
      </c>
      <c r="F1012" s="94"/>
      <c r="G1012" s="94"/>
      <c r="H1012" s="95"/>
      <c r="I1012" s="96">
        <v>0.5544</v>
      </c>
      <c r="J1012" s="93" t="s">
        <v>31</v>
      </c>
      <c r="K1012" s="97"/>
      <c r="L1012" s="93" t="str">
        <f t="shared" si="1"/>
        <v/>
      </c>
      <c r="M1012" s="98">
        <f t="shared" si="2"/>
        <v>0</v>
      </c>
      <c r="N1012" s="77"/>
      <c r="O1012" s="90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</row>
    <row r="1013" ht="18.0" customHeight="1">
      <c r="A1013" s="81"/>
      <c r="B1013" s="91" t="str">
        <f>"290079S"</f>
        <v>290079S</v>
      </c>
      <c r="C1013" s="91" t="str">
        <f t="shared" si="9"/>
        <v/>
      </c>
      <c r="D1013" s="92" t="s">
        <v>1044</v>
      </c>
      <c r="E1013" s="93" t="s">
        <v>119</v>
      </c>
      <c r="F1013" s="94"/>
      <c r="G1013" s="94"/>
      <c r="H1013" s="95"/>
      <c r="I1013" s="96">
        <v>0.5544</v>
      </c>
      <c r="J1013" s="93" t="s">
        <v>31</v>
      </c>
      <c r="K1013" s="97"/>
      <c r="L1013" s="93" t="str">
        <f t="shared" si="1"/>
        <v/>
      </c>
      <c r="M1013" s="98">
        <f t="shared" si="2"/>
        <v>0</v>
      </c>
      <c r="N1013" s="77"/>
      <c r="O1013" s="90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</row>
    <row r="1014" ht="18.0" customHeight="1">
      <c r="A1014" s="81"/>
      <c r="B1014" s="91" t="str">
        <f>"290080S"</f>
        <v>290080S</v>
      </c>
      <c r="C1014" s="91" t="str">
        <f t="shared" si="9"/>
        <v/>
      </c>
      <c r="D1014" s="92" t="s">
        <v>1045</v>
      </c>
      <c r="E1014" s="93" t="s">
        <v>119</v>
      </c>
      <c r="F1014" s="94"/>
      <c r="G1014" s="94"/>
      <c r="H1014" s="95"/>
      <c r="I1014" s="96">
        <v>0.5544</v>
      </c>
      <c r="J1014" s="93" t="s">
        <v>31</v>
      </c>
      <c r="K1014" s="97"/>
      <c r="L1014" s="93" t="str">
        <f t="shared" si="1"/>
        <v/>
      </c>
      <c r="M1014" s="98">
        <f t="shared" si="2"/>
        <v>0</v>
      </c>
      <c r="N1014" s="77"/>
      <c r="O1014" s="90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</row>
    <row r="1015" ht="18.0" customHeight="1">
      <c r="A1015" s="81"/>
      <c r="B1015" s="91" t="str">
        <f>"290061S"</f>
        <v>290061S</v>
      </c>
      <c r="C1015" s="91" t="str">
        <f t="shared" si="9"/>
        <v/>
      </c>
      <c r="D1015" s="92" t="s">
        <v>1046</v>
      </c>
      <c r="E1015" s="93" t="s">
        <v>119</v>
      </c>
      <c r="F1015" s="94"/>
      <c r="G1015" s="94"/>
      <c r="H1015" s="95"/>
      <c r="I1015" s="96">
        <v>0.5544</v>
      </c>
      <c r="J1015" s="93" t="s">
        <v>31</v>
      </c>
      <c r="K1015" s="97"/>
      <c r="L1015" s="93" t="str">
        <f t="shared" si="1"/>
        <v/>
      </c>
      <c r="M1015" s="98">
        <f t="shared" si="2"/>
        <v>0</v>
      </c>
      <c r="N1015" s="77"/>
      <c r="O1015" s="90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</row>
    <row r="1016" ht="18.0" customHeight="1">
      <c r="A1016" s="81"/>
      <c r="B1016" s="91" t="str">
        <f>"290044S"</f>
        <v>290044S</v>
      </c>
      <c r="C1016" s="91" t="str">
        <f t="shared" si="9"/>
        <v/>
      </c>
      <c r="D1016" s="92" t="s">
        <v>1047</v>
      </c>
      <c r="E1016" s="93" t="s">
        <v>119</v>
      </c>
      <c r="F1016" s="94"/>
      <c r="G1016" s="94"/>
      <c r="H1016" s="95"/>
      <c r="I1016" s="96">
        <v>0.5544</v>
      </c>
      <c r="J1016" s="93" t="s">
        <v>31</v>
      </c>
      <c r="K1016" s="97"/>
      <c r="L1016" s="93" t="str">
        <f t="shared" si="1"/>
        <v/>
      </c>
      <c r="M1016" s="98">
        <f t="shared" si="2"/>
        <v>0</v>
      </c>
      <c r="N1016" s="77"/>
      <c r="O1016" s="90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</row>
    <row r="1017" ht="18.0" customHeight="1">
      <c r="A1017" s="81"/>
      <c r="B1017" s="91" t="str">
        <f>"290045S"</f>
        <v>290045S</v>
      </c>
      <c r="C1017" s="91" t="str">
        <f t="shared" si="9"/>
        <v/>
      </c>
      <c r="D1017" s="92" t="s">
        <v>1048</v>
      </c>
      <c r="E1017" s="93" t="s">
        <v>119</v>
      </c>
      <c r="F1017" s="94"/>
      <c r="G1017" s="94"/>
      <c r="H1017" s="95"/>
      <c r="I1017" s="96">
        <v>0.5544</v>
      </c>
      <c r="J1017" s="93" t="s">
        <v>31</v>
      </c>
      <c r="K1017" s="97"/>
      <c r="L1017" s="93" t="str">
        <f t="shared" si="1"/>
        <v/>
      </c>
      <c r="M1017" s="98">
        <f t="shared" si="2"/>
        <v>0</v>
      </c>
      <c r="N1017" s="77"/>
      <c r="O1017" s="90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</row>
    <row r="1018" ht="18.0" customHeight="1">
      <c r="A1018" s="81"/>
      <c r="B1018" s="91" t="str">
        <f>"290052S"</f>
        <v>290052S</v>
      </c>
      <c r="C1018" s="91" t="str">
        <f t="shared" si="9"/>
        <v/>
      </c>
      <c r="D1018" s="92" t="s">
        <v>1049</v>
      </c>
      <c r="E1018" s="93" t="s">
        <v>119</v>
      </c>
      <c r="F1018" s="94"/>
      <c r="G1018" s="94"/>
      <c r="H1018" s="95"/>
      <c r="I1018" s="96">
        <v>0.5544</v>
      </c>
      <c r="J1018" s="93" t="s">
        <v>31</v>
      </c>
      <c r="K1018" s="97"/>
      <c r="L1018" s="93" t="str">
        <f t="shared" si="1"/>
        <v/>
      </c>
      <c r="M1018" s="98">
        <f t="shared" si="2"/>
        <v>0</v>
      </c>
      <c r="N1018" s="77"/>
      <c r="O1018" s="90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</row>
    <row r="1019" ht="18.0" customHeight="1">
      <c r="A1019" s="81"/>
      <c r="B1019" s="91" t="str">
        <f>"290046S"</f>
        <v>290046S</v>
      </c>
      <c r="C1019" s="91" t="str">
        <f t="shared" si="9"/>
        <v/>
      </c>
      <c r="D1019" s="92" t="s">
        <v>1050</v>
      </c>
      <c r="E1019" s="93" t="s">
        <v>119</v>
      </c>
      <c r="F1019" s="94"/>
      <c r="G1019" s="94"/>
      <c r="H1019" s="95"/>
      <c r="I1019" s="96">
        <v>0.5544</v>
      </c>
      <c r="J1019" s="93" t="s">
        <v>31</v>
      </c>
      <c r="K1019" s="97"/>
      <c r="L1019" s="93" t="str">
        <f t="shared" si="1"/>
        <v/>
      </c>
      <c r="M1019" s="98">
        <f t="shared" si="2"/>
        <v>0</v>
      </c>
      <c r="N1019" s="77"/>
      <c r="O1019" s="90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</row>
    <row r="1020" ht="18.0" customHeight="1">
      <c r="A1020" s="81"/>
      <c r="B1020" s="91" t="str">
        <f>"290050S"</f>
        <v>290050S</v>
      </c>
      <c r="C1020" s="91" t="str">
        <f t="shared" si="9"/>
        <v/>
      </c>
      <c r="D1020" s="92" t="s">
        <v>1051</v>
      </c>
      <c r="E1020" s="93" t="s">
        <v>119</v>
      </c>
      <c r="F1020" s="94"/>
      <c r="G1020" s="94"/>
      <c r="H1020" s="95"/>
      <c r="I1020" s="96">
        <v>0.5544</v>
      </c>
      <c r="J1020" s="93" t="s">
        <v>31</v>
      </c>
      <c r="K1020" s="97"/>
      <c r="L1020" s="93" t="str">
        <f t="shared" si="1"/>
        <v/>
      </c>
      <c r="M1020" s="98">
        <f t="shared" si="2"/>
        <v>0</v>
      </c>
      <c r="N1020" s="77"/>
      <c r="O1020" s="90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</row>
    <row r="1021" ht="18.0" customHeight="1">
      <c r="A1021" s="81"/>
      <c r="B1021" s="91" t="str">
        <f>"290035S"</f>
        <v>290035S</v>
      </c>
      <c r="C1021" s="91" t="str">
        <f t="shared" si="9"/>
        <v/>
      </c>
      <c r="D1021" s="92" t="s">
        <v>1052</v>
      </c>
      <c r="E1021" s="93" t="s">
        <v>119</v>
      </c>
      <c r="F1021" s="94"/>
      <c r="G1021" s="94"/>
      <c r="H1021" s="95"/>
      <c r="I1021" s="96">
        <v>0.5544</v>
      </c>
      <c r="J1021" s="93" t="s">
        <v>31</v>
      </c>
      <c r="K1021" s="97"/>
      <c r="L1021" s="93" t="str">
        <f t="shared" si="1"/>
        <v/>
      </c>
      <c r="M1021" s="98">
        <f t="shared" si="2"/>
        <v>0</v>
      </c>
      <c r="N1021" s="77"/>
      <c r="O1021" s="90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</row>
    <row r="1022" ht="18.0" customHeight="1">
      <c r="A1022" s="81"/>
      <c r="B1022" s="91" t="str">
        <f>"290047S"</f>
        <v>290047S</v>
      </c>
      <c r="C1022" s="91" t="str">
        <f t="shared" si="9"/>
        <v/>
      </c>
      <c r="D1022" s="92" t="s">
        <v>1053</v>
      </c>
      <c r="E1022" s="93" t="s">
        <v>119</v>
      </c>
      <c r="F1022" s="94"/>
      <c r="G1022" s="94"/>
      <c r="H1022" s="95"/>
      <c r="I1022" s="96">
        <v>0.5544</v>
      </c>
      <c r="J1022" s="93" t="s">
        <v>31</v>
      </c>
      <c r="K1022" s="97"/>
      <c r="L1022" s="93" t="str">
        <f t="shared" si="1"/>
        <v/>
      </c>
      <c r="M1022" s="98">
        <f t="shared" si="2"/>
        <v>0</v>
      </c>
      <c r="N1022" s="77"/>
      <c r="O1022" s="90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</row>
    <row r="1023" ht="18.0" customHeight="1">
      <c r="A1023" s="81"/>
      <c r="B1023" s="91" t="str">
        <f>"290037S"</f>
        <v>290037S</v>
      </c>
      <c r="C1023" s="91" t="str">
        <f t="shared" si="9"/>
        <v/>
      </c>
      <c r="D1023" s="92" t="s">
        <v>1054</v>
      </c>
      <c r="E1023" s="93" t="s">
        <v>119</v>
      </c>
      <c r="F1023" s="94"/>
      <c r="G1023" s="94"/>
      <c r="H1023" s="95"/>
      <c r="I1023" s="96">
        <v>0.5544</v>
      </c>
      <c r="J1023" s="93" t="s">
        <v>31</v>
      </c>
      <c r="K1023" s="97"/>
      <c r="L1023" s="93" t="str">
        <f t="shared" si="1"/>
        <v/>
      </c>
      <c r="M1023" s="98">
        <f t="shared" si="2"/>
        <v>0</v>
      </c>
      <c r="N1023" s="77"/>
      <c r="O1023" s="90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</row>
    <row r="1024" ht="18.0" customHeight="1">
      <c r="A1024" s="81"/>
      <c r="B1024" s="91" t="str">
        <f>"290034S"</f>
        <v>290034S</v>
      </c>
      <c r="C1024" s="91" t="str">
        <f t="shared" si="9"/>
        <v/>
      </c>
      <c r="D1024" s="92" t="s">
        <v>1055</v>
      </c>
      <c r="E1024" s="93" t="s">
        <v>119</v>
      </c>
      <c r="F1024" s="94"/>
      <c r="G1024" s="94"/>
      <c r="H1024" s="95"/>
      <c r="I1024" s="96">
        <v>0.5544</v>
      </c>
      <c r="J1024" s="93" t="s">
        <v>31</v>
      </c>
      <c r="K1024" s="97"/>
      <c r="L1024" s="93" t="str">
        <f t="shared" si="1"/>
        <v/>
      </c>
      <c r="M1024" s="98">
        <f t="shared" si="2"/>
        <v>0</v>
      </c>
      <c r="N1024" s="77"/>
      <c r="O1024" s="90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</row>
    <row r="1025" ht="18.0" customHeight="1">
      <c r="A1025" s="81"/>
      <c r="B1025" s="91" t="str">
        <f>"290042S"</f>
        <v>290042S</v>
      </c>
      <c r="C1025" s="91" t="str">
        <f t="shared" si="9"/>
        <v/>
      </c>
      <c r="D1025" s="92" t="s">
        <v>1056</v>
      </c>
      <c r="E1025" s="93" t="s">
        <v>119</v>
      </c>
      <c r="F1025" s="94"/>
      <c r="G1025" s="94"/>
      <c r="H1025" s="95"/>
      <c r="I1025" s="96">
        <v>0.5544</v>
      </c>
      <c r="J1025" s="93" t="s">
        <v>31</v>
      </c>
      <c r="K1025" s="97"/>
      <c r="L1025" s="93" t="str">
        <f t="shared" si="1"/>
        <v/>
      </c>
      <c r="M1025" s="98">
        <f t="shared" si="2"/>
        <v>0</v>
      </c>
      <c r="N1025" s="77"/>
      <c r="O1025" s="90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</row>
    <row r="1026" ht="18.0" customHeight="1">
      <c r="A1026" s="81"/>
      <c r="B1026" s="91" t="str">
        <f>"290036S"</f>
        <v>290036S</v>
      </c>
      <c r="C1026" s="91" t="str">
        <f t="shared" si="9"/>
        <v/>
      </c>
      <c r="D1026" s="92" t="s">
        <v>1057</v>
      </c>
      <c r="E1026" s="93" t="s">
        <v>119</v>
      </c>
      <c r="F1026" s="94"/>
      <c r="G1026" s="94"/>
      <c r="H1026" s="95"/>
      <c r="I1026" s="96">
        <v>0.5544</v>
      </c>
      <c r="J1026" s="93" t="s">
        <v>31</v>
      </c>
      <c r="K1026" s="97"/>
      <c r="L1026" s="93" t="str">
        <f t="shared" si="1"/>
        <v/>
      </c>
      <c r="M1026" s="98">
        <f t="shared" si="2"/>
        <v>0</v>
      </c>
      <c r="N1026" s="77"/>
      <c r="O1026" s="90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</row>
    <row r="1027" ht="18.0" customHeight="1">
      <c r="A1027" s="81"/>
      <c r="B1027" s="91" t="str">
        <f>"290062S"</f>
        <v>290062S</v>
      </c>
      <c r="C1027" s="91" t="str">
        <f t="shared" si="9"/>
        <v/>
      </c>
      <c r="D1027" s="92" t="s">
        <v>1058</v>
      </c>
      <c r="E1027" s="93" t="s">
        <v>119</v>
      </c>
      <c r="F1027" s="94"/>
      <c r="G1027" s="94"/>
      <c r="H1027" s="95"/>
      <c r="I1027" s="96">
        <v>0.5544</v>
      </c>
      <c r="J1027" s="93" t="s">
        <v>31</v>
      </c>
      <c r="K1027" s="97"/>
      <c r="L1027" s="93" t="str">
        <f t="shared" si="1"/>
        <v/>
      </c>
      <c r="M1027" s="98">
        <f t="shared" si="2"/>
        <v>0</v>
      </c>
      <c r="N1027" s="77"/>
      <c r="O1027" s="90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</row>
    <row r="1028" ht="18.0" customHeight="1">
      <c r="A1028" s="81"/>
      <c r="B1028" s="91" t="str">
        <f>"290055S"</f>
        <v>290055S</v>
      </c>
      <c r="C1028" s="91" t="str">
        <f t="shared" si="9"/>
        <v/>
      </c>
      <c r="D1028" s="92" t="s">
        <v>1059</v>
      </c>
      <c r="E1028" s="93" t="s">
        <v>119</v>
      </c>
      <c r="F1028" s="94"/>
      <c r="G1028" s="94"/>
      <c r="H1028" s="95"/>
      <c r="I1028" s="96">
        <v>0.5544</v>
      </c>
      <c r="J1028" s="93" t="s">
        <v>31</v>
      </c>
      <c r="K1028" s="97"/>
      <c r="L1028" s="93" t="str">
        <f t="shared" si="1"/>
        <v/>
      </c>
      <c r="M1028" s="98">
        <f t="shared" si="2"/>
        <v>0</v>
      </c>
      <c r="N1028" s="77"/>
      <c r="O1028" s="90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</row>
    <row r="1029" ht="18.0" customHeight="1">
      <c r="A1029" s="81"/>
      <c r="B1029" s="91" t="str">
        <f>"10128"</f>
        <v>10128</v>
      </c>
      <c r="C1029" s="91" t="str">
        <f t="shared" si="9"/>
        <v/>
      </c>
      <c r="D1029" s="92" t="s">
        <v>1060</v>
      </c>
      <c r="E1029" s="93" t="s">
        <v>95</v>
      </c>
      <c r="F1029" s="94"/>
      <c r="G1029" s="94"/>
      <c r="H1029" s="95"/>
      <c r="I1029" s="96">
        <v>150.48</v>
      </c>
      <c r="J1029" s="93" t="s">
        <v>31</v>
      </c>
      <c r="K1029" s="97"/>
      <c r="L1029" s="93" t="str">
        <f t="shared" si="1"/>
        <v/>
      </c>
      <c r="M1029" s="98">
        <f t="shared" si="2"/>
        <v>0</v>
      </c>
      <c r="N1029" s="77"/>
      <c r="O1029" s="90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</row>
    <row r="1030" ht="18.0" customHeight="1">
      <c r="A1030" s="81"/>
      <c r="B1030" s="91" t="str">
        <f>"10124"</f>
        <v>10124</v>
      </c>
      <c r="C1030" s="91" t="str">
        <f t="shared" si="9"/>
        <v/>
      </c>
      <c r="D1030" s="92" t="s">
        <v>1061</v>
      </c>
      <c r="E1030" s="93" t="s">
        <v>95</v>
      </c>
      <c r="F1030" s="94"/>
      <c r="G1030" s="94"/>
      <c r="H1030" s="95"/>
      <c r="I1030" s="96">
        <v>150.48</v>
      </c>
      <c r="J1030" s="93" t="s">
        <v>31</v>
      </c>
      <c r="K1030" s="97"/>
      <c r="L1030" s="93" t="str">
        <f t="shared" si="1"/>
        <v/>
      </c>
      <c r="M1030" s="98">
        <f t="shared" si="2"/>
        <v>0</v>
      </c>
      <c r="N1030" s="77"/>
      <c r="O1030" s="90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</row>
    <row r="1031" ht="18.0" customHeight="1">
      <c r="A1031" s="81"/>
      <c r="B1031" s="91" t="str">
        <f>"10125"</f>
        <v>10125</v>
      </c>
      <c r="C1031" s="91" t="str">
        <f t="shared" si="9"/>
        <v/>
      </c>
      <c r="D1031" s="92" t="s">
        <v>1062</v>
      </c>
      <c r="E1031" s="93" t="s">
        <v>95</v>
      </c>
      <c r="F1031" s="94"/>
      <c r="G1031" s="94"/>
      <c r="H1031" s="95"/>
      <c r="I1031" s="96">
        <v>150.48</v>
      </c>
      <c r="J1031" s="93" t="s">
        <v>31</v>
      </c>
      <c r="K1031" s="97"/>
      <c r="L1031" s="93" t="str">
        <f t="shared" si="1"/>
        <v/>
      </c>
      <c r="M1031" s="98">
        <f t="shared" si="2"/>
        <v>0</v>
      </c>
      <c r="N1031" s="77"/>
      <c r="O1031" s="90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</row>
    <row r="1032" ht="18.0" customHeight="1">
      <c r="A1032" s="81"/>
      <c r="B1032" s="91" t="str">
        <f>"10130"</f>
        <v>10130</v>
      </c>
      <c r="C1032" s="91" t="str">
        <f t="shared" si="9"/>
        <v/>
      </c>
      <c r="D1032" s="92" t="s">
        <v>1063</v>
      </c>
      <c r="E1032" s="93" t="s">
        <v>95</v>
      </c>
      <c r="F1032" s="94"/>
      <c r="G1032" s="94"/>
      <c r="H1032" s="95"/>
      <c r="I1032" s="96">
        <v>150.48</v>
      </c>
      <c r="J1032" s="93" t="s">
        <v>31</v>
      </c>
      <c r="K1032" s="97"/>
      <c r="L1032" s="93" t="str">
        <f t="shared" si="1"/>
        <v/>
      </c>
      <c r="M1032" s="98">
        <f t="shared" si="2"/>
        <v>0</v>
      </c>
      <c r="N1032" s="77"/>
      <c r="O1032" s="90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</row>
    <row r="1033" ht="18.0" customHeight="1">
      <c r="A1033" s="81"/>
      <c r="B1033" s="91" t="str">
        <f>"10126"</f>
        <v>10126</v>
      </c>
      <c r="C1033" s="91" t="str">
        <f t="shared" si="9"/>
        <v/>
      </c>
      <c r="D1033" s="92" t="s">
        <v>1064</v>
      </c>
      <c r="E1033" s="93" t="s">
        <v>95</v>
      </c>
      <c r="F1033" s="94"/>
      <c r="G1033" s="94"/>
      <c r="H1033" s="95"/>
      <c r="I1033" s="96">
        <v>150.48</v>
      </c>
      <c r="J1033" s="93" t="s">
        <v>31</v>
      </c>
      <c r="K1033" s="97"/>
      <c r="L1033" s="93" t="str">
        <f t="shared" si="1"/>
        <v/>
      </c>
      <c r="M1033" s="98">
        <f t="shared" si="2"/>
        <v>0</v>
      </c>
      <c r="N1033" s="77"/>
      <c r="O1033" s="90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</row>
    <row r="1034" ht="18.0" customHeight="1">
      <c r="A1034" s="81"/>
      <c r="B1034" s="91" t="str">
        <f>"10127"</f>
        <v>10127</v>
      </c>
      <c r="C1034" s="91" t="str">
        <f t="shared" si="9"/>
        <v/>
      </c>
      <c r="D1034" s="92" t="s">
        <v>1065</v>
      </c>
      <c r="E1034" s="93" t="s">
        <v>95</v>
      </c>
      <c r="F1034" s="94"/>
      <c r="G1034" s="94"/>
      <c r="H1034" s="95"/>
      <c r="I1034" s="96">
        <v>150.48</v>
      </c>
      <c r="J1034" s="93" t="s">
        <v>31</v>
      </c>
      <c r="K1034" s="97"/>
      <c r="L1034" s="93" t="str">
        <f t="shared" si="1"/>
        <v/>
      </c>
      <c r="M1034" s="98">
        <f t="shared" si="2"/>
        <v>0</v>
      </c>
      <c r="N1034" s="77"/>
      <c r="O1034" s="90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</row>
    <row r="1035" ht="18.0" customHeight="1">
      <c r="A1035" s="81"/>
      <c r="B1035" s="91" t="str">
        <f>"10129"</f>
        <v>10129</v>
      </c>
      <c r="C1035" s="91" t="str">
        <f t="shared" si="9"/>
        <v/>
      </c>
      <c r="D1035" s="92" t="s">
        <v>1066</v>
      </c>
      <c r="E1035" s="93" t="s">
        <v>95</v>
      </c>
      <c r="F1035" s="94"/>
      <c r="G1035" s="94"/>
      <c r="H1035" s="95"/>
      <c r="I1035" s="96">
        <v>150.48</v>
      </c>
      <c r="J1035" s="93" t="s">
        <v>31</v>
      </c>
      <c r="K1035" s="97"/>
      <c r="L1035" s="93" t="str">
        <f t="shared" si="1"/>
        <v/>
      </c>
      <c r="M1035" s="98">
        <f t="shared" si="2"/>
        <v>0</v>
      </c>
      <c r="N1035" s="77"/>
      <c r="O1035" s="90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</row>
    <row r="1036" ht="18.0" customHeight="1">
      <c r="A1036" s="81"/>
      <c r="B1036" s="91" t="str">
        <f>"10132"</f>
        <v>10132</v>
      </c>
      <c r="C1036" s="91" t="str">
        <f t="shared" si="9"/>
        <v/>
      </c>
      <c r="D1036" s="92" t="s">
        <v>1067</v>
      </c>
      <c r="E1036" s="93" t="s">
        <v>95</v>
      </c>
      <c r="F1036" s="94"/>
      <c r="G1036" s="94"/>
      <c r="H1036" s="95"/>
      <c r="I1036" s="96">
        <v>150.48</v>
      </c>
      <c r="J1036" s="93" t="s">
        <v>31</v>
      </c>
      <c r="K1036" s="97"/>
      <c r="L1036" s="93" t="str">
        <f t="shared" si="1"/>
        <v/>
      </c>
      <c r="M1036" s="98">
        <f t="shared" si="2"/>
        <v>0</v>
      </c>
      <c r="N1036" s="77"/>
      <c r="O1036" s="90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</row>
    <row r="1037" ht="18.0" customHeight="1">
      <c r="A1037" s="81"/>
      <c r="B1037" s="91" t="str">
        <f>"10133"</f>
        <v>10133</v>
      </c>
      <c r="C1037" s="91" t="str">
        <f t="shared" si="9"/>
        <v/>
      </c>
      <c r="D1037" s="92" t="s">
        <v>1068</v>
      </c>
      <c r="E1037" s="93" t="s">
        <v>95</v>
      </c>
      <c r="F1037" s="94"/>
      <c r="G1037" s="94"/>
      <c r="H1037" s="95"/>
      <c r="I1037" s="96">
        <v>150.48</v>
      </c>
      <c r="J1037" s="93" t="s">
        <v>31</v>
      </c>
      <c r="K1037" s="97"/>
      <c r="L1037" s="93" t="str">
        <f t="shared" si="1"/>
        <v/>
      </c>
      <c r="M1037" s="98">
        <f t="shared" si="2"/>
        <v>0</v>
      </c>
      <c r="N1037" s="77"/>
      <c r="O1037" s="90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</row>
    <row r="1038" ht="18.0" customHeight="1">
      <c r="A1038" s="81"/>
      <c r="B1038" s="91" t="str">
        <f>"10134"</f>
        <v>10134</v>
      </c>
      <c r="C1038" s="91" t="str">
        <f t="shared" si="9"/>
        <v/>
      </c>
      <c r="D1038" s="92" t="s">
        <v>1069</v>
      </c>
      <c r="E1038" s="93" t="s">
        <v>95</v>
      </c>
      <c r="F1038" s="94"/>
      <c r="G1038" s="94"/>
      <c r="H1038" s="95"/>
      <c r="I1038" s="96">
        <v>150.48</v>
      </c>
      <c r="J1038" s="93" t="s">
        <v>31</v>
      </c>
      <c r="K1038" s="97"/>
      <c r="L1038" s="93" t="str">
        <f t="shared" si="1"/>
        <v/>
      </c>
      <c r="M1038" s="98">
        <f t="shared" si="2"/>
        <v>0</v>
      </c>
      <c r="N1038" s="77"/>
      <c r="O1038" s="90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</row>
    <row r="1039" ht="18.0" customHeight="1">
      <c r="A1039" s="81"/>
      <c r="B1039" s="91" t="str">
        <f>"10135"</f>
        <v>10135</v>
      </c>
      <c r="C1039" s="91" t="str">
        <f t="shared" si="9"/>
        <v/>
      </c>
      <c r="D1039" s="92" t="s">
        <v>1070</v>
      </c>
      <c r="E1039" s="93" t="s">
        <v>95</v>
      </c>
      <c r="F1039" s="94"/>
      <c r="G1039" s="94"/>
      <c r="H1039" s="95"/>
      <c r="I1039" s="96">
        <v>150.48</v>
      </c>
      <c r="J1039" s="93" t="s">
        <v>31</v>
      </c>
      <c r="K1039" s="97"/>
      <c r="L1039" s="93" t="str">
        <f t="shared" si="1"/>
        <v/>
      </c>
      <c r="M1039" s="98">
        <f t="shared" si="2"/>
        <v>0</v>
      </c>
      <c r="N1039" s="77"/>
      <c r="O1039" s="90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</row>
    <row r="1040" ht="18.0" customHeight="1">
      <c r="A1040" s="81"/>
      <c r="B1040" s="99" t="str">
        <f>"10136"</f>
        <v>10136</v>
      </c>
      <c r="C1040" s="99" t="str">
        <f t="shared" si="9"/>
        <v/>
      </c>
      <c r="D1040" s="100" t="s">
        <v>1071</v>
      </c>
      <c r="E1040" s="101" t="s">
        <v>95</v>
      </c>
      <c r="F1040" s="102"/>
      <c r="G1040" s="102"/>
      <c r="H1040" s="103"/>
      <c r="I1040" s="104">
        <v>150.48</v>
      </c>
      <c r="J1040" s="101" t="s">
        <v>31</v>
      </c>
      <c r="K1040" s="105"/>
      <c r="L1040" s="101" t="str">
        <f t="shared" si="1"/>
        <v/>
      </c>
      <c r="M1040" s="106">
        <f t="shared" si="2"/>
        <v>0</v>
      </c>
      <c r="N1040" s="77"/>
      <c r="O1040" s="90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</row>
    <row r="1041" ht="36.0" customHeight="1">
      <c r="A1041" s="107"/>
      <c r="B1041" s="108"/>
      <c r="C1041" s="109"/>
      <c r="D1041" s="110"/>
      <c r="E1041" s="108"/>
      <c r="F1041" s="108"/>
      <c r="G1041" s="108"/>
      <c r="H1041" s="108"/>
      <c r="I1041" s="108"/>
      <c r="J1041" s="108"/>
      <c r="K1041" s="108"/>
      <c r="L1041" s="108"/>
      <c r="M1041" s="108"/>
      <c r="N1041" s="5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</row>
    <row r="1042" ht="36.0" customHeight="1">
      <c r="A1042" s="107"/>
      <c r="B1042" s="56"/>
      <c r="C1042" s="111"/>
      <c r="D1042" s="112"/>
      <c r="E1042" s="56"/>
      <c r="F1042" s="113"/>
      <c r="G1042" s="56"/>
      <c r="H1042" s="56"/>
      <c r="I1042" s="56"/>
      <c r="J1042" s="56"/>
      <c r="K1042" s="114"/>
      <c r="L1042" s="114"/>
      <c r="M1042" s="114"/>
      <c r="N1042" s="56"/>
      <c r="O1042" s="36"/>
      <c r="P1042" s="36"/>
      <c r="Q1042" s="36"/>
      <c r="R1042" s="36"/>
      <c r="S1042" s="36"/>
      <c r="T1042" s="36"/>
      <c r="U1042" s="36"/>
      <c r="V1042" s="36"/>
      <c r="W1042" s="36"/>
      <c r="X1042" s="36"/>
      <c r="Y1042" s="36"/>
      <c r="Z1042" s="36"/>
      <c r="AA1042" s="36"/>
    </row>
    <row r="1043" ht="36.0" customHeight="1">
      <c r="A1043" s="107"/>
      <c r="B1043" s="56"/>
      <c r="C1043" s="56"/>
      <c r="D1043" s="107"/>
      <c r="E1043" s="107"/>
      <c r="F1043" s="113"/>
      <c r="G1043" s="113"/>
      <c r="H1043" s="113"/>
      <c r="I1043" s="56"/>
      <c r="J1043" s="81"/>
      <c r="K1043" s="115" t="s">
        <v>1072</v>
      </c>
      <c r="L1043" s="116">
        <f t="shared" ref="L1043:M1043" si="10">sum(L16:L1040)</f>
        <v>0</v>
      </c>
      <c r="M1043" s="117">
        <f t="shared" si="10"/>
        <v>0</v>
      </c>
      <c r="N1043" s="77"/>
      <c r="O1043" s="36"/>
      <c r="P1043" s="36"/>
      <c r="Q1043" s="36"/>
      <c r="R1043" s="36"/>
      <c r="S1043" s="36"/>
      <c r="T1043" s="36"/>
      <c r="U1043" s="36"/>
      <c r="V1043" s="36"/>
      <c r="W1043" s="36"/>
      <c r="X1043" s="36"/>
      <c r="Y1043" s="36"/>
      <c r="Z1043" s="36"/>
      <c r="AA1043" s="36"/>
    </row>
    <row r="1044" ht="18.75" customHeight="1">
      <c r="A1044" s="1"/>
      <c r="B1044" s="56"/>
      <c r="C1044" s="56"/>
      <c r="D1044" s="56"/>
      <c r="E1044" s="56"/>
      <c r="F1044" s="56"/>
      <c r="G1044" s="56"/>
      <c r="H1044" s="56"/>
      <c r="I1044" s="56"/>
      <c r="J1044" s="107"/>
      <c r="K1044" s="108"/>
      <c r="L1044" s="108"/>
      <c r="M1044" s="108"/>
      <c r="N1044" s="56"/>
      <c r="O1044" s="36"/>
      <c r="P1044" s="36"/>
      <c r="Q1044" s="36"/>
      <c r="R1044" s="36"/>
      <c r="S1044" s="36"/>
      <c r="T1044" s="36"/>
      <c r="U1044" s="36"/>
      <c r="V1044" s="36"/>
      <c r="W1044" s="36"/>
      <c r="X1044" s="36"/>
      <c r="Y1044" s="36"/>
      <c r="Z1044" s="36"/>
      <c r="AA1044" s="36"/>
    </row>
    <row r="1045" ht="18.75" customHeight="1">
      <c r="A1045" s="1"/>
      <c r="B1045" s="56"/>
      <c r="C1045" s="111"/>
      <c r="D1045" s="112"/>
      <c r="E1045" s="56"/>
      <c r="F1045" s="56"/>
      <c r="G1045" s="56"/>
      <c r="H1045" s="56"/>
      <c r="I1045" s="56"/>
      <c r="J1045" s="107"/>
      <c r="K1045" s="118"/>
      <c r="L1045" s="56"/>
      <c r="M1045" s="56"/>
      <c r="N1045" s="56"/>
      <c r="O1045" s="36"/>
      <c r="P1045" s="36"/>
      <c r="Q1045" s="36"/>
      <c r="R1045" s="36"/>
      <c r="S1045" s="36"/>
      <c r="T1045" s="36"/>
      <c r="U1045" s="36"/>
      <c r="V1045" s="36"/>
      <c r="W1045" s="36"/>
      <c r="X1045" s="36"/>
      <c r="Y1045" s="36"/>
      <c r="Z1045" s="36"/>
      <c r="AA1045" s="36"/>
    </row>
    <row r="1046" ht="18.75" customHeight="1">
      <c r="A1046" s="1"/>
      <c r="B1046" s="56"/>
      <c r="C1046" s="56"/>
      <c r="D1046" s="107"/>
      <c r="E1046" s="107"/>
      <c r="F1046" s="107"/>
      <c r="G1046" s="113"/>
      <c r="H1046" s="113"/>
      <c r="I1046" s="56"/>
      <c r="J1046" s="107"/>
      <c r="K1046" s="118"/>
      <c r="L1046" s="56"/>
      <c r="M1046" s="56"/>
      <c r="N1046" s="56"/>
      <c r="O1046" s="36"/>
      <c r="P1046" s="36"/>
      <c r="Q1046" s="36"/>
      <c r="R1046" s="36"/>
      <c r="S1046" s="36"/>
      <c r="T1046" s="36"/>
      <c r="U1046" s="36"/>
      <c r="V1046" s="36"/>
      <c r="W1046" s="36"/>
      <c r="X1046" s="36"/>
      <c r="Y1046" s="36"/>
      <c r="Z1046" s="36"/>
      <c r="AA1046" s="36"/>
    </row>
    <row r="1047" ht="18.75" customHeight="1">
      <c r="A1047" s="1"/>
      <c r="B1047" s="56"/>
      <c r="C1047" s="56"/>
      <c r="D1047" s="56"/>
      <c r="E1047" s="56"/>
      <c r="F1047" s="56"/>
      <c r="G1047" s="56"/>
      <c r="H1047" s="56"/>
      <c r="I1047" s="56"/>
      <c r="J1047" s="107"/>
      <c r="K1047" s="118"/>
      <c r="L1047" s="56"/>
      <c r="M1047" s="56"/>
      <c r="N1047" s="56"/>
      <c r="O1047" s="36"/>
      <c r="P1047" s="36"/>
      <c r="Q1047" s="36"/>
      <c r="R1047" s="36"/>
      <c r="S1047" s="36"/>
      <c r="T1047" s="36"/>
      <c r="U1047" s="36"/>
      <c r="V1047" s="36"/>
      <c r="W1047" s="36"/>
      <c r="X1047" s="36"/>
      <c r="Y1047" s="36"/>
      <c r="Z1047" s="36"/>
      <c r="AA1047" s="36"/>
    </row>
    <row r="1048" ht="18.75" customHeight="1">
      <c r="A1048" s="1"/>
      <c r="B1048" s="56"/>
      <c r="C1048" s="111"/>
      <c r="D1048" s="112"/>
      <c r="E1048" s="56"/>
      <c r="F1048" s="56"/>
      <c r="G1048" s="56"/>
      <c r="H1048" s="56"/>
      <c r="I1048" s="56"/>
      <c r="J1048" s="107"/>
      <c r="K1048" s="118"/>
      <c r="L1048" s="56"/>
      <c r="M1048" s="56"/>
      <c r="N1048" s="56"/>
      <c r="O1048" s="36"/>
      <c r="P1048" s="36"/>
      <c r="Q1048" s="36"/>
      <c r="R1048" s="36"/>
      <c r="S1048" s="36"/>
      <c r="T1048" s="36"/>
      <c r="U1048" s="36"/>
      <c r="V1048" s="36"/>
      <c r="W1048" s="36"/>
      <c r="X1048" s="36"/>
      <c r="Y1048" s="36"/>
      <c r="Z1048" s="36"/>
      <c r="AA1048" s="36"/>
    </row>
    <row r="1049" ht="18.75" customHeight="1">
      <c r="A1049" s="1"/>
      <c r="B1049" s="56"/>
      <c r="C1049" s="56"/>
      <c r="D1049" s="107"/>
      <c r="E1049" s="107"/>
      <c r="F1049" s="107"/>
      <c r="G1049" s="113"/>
      <c r="H1049" s="113"/>
      <c r="I1049" s="56"/>
      <c r="J1049" s="107"/>
      <c r="K1049" s="118"/>
      <c r="L1049" s="56"/>
      <c r="M1049" s="56"/>
      <c r="N1049" s="56"/>
      <c r="O1049" s="36"/>
      <c r="P1049" s="36"/>
      <c r="Q1049" s="36"/>
      <c r="R1049" s="36"/>
      <c r="S1049" s="36"/>
      <c r="T1049" s="36"/>
      <c r="U1049" s="36"/>
      <c r="V1049" s="36"/>
      <c r="W1049" s="36"/>
      <c r="X1049" s="36"/>
      <c r="Y1049" s="36"/>
      <c r="Z1049" s="36"/>
      <c r="AA1049" s="36"/>
    </row>
    <row r="1050" ht="18.75" customHeight="1">
      <c r="A1050" s="1"/>
      <c r="B1050" s="56"/>
      <c r="C1050" s="56"/>
      <c r="D1050" s="56"/>
      <c r="E1050" s="56"/>
      <c r="F1050" s="56"/>
      <c r="G1050" s="56"/>
      <c r="H1050" s="56"/>
      <c r="I1050" s="56"/>
      <c r="J1050" s="107"/>
      <c r="K1050" s="118"/>
      <c r="L1050" s="56"/>
      <c r="M1050" s="56"/>
      <c r="N1050" s="5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  <c r="Y1050" s="36"/>
      <c r="Z1050" s="36"/>
      <c r="AA1050" s="36"/>
    </row>
    <row r="1051" ht="18.75" customHeight="1">
      <c r="A1051" s="1"/>
      <c r="B1051" s="56"/>
      <c r="C1051" s="111"/>
      <c r="D1051" s="112"/>
      <c r="E1051" s="56"/>
      <c r="F1051" s="56"/>
      <c r="G1051" s="56"/>
      <c r="H1051" s="56"/>
      <c r="I1051" s="56"/>
      <c r="J1051" s="107"/>
      <c r="K1051" s="118"/>
      <c r="L1051" s="56"/>
      <c r="M1051" s="56"/>
      <c r="N1051" s="56"/>
      <c r="O1051" s="36"/>
      <c r="P1051" s="36"/>
      <c r="Q1051" s="36"/>
      <c r="R1051" s="36"/>
      <c r="S1051" s="36"/>
      <c r="T1051" s="36"/>
      <c r="U1051" s="36"/>
      <c r="V1051" s="36"/>
      <c r="W1051" s="36"/>
      <c r="X1051" s="36"/>
      <c r="Y1051" s="36"/>
      <c r="Z1051" s="36"/>
      <c r="AA1051" s="36"/>
    </row>
    <row r="1052" ht="18.75" customHeight="1">
      <c r="A1052" s="1"/>
      <c r="B1052" s="56"/>
      <c r="C1052" s="56"/>
      <c r="D1052" s="107"/>
      <c r="E1052" s="107"/>
      <c r="F1052" s="107"/>
      <c r="G1052" s="113"/>
      <c r="H1052" s="113"/>
      <c r="I1052" s="56"/>
      <c r="J1052" s="107"/>
      <c r="K1052" s="118"/>
      <c r="L1052" s="56"/>
      <c r="M1052" s="56"/>
      <c r="N1052" s="56"/>
      <c r="O1052" s="36"/>
      <c r="P1052" s="36"/>
      <c r="Q1052" s="36"/>
      <c r="R1052" s="36"/>
      <c r="S1052" s="36"/>
      <c r="T1052" s="36"/>
      <c r="U1052" s="36"/>
      <c r="V1052" s="36"/>
      <c r="W1052" s="36"/>
      <c r="X1052" s="36"/>
      <c r="Y1052" s="36"/>
      <c r="Z1052" s="36"/>
      <c r="AA1052" s="36"/>
    </row>
    <row r="1053" ht="18.75" customHeight="1">
      <c r="A1053" s="1"/>
      <c r="B1053" s="56"/>
      <c r="C1053" s="56"/>
      <c r="D1053" s="56"/>
      <c r="E1053" s="56"/>
      <c r="F1053" s="56"/>
      <c r="G1053" s="56"/>
      <c r="H1053" s="56"/>
      <c r="I1053" s="56"/>
      <c r="J1053" s="107"/>
      <c r="K1053" s="118"/>
      <c r="L1053" s="56"/>
      <c r="M1053" s="56"/>
      <c r="N1053" s="56"/>
      <c r="O1053" s="36"/>
      <c r="P1053" s="36"/>
      <c r="Q1053" s="36"/>
      <c r="R1053" s="36"/>
      <c r="S1053" s="36"/>
      <c r="T1053" s="36"/>
      <c r="U1053" s="36"/>
      <c r="V1053" s="36"/>
      <c r="W1053" s="36"/>
      <c r="X1053" s="36"/>
      <c r="Y1053" s="36"/>
      <c r="Z1053" s="36"/>
      <c r="AA1053" s="36"/>
    </row>
    <row r="1054" ht="18.75" customHeight="1">
      <c r="A1054" s="1"/>
      <c r="B1054" s="56"/>
      <c r="C1054" s="56"/>
      <c r="D1054" s="107"/>
      <c r="E1054" s="107"/>
      <c r="F1054" s="107"/>
      <c r="G1054" s="113"/>
      <c r="H1054" s="113"/>
      <c r="I1054" s="56"/>
      <c r="J1054" s="107"/>
      <c r="K1054" s="56"/>
      <c r="L1054" s="56"/>
      <c r="M1054" s="56"/>
      <c r="N1054" s="56"/>
      <c r="O1054" s="36"/>
      <c r="P1054" s="36"/>
      <c r="Q1054" s="36"/>
      <c r="R1054" s="36"/>
      <c r="S1054" s="36"/>
      <c r="T1054" s="36"/>
      <c r="U1054" s="36"/>
      <c r="V1054" s="36"/>
      <c r="W1054" s="36"/>
      <c r="X1054" s="36"/>
      <c r="Y1054" s="36"/>
      <c r="Z1054" s="36"/>
      <c r="AA1054" s="36"/>
    </row>
    <row r="1055" ht="15.75" customHeight="1">
      <c r="A1055" s="9"/>
      <c r="B1055" s="119"/>
      <c r="C1055" s="119"/>
      <c r="D1055" s="9"/>
      <c r="E1055" s="9"/>
      <c r="F1055" s="9"/>
      <c r="G1055" s="120"/>
      <c r="H1055" s="120"/>
      <c r="I1055" s="120"/>
      <c r="J1055" s="9"/>
      <c r="K1055" s="9"/>
      <c r="L1055" s="9"/>
      <c r="M1055" s="120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</row>
    <row r="1056" ht="15.75" customHeight="1">
      <c r="A1056" s="9"/>
      <c r="B1056" s="119"/>
      <c r="C1056" s="119"/>
      <c r="D1056" s="9"/>
      <c r="E1056" s="9"/>
      <c r="F1056" s="9"/>
      <c r="G1056" s="120"/>
      <c r="H1056" s="120"/>
      <c r="I1056" s="120"/>
      <c r="J1056" s="9"/>
      <c r="K1056" s="9"/>
      <c r="L1056" s="9"/>
      <c r="M1056" s="120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</row>
    <row r="1057" ht="15.75" customHeight="1">
      <c r="A1057" s="9"/>
      <c r="B1057" s="119"/>
      <c r="C1057" s="119"/>
      <c r="D1057" s="9"/>
      <c r="E1057" s="9"/>
      <c r="F1057" s="9"/>
      <c r="G1057" s="120"/>
      <c r="H1057" s="120"/>
      <c r="I1057" s="120"/>
      <c r="J1057" s="9"/>
      <c r="K1057" s="9"/>
      <c r="L1057" s="9"/>
      <c r="M1057" s="120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</row>
    <row r="1058" ht="15.75" customHeight="1">
      <c r="A1058" s="9"/>
      <c r="B1058" s="119"/>
      <c r="C1058" s="119"/>
      <c r="D1058" s="9"/>
      <c r="E1058" s="9"/>
      <c r="F1058" s="9"/>
      <c r="G1058" s="120"/>
      <c r="H1058" s="120"/>
      <c r="I1058" s="120"/>
      <c r="J1058" s="9"/>
      <c r="K1058" s="9"/>
      <c r="L1058" s="9"/>
      <c r="M1058" s="120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</row>
    <row r="1059" ht="15.75" customHeight="1">
      <c r="A1059" s="9"/>
      <c r="B1059" s="119"/>
      <c r="C1059" s="119"/>
      <c r="D1059" s="9"/>
      <c r="E1059" s="9"/>
      <c r="F1059" s="9"/>
      <c r="G1059" s="120"/>
      <c r="H1059" s="120"/>
      <c r="I1059" s="120"/>
      <c r="J1059" s="9"/>
      <c r="K1059" s="9"/>
      <c r="L1059" s="9"/>
      <c r="M1059" s="120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</row>
    <row r="1060" ht="15.75" customHeight="1">
      <c r="A1060" s="9"/>
      <c r="B1060" s="119"/>
      <c r="C1060" s="119"/>
      <c r="D1060" s="9"/>
      <c r="E1060" s="9"/>
      <c r="F1060" s="9"/>
      <c r="G1060" s="120"/>
      <c r="H1060" s="120"/>
      <c r="I1060" s="120"/>
      <c r="J1060" s="9"/>
      <c r="K1060" s="9"/>
      <c r="L1060" s="9"/>
      <c r="M1060" s="120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</row>
    <row r="1061" ht="15.75" customHeight="1">
      <c r="A1061" s="9"/>
      <c r="B1061" s="119"/>
      <c r="C1061" s="119"/>
      <c r="D1061" s="9"/>
      <c r="E1061" s="9"/>
      <c r="F1061" s="9"/>
      <c r="G1061" s="120"/>
      <c r="H1061" s="120"/>
      <c r="I1061" s="120"/>
      <c r="J1061" s="9"/>
      <c r="K1061" s="9"/>
      <c r="L1061" s="9"/>
      <c r="M1061" s="120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</row>
    <row r="1062" ht="15.75" customHeight="1">
      <c r="A1062" s="9"/>
      <c r="B1062" s="119"/>
      <c r="C1062" s="119"/>
      <c r="D1062" s="9"/>
      <c r="E1062" s="9"/>
      <c r="F1062" s="9"/>
      <c r="G1062" s="120"/>
      <c r="H1062" s="120"/>
      <c r="I1062" s="120"/>
      <c r="J1062" s="9"/>
      <c r="K1062" s="9"/>
      <c r="L1062" s="9"/>
      <c r="M1062" s="120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</row>
    <row r="1063" ht="15.75" customHeight="1">
      <c r="A1063" s="9"/>
      <c r="B1063" s="119"/>
      <c r="C1063" s="119"/>
      <c r="D1063" s="9"/>
      <c r="E1063" s="9"/>
      <c r="F1063" s="9"/>
      <c r="G1063" s="120"/>
      <c r="H1063" s="120"/>
      <c r="I1063" s="120"/>
      <c r="J1063" s="9"/>
      <c r="K1063" s="9"/>
      <c r="L1063" s="9"/>
      <c r="M1063" s="120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</row>
    <row r="1064" ht="15.75" customHeight="1">
      <c r="A1064" s="9"/>
      <c r="B1064" s="119"/>
      <c r="C1064" s="119"/>
      <c r="D1064" s="9"/>
      <c r="E1064" s="9"/>
      <c r="F1064" s="9"/>
      <c r="G1064" s="120"/>
      <c r="H1064" s="120"/>
      <c r="I1064" s="120"/>
      <c r="J1064" s="9"/>
      <c r="K1064" s="9"/>
      <c r="L1064" s="9"/>
      <c r="M1064" s="120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</row>
    <row r="1065" ht="15.75" customHeight="1">
      <c r="A1065" s="9"/>
      <c r="B1065" s="119"/>
      <c r="C1065" s="119"/>
      <c r="D1065" s="9"/>
      <c r="E1065" s="9"/>
      <c r="F1065" s="9"/>
      <c r="G1065" s="120"/>
      <c r="H1065" s="120"/>
      <c r="I1065" s="120"/>
      <c r="J1065" s="9"/>
      <c r="K1065" s="9"/>
      <c r="L1065" s="9"/>
      <c r="M1065" s="120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</row>
    <row r="1066" ht="15.75" customHeight="1">
      <c r="A1066" s="9"/>
      <c r="B1066" s="119"/>
      <c r="C1066" s="119"/>
      <c r="D1066" s="9"/>
      <c r="E1066" s="9"/>
      <c r="F1066" s="9"/>
      <c r="G1066" s="120"/>
      <c r="H1066" s="120"/>
      <c r="I1066" s="120"/>
      <c r="J1066" s="9"/>
      <c r="K1066" s="9"/>
      <c r="L1066" s="9"/>
      <c r="M1066" s="120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</row>
    <row r="1067" ht="15.75" customHeight="1">
      <c r="A1067" s="9"/>
      <c r="B1067" s="119"/>
      <c r="C1067" s="119"/>
      <c r="D1067" s="9"/>
      <c r="E1067" s="9"/>
      <c r="F1067" s="9"/>
      <c r="G1067" s="120"/>
      <c r="H1067" s="120"/>
      <c r="I1067" s="120"/>
      <c r="J1067" s="9"/>
      <c r="K1067" s="9"/>
      <c r="L1067" s="9"/>
      <c r="M1067" s="120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</row>
    <row r="1068" ht="15.75" customHeight="1">
      <c r="A1068" s="9"/>
      <c r="B1068" s="119"/>
      <c r="C1068" s="119"/>
      <c r="D1068" s="9"/>
      <c r="E1068" s="9"/>
      <c r="F1068" s="9"/>
      <c r="G1068" s="120"/>
      <c r="H1068" s="120"/>
      <c r="I1068" s="120"/>
      <c r="J1068" s="9"/>
      <c r="K1068" s="9"/>
      <c r="L1068" s="9"/>
      <c r="M1068" s="120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</row>
    <row r="1069" ht="15.75" customHeight="1">
      <c r="A1069" s="9"/>
      <c r="B1069" s="119"/>
      <c r="C1069" s="119"/>
      <c r="D1069" s="9"/>
      <c r="E1069" s="9"/>
      <c r="F1069" s="9"/>
      <c r="G1069" s="120"/>
      <c r="H1069" s="120"/>
      <c r="I1069" s="120"/>
      <c r="J1069" s="9"/>
      <c r="K1069" s="9"/>
      <c r="L1069" s="9"/>
      <c r="M1069" s="120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</row>
    <row r="1070" ht="15.75" customHeight="1">
      <c r="A1070" s="9"/>
      <c r="B1070" s="119"/>
      <c r="C1070" s="119"/>
      <c r="D1070" s="9"/>
      <c r="E1070" s="9"/>
      <c r="F1070" s="9"/>
      <c r="G1070" s="120"/>
      <c r="H1070" s="120"/>
      <c r="I1070" s="120"/>
      <c r="J1070" s="9"/>
      <c r="K1070" s="9"/>
      <c r="L1070" s="9"/>
      <c r="M1070" s="120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</row>
    <row r="1071" ht="15.75" customHeight="1">
      <c r="A1071" s="9"/>
      <c r="B1071" s="119"/>
      <c r="C1071" s="119"/>
      <c r="D1071" s="9"/>
      <c r="E1071" s="9"/>
      <c r="F1071" s="9"/>
      <c r="G1071" s="120"/>
      <c r="H1071" s="120"/>
      <c r="I1071" s="120"/>
      <c r="J1071" s="9"/>
      <c r="K1071" s="9"/>
      <c r="L1071" s="9"/>
      <c r="M1071" s="120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</row>
    <row r="1072" ht="15.75" customHeight="1">
      <c r="A1072" s="9"/>
      <c r="B1072" s="119"/>
      <c r="C1072" s="119"/>
      <c r="D1072" s="9"/>
      <c r="E1072" s="9"/>
      <c r="F1072" s="9"/>
      <c r="G1072" s="120"/>
      <c r="H1072" s="120"/>
      <c r="I1072" s="120"/>
      <c r="J1072" s="9"/>
      <c r="K1072" s="9"/>
      <c r="L1072" s="9"/>
      <c r="M1072" s="120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</row>
    <row r="1073" ht="15.75" customHeight="1">
      <c r="A1073" s="9"/>
      <c r="B1073" s="119"/>
      <c r="C1073" s="119"/>
      <c r="D1073" s="9"/>
      <c r="E1073" s="9"/>
      <c r="F1073" s="9"/>
      <c r="G1073" s="120"/>
      <c r="H1073" s="120"/>
      <c r="I1073" s="120"/>
      <c r="J1073" s="9"/>
      <c r="K1073" s="9"/>
      <c r="L1073" s="9"/>
      <c r="M1073" s="120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</row>
    <row r="1074" ht="15.75" customHeight="1">
      <c r="A1074" s="9"/>
      <c r="B1074" s="119"/>
      <c r="C1074" s="119"/>
      <c r="D1074" s="9"/>
      <c r="E1074" s="9"/>
      <c r="F1074" s="9"/>
      <c r="G1074" s="120"/>
      <c r="H1074" s="120"/>
      <c r="I1074" s="120"/>
      <c r="J1074" s="9"/>
      <c r="K1074" s="9"/>
      <c r="L1074" s="9"/>
      <c r="M1074" s="120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</row>
    <row r="1075" ht="15.75" customHeight="1">
      <c r="A1075" s="9"/>
      <c r="B1075" s="119"/>
      <c r="C1075" s="119"/>
      <c r="D1075" s="9"/>
      <c r="E1075" s="9"/>
      <c r="F1075" s="9"/>
      <c r="G1075" s="120"/>
      <c r="H1075" s="120"/>
      <c r="I1075" s="120"/>
      <c r="J1075" s="9"/>
      <c r="K1075" s="9"/>
      <c r="L1075" s="9"/>
      <c r="M1075" s="120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</row>
    <row r="1076" ht="15.75" customHeight="1">
      <c r="A1076" s="9"/>
      <c r="B1076" s="119"/>
      <c r="C1076" s="119"/>
      <c r="D1076" s="9"/>
      <c r="E1076" s="9"/>
      <c r="F1076" s="9"/>
      <c r="G1076" s="120"/>
      <c r="H1076" s="120"/>
      <c r="I1076" s="120"/>
      <c r="J1076" s="9"/>
      <c r="K1076" s="9"/>
      <c r="L1076" s="9"/>
      <c r="M1076" s="120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</row>
    <row r="1077" ht="15.75" customHeight="1">
      <c r="A1077" s="9"/>
      <c r="B1077" s="119"/>
      <c r="C1077" s="119"/>
      <c r="D1077" s="9"/>
      <c r="E1077" s="9"/>
      <c r="F1077" s="9"/>
      <c r="G1077" s="120"/>
      <c r="H1077" s="120"/>
      <c r="I1077" s="120"/>
      <c r="J1077" s="9"/>
      <c r="K1077" s="9"/>
      <c r="L1077" s="9"/>
      <c r="M1077" s="120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</row>
    <row r="1078" ht="15.75" customHeight="1">
      <c r="A1078" s="9"/>
      <c r="B1078" s="119"/>
      <c r="C1078" s="119"/>
      <c r="D1078" s="9"/>
      <c r="E1078" s="9"/>
      <c r="F1078" s="9"/>
      <c r="G1078" s="120"/>
      <c r="H1078" s="120"/>
      <c r="I1078" s="120"/>
      <c r="J1078" s="9"/>
      <c r="K1078" s="9"/>
      <c r="L1078" s="9"/>
      <c r="M1078" s="120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</row>
    <row r="1079" ht="15.75" customHeight="1">
      <c r="A1079" s="9"/>
      <c r="B1079" s="119"/>
      <c r="C1079" s="119"/>
      <c r="D1079" s="9"/>
      <c r="E1079" s="9"/>
      <c r="F1079" s="9"/>
      <c r="G1079" s="120"/>
      <c r="H1079" s="120"/>
      <c r="I1079" s="120"/>
      <c r="J1079" s="9"/>
      <c r="K1079" s="9"/>
      <c r="L1079" s="9"/>
      <c r="M1079" s="120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</row>
    <row r="1080" ht="15.75" customHeight="1">
      <c r="A1080" s="9"/>
      <c r="B1080" s="119"/>
      <c r="C1080" s="119"/>
      <c r="D1080" s="9"/>
      <c r="E1080" s="9"/>
      <c r="F1080" s="9"/>
      <c r="G1080" s="120"/>
      <c r="H1080" s="120"/>
      <c r="I1080" s="120"/>
      <c r="J1080" s="9"/>
      <c r="K1080" s="9"/>
      <c r="L1080" s="9"/>
      <c r="M1080" s="120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</row>
    <row r="1081" ht="15.75" customHeight="1">
      <c r="A1081" s="9"/>
      <c r="B1081" s="119"/>
      <c r="C1081" s="119"/>
      <c r="D1081" s="9"/>
      <c r="E1081" s="9"/>
      <c r="F1081" s="9"/>
      <c r="G1081" s="120"/>
      <c r="H1081" s="120"/>
      <c r="I1081" s="120"/>
      <c r="J1081" s="9"/>
      <c r="K1081" s="9"/>
      <c r="L1081" s="9"/>
      <c r="M1081" s="120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</row>
    <row r="1082" ht="15.75" customHeight="1">
      <c r="A1082" s="9"/>
      <c r="B1082" s="119"/>
      <c r="C1082" s="119"/>
      <c r="D1082" s="9"/>
      <c r="E1082" s="9"/>
      <c r="F1082" s="9"/>
      <c r="G1082" s="120"/>
      <c r="H1082" s="120"/>
      <c r="I1082" s="120"/>
      <c r="J1082" s="9"/>
      <c r="K1082" s="9"/>
      <c r="L1082" s="9"/>
      <c r="M1082" s="120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</row>
    <row r="1083" ht="15.75" customHeight="1">
      <c r="A1083" s="9"/>
      <c r="B1083" s="119"/>
      <c r="C1083" s="119"/>
      <c r="D1083" s="9"/>
      <c r="E1083" s="9"/>
      <c r="F1083" s="9"/>
      <c r="G1083" s="120"/>
      <c r="H1083" s="120"/>
      <c r="I1083" s="120"/>
      <c r="J1083" s="9"/>
      <c r="K1083" s="9"/>
      <c r="L1083" s="9"/>
      <c r="M1083" s="120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</row>
    <row r="1084" ht="15.75" customHeight="1">
      <c r="A1084" s="9"/>
      <c r="B1084" s="119"/>
      <c r="C1084" s="119"/>
      <c r="D1084" s="9"/>
      <c r="E1084" s="9"/>
      <c r="F1084" s="9"/>
      <c r="G1084" s="120"/>
      <c r="H1084" s="120"/>
      <c r="I1084" s="120"/>
      <c r="J1084" s="9"/>
      <c r="K1084" s="9"/>
      <c r="L1084" s="9"/>
      <c r="M1084" s="120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</row>
    <row r="1085" ht="15.75" customHeight="1">
      <c r="A1085" s="9"/>
      <c r="B1085" s="119"/>
      <c r="C1085" s="119"/>
      <c r="D1085" s="9"/>
      <c r="E1085" s="9"/>
      <c r="F1085" s="9"/>
      <c r="G1085" s="120"/>
      <c r="H1085" s="120"/>
      <c r="I1085" s="120"/>
      <c r="J1085" s="9"/>
      <c r="K1085" s="9"/>
      <c r="L1085" s="9"/>
      <c r="M1085" s="120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</row>
    <row r="1086" ht="15.75" customHeight="1">
      <c r="A1086" s="9"/>
      <c r="B1086" s="119"/>
      <c r="C1086" s="119"/>
      <c r="D1086" s="9"/>
      <c r="E1086" s="9"/>
      <c r="F1086" s="9"/>
      <c r="G1086" s="120"/>
      <c r="H1086" s="120"/>
      <c r="I1086" s="120"/>
      <c r="J1086" s="9"/>
      <c r="K1086" s="9"/>
      <c r="L1086" s="9"/>
      <c r="M1086" s="120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</row>
    <row r="1087" ht="15.75" customHeight="1">
      <c r="A1087" s="9"/>
      <c r="B1087" s="119"/>
      <c r="C1087" s="119"/>
      <c r="D1087" s="9"/>
      <c r="E1087" s="9"/>
      <c r="F1087" s="9"/>
      <c r="G1087" s="120"/>
      <c r="H1087" s="120"/>
      <c r="I1087" s="120"/>
      <c r="J1087" s="9"/>
      <c r="K1087" s="9"/>
      <c r="L1087" s="9"/>
      <c r="M1087" s="120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</row>
    <row r="1088" ht="15.75" customHeight="1">
      <c r="A1088" s="9"/>
      <c r="B1088" s="119"/>
      <c r="C1088" s="119"/>
      <c r="D1088" s="9"/>
      <c r="E1088" s="9"/>
      <c r="F1088" s="9"/>
      <c r="G1088" s="120"/>
      <c r="H1088" s="120"/>
      <c r="I1088" s="120"/>
      <c r="J1088" s="9"/>
      <c r="K1088" s="9"/>
      <c r="L1088" s="9"/>
      <c r="M1088" s="120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</row>
    <row r="1089" ht="15.75" customHeight="1">
      <c r="A1089" s="9"/>
      <c r="B1089" s="119"/>
      <c r="C1089" s="119"/>
      <c r="D1089" s="9"/>
      <c r="E1089" s="9"/>
      <c r="F1089" s="9"/>
      <c r="G1089" s="120"/>
      <c r="H1089" s="120"/>
      <c r="I1089" s="120"/>
      <c r="J1089" s="9"/>
      <c r="K1089" s="9"/>
      <c r="L1089" s="9"/>
      <c r="M1089" s="120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</row>
    <row r="1090" ht="15.75" customHeight="1">
      <c r="A1090" s="9"/>
      <c r="B1090" s="119"/>
      <c r="C1090" s="119"/>
      <c r="D1090" s="9"/>
      <c r="E1090" s="9"/>
      <c r="F1090" s="9"/>
      <c r="G1090" s="120"/>
      <c r="H1090" s="120"/>
      <c r="I1090" s="120"/>
      <c r="J1090" s="9"/>
      <c r="K1090" s="9"/>
      <c r="L1090" s="9"/>
      <c r="M1090" s="120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</row>
    <row r="1091" ht="15.75" customHeight="1">
      <c r="A1091" s="9"/>
      <c r="B1091" s="119"/>
      <c r="C1091" s="119"/>
      <c r="D1091" s="9"/>
      <c r="E1091" s="9"/>
      <c r="F1091" s="9"/>
      <c r="G1091" s="120"/>
      <c r="H1091" s="120"/>
      <c r="I1091" s="120"/>
      <c r="J1091" s="9"/>
      <c r="K1091" s="9"/>
      <c r="L1091" s="9"/>
      <c r="M1091" s="120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</row>
    <row r="1092" ht="15.75" customHeight="1">
      <c r="A1092" s="9"/>
      <c r="B1092" s="119"/>
      <c r="C1092" s="119"/>
      <c r="D1092" s="9"/>
      <c r="E1092" s="9"/>
      <c r="F1092" s="9"/>
      <c r="G1092" s="120"/>
      <c r="H1092" s="120"/>
      <c r="I1092" s="120"/>
      <c r="J1092" s="9"/>
      <c r="K1092" s="9"/>
      <c r="L1092" s="9"/>
      <c r="M1092" s="120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</row>
    <row r="1093" ht="15.75" customHeight="1">
      <c r="A1093" s="9"/>
      <c r="B1093" s="119"/>
      <c r="C1093" s="119"/>
      <c r="D1093" s="9"/>
      <c r="E1093" s="9"/>
      <c r="F1093" s="9"/>
      <c r="G1093" s="120"/>
      <c r="H1093" s="120"/>
      <c r="I1093" s="120"/>
      <c r="J1093" s="9"/>
      <c r="K1093" s="9"/>
      <c r="L1093" s="9"/>
      <c r="M1093" s="120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</row>
    <row r="1094" ht="15.75" customHeight="1">
      <c r="A1094" s="9"/>
      <c r="B1094" s="119"/>
      <c r="C1094" s="119"/>
      <c r="D1094" s="9"/>
      <c r="E1094" s="9"/>
      <c r="F1094" s="9"/>
      <c r="G1094" s="120"/>
      <c r="H1094" s="120"/>
      <c r="I1094" s="120"/>
      <c r="J1094" s="9"/>
      <c r="K1094" s="9"/>
      <c r="L1094" s="9"/>
      <c r="M1094" s="120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</row>
    <row r="1095" ht="15.75" customHeight="1">
      <c r="A1095" s="9"/>
      <c r="B1095" s="119"/>
      <c r="C1095" s="119"/>
      <c r="D1095" s="9"/>
      <c r="E1095" s="9"/>
      <c r="F1095" s="9"/>
      <c r="G1095" s="120"/>
      <c r="H1095" s="120"/>
      <c r="I1095" s="120"/>
      <c r="J1095" s="9"/>
      <c r="K1095" s="9"/>
      <c r="L1095" s="9"/>
      <c r="M1095" s="120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</row>
    <row r="1096" ht="15.75" customHeight="1">
      <c r="A1096" s="9"/>
      <c r="B1096" s="119"/>
      <c r="C1096" s="119"/>
      <c r="D1096" s="9"/>
      <c r="E1096" s="9"/>
      <c r="F1096" s="9"/>
      <c r="G1096" s="120"/>
      <c r="H1096" s="120"/>
      <c r="I1096" s="120"/>
      <c r="J1096" s="9"/>
      <c r="K1096" s="9"/>
      <c r="L1096" s="9"/>
      <c r="M1096" s="120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</row>
    <row r="1097" ht="15.75" customHeight="1">
      <c r="A1097" s="9"/>
      <c r="B1097" s="119"/>
      <c r="C1097" s="119"/>
      <c r="D1097" s="9"/>
      <c r="E1097" s="9"/>
      <c r="F1097" s="9"/>
      <c r="G1097" s="120"/>
      <c r="H1097" s="120"/>
      <c r="I1097" s="120"/>
      <c r="J1097" s="9"/>
      <c r="K1097" s="9"/>
      <c r="L1097" s="9"/>
      <c r="M1097" s="120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</row>
    <row r="1098" ht="15.75" customHeight="1">
      <c r="A1098" s="9"/>
      <c r="B1098" s="119"/>
      <c r="C1098" s="119"/>
      <c r="D1098" s="9"/>
      <c r="E1098" s="9"/>
      <c r="F1098" s="9"/>
      <c r="G1098" s="120"/>
      <c r="H1098" s="120"/>
      <c r="I1098" s="120"/>
      <c r="J1098" s="9"/>
      <c r="K1098" s="9"/>
      <c r="L1098" s="9"/>
      <c r="M1098" s="120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</row>
    <row r="1099" ht="15.75" customHeight="1">
      <c r="A1099" s="9"/>
      <c r="B1099" s="119"/>
      <c r="C1099" s="119"/>
      <c r="D1099" s="9"/>
      <c r="E1099" s="9"/>
      <c r="F1099" s="9"/>
      <c r="G1099" s="120"/>
      <c r="H1099" s="120"/>
      <c r="I1099" s="120"/>
      <c r="J1099" s="9"/>
      <c r="K1099" s="9"/>
      <c r="L1099" s="9"/>
      <c r="M1099" s="120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</row>
    <row r="1100" ht="15.75" customHeight="1">
      <c r="A1100" s="9"/>
      <c r="B1100" s="119"/>
      <c r="C1100" s="119"/>
      <c r="D1100" s="9"/>
      <c r="E1100" s="9"/>
      <c r="F1100" s="9"/>
      <c r="G1100" s="120"/>
      <c r="H1100" s="120"/>
      <c r="I1100" s="120"/>
      <c r="J1100" s="9"/>
      <c r="K1100" s="9"/>
      <c r="L1100" s="9"/>
      <c r="M1100" s="120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</row>
    <row r="1101" ht="15.75" customHeight="1">
      <c r="A1101" s="9"/>
      <c r="B1101" s="119"/>
      <c r="C1101" s="119"/>
      <c r="D1101" s="9"/>
      <c r="E1101" s="9"/>
      <c r="F1101" s="9"/>
      <c r="G1101" s="120"/>
      <c r="H1101" s="120"/>
      <c r="I1101" s="120"/>
      <c r="J1101" s="9"/>
      <c r="K1101" s="9"/>
      <c r="L1101" s="9"/>
      <c r="M1101" s="120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</row>
    <row r="1102" ht="15.75" customHeight="1">
      <c r="A1102" s="9"/>
      <c r="B1102" s="119"/>
      <c r="C1102" s="119"/>
      <c r="D1102" s="9"/>
      <c r="E1102" s="9"/>
      <c r="F1102" s="9"/>
      <c r="G1102" s="120"/>
      <c r="H1102" s="120"/>
      <c r="I1102" s="120"/>
      <c r="J1102" s="9"/>
      <c r="K1102" s="9"/>
      <c r="L1102" s="9"/>
      <c r="M1102" s="120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</row>
    <row r="1103" ht="15.75" customHeight="1">
      <c r="A1103" s="9"/>
      <c r="B1103" s="119"/>
      <c r="C1103" s="119"/>
      <c r="D1103" s="9"/>
      <c r="E1103" s="9"/>
      <c r="F1103" s="9"/>
      <c r="G1103" s="120"/>
      <c r="H1103" s="120"/>
      <c r="I1103" s="120"/>
      <c r="J1103" s="9"/>
      <c r="K1103" s="9"/>
      <c r="L1103" s="9"/>
      <c r="M1103" s="120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</row>
    <row r="1104" ht="15.75" customHeight="1">
      <c r="A1104" s="9"/>
      <c r="B1104" s="119"/>
      <c r="C1104" s="119"/>
      <c r="D1104" s="9"/>
      <c r="E1104" s="9"/>
      <c r="F1104" s="9"/>
      <c r="G1104" s="120"/>
      <c r="H1104" s="120"/>
      <c r="I1104" s="120"/>
      <c r="J1104" s="9"/>
      <c r="K1104" s="9"/>
      <c r="L1104" s="9"/>
      <c r="M1104" s="120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</row>
    <row r="1105" ht="15.75" customHeight="1">
      <c r="A1105" s="9"/>
      <c r="B1105" s="119"/>
      <c r="C1105" s="119"/>
      <c r="D1105" s="9"/>
      <c r="E1105" s="9"/>
      <c r="F1105" s="9"/>
      <c r="G1105" s="120"/>
      <c r="H1105" s="120"/>
      <c r="I1105" s="120"/>
      <c r="J1105" s="9"/>
      <c r="K1105" s="9"/>
      <c r="L1105" s="9"/>
      <c r="M1105" s="120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</row>
    <row r="1106" ht="15.75" customHeight="1">
      <c r="A1106" s="9"/>
      <c r="B1106" s="119"/>
      <c r="C1106" s="119"/>
      <c r="D1106" s="9"/>
      <c r="E1106" s="9"/>
      <c r="F1106" s="9"/>
      <c r="G1106" s="120"/>
      <c r="H1106" s="120"/>
      <c r="I1106" s="120"/>
      <c r="J1106" s="9"/>
      <c r="K1106" s="9"/>
      <c r="L1106" s="9"/>
      <c r="M1106" s="120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</row>
    <row r="1107" ht="15.75" customHeight="1">
      <c r="A1107" s="9"/>
      <c r="B1107" s="119"/>
      <c r="C1107" s="119"/>
      <c r="D1107" s="9"/>
      <c r="E1107" s="9"/>
      <c r="F1107" s="9"/>
      <c r="G1107" s="120"/>
      <c r="H1107" s="120"/>
      <c r="I1107" s="120"/>
      <c r="J1107" s="9"/>
      <c r="K1107" s="9"/>
      <c r="L1107" s="9"/>
      <c r="M1107" s="120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</row>
    <row r="1108" ht="15.75" customHeight="1">
      <c r="A1108" s="9"/>
      <c r="B1108" s="119"/>
      <c r="C1108" s="119"/>
      <c r="D1108" s="9"/>
      <c r="E1108" s="9"/>
      <c r="F1108" s="9"/>
      <c r="G1108" s="120"/>
      <c r="H1108" s="120"/>
      <c r="I1108" s="120"/>
      <c r="J1108" s="9"/>
      <c r="K1108" s="9"/>
      <c r="L1108" s="9"/>
      <c r="M1108" s="120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</row>
    <row r="1109" ht="15.75" customHeight="1">
      <c r="A1109" s="9"/>
      <c r="B1109" s="119"/>
      <c r="C1109" s="119"/>
      <c r="D1109" s="9"/>
      <c r="E1109" s="9"/>
      <c r="F1109" s="9"/>
      <c r="G1109" s="120"/>
      <c r="H1109" s="120"/>
      <c r="I1109" s="120"/>
      <c r="J1109" s="9"/>
      <c r="K1109" s="9"/>
      <c r="L1109" s="9"/>
      <c r="M1109" s="120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</row>
    <row r="1110" ht="15.75" customHeight="1">
      <c r="A1110" s="9"/>
      <c r="B1110" s="119"/>
      <c r="C1110" s="119"/>
      <c r="D1110" s="9"/>
      <c r="E1110" s="9"/>
      <c r="F1110" s="9"/>
      <c r="G1110" s="120"/>
      <c r="H1110" s="120"/>
      <c r="I1110" s="120"/>
      <c r="J1110" s="9"/>
      <c r="K1110" s="9"/>
      <c r="L1110" s="9"/>
      <c r="M1110" s="120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</row>
    <row r="1111" ht="15.75" customHeight="1">
      <c r="A1111" s="9"/>
      <c r="B1111" s="119"/>
      <c r="C1111" s="119"/>
      <c r="D1111" s="9"/>
      <c r="E1111" s="9"/>
      <c r="F1111" s="9"/>
      <c r="G1111" s="120"/>
      <c r="H1111" s="120"/>
      <c r="I1111" s="120"/>
      <c r="J1111" s="9"/>
      <c r="K1111" s="9"/>
      <c r="L1111" s="9"/>
      <c r="M1111" s="120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</row>
    <row r="1112" ht="15.75" customHeight="1">
      <c r="A1112" s="9"/>
      <c r="B1112" s="119"/>
      <c r="C1112" s="119"/>
      <c r="D1112" s="9"/>
      <c r="E1112" s="9"/>
      <c r="F1112" s="9"/>
      <c r="G1112" s="120"/>
      <c r="H1112" s="120"/>
      <c r="I1112" s="120"/>
      <c r="J1112" s="9"/>
      <c r="K1112" s="9"/>
      <c r="L1112" s="9"/>
      <c r="M1112" s="120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</row>
    <row r="1113" ht="15.75" customHeight="1">
      <c r="A1113" s="9"/>
      <c r="B1113" s="119"/>
      <c r="C1113" s="119"/>
      <c r="D1113" s="9"/>
      <c r="E1113" s="9"/>
      <c r="F1113" s="9"/>
      <c r="G1113" s="120"/>
      <c r="H1113" s="120"/>
      <c r="I1113" s="120"/>
      <c r="J1113" s="9"/>
      <c r="K1113" s="9"/>
      <c r="L1113" s="9"/>
      <c r="M1113" s="120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</row>
    <row r="1114" ht="15.75" customHeight="1">
      <c r="A1114" s="9"/>
      <c r="B1114" s="119"/>
      <c r="C1114" s="119"/>
      <c r="D1114" s="9"/>
      <c r="E1114" s="9"/>
      <c r="F1114" s="9"/>
      <c r="G1114" s="120"/>
      <c r="H1114" s="120"/>
      <c r="I1114" s="120"/>
      <c r="J1114" s="9"/>
      <c r="K1114" s="9"/>
      <c r="L1114" s="9"/>
      <c r="M1114" s="120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</row>
    <row r="1115" ht="15.75" customHeight="1">
      <c r="A1115" s="9"/>
      <c r="B1115" s="119"/>
      <c r="C1115" s="119"/>
      <c r="D1115" s="9"/>
      <c r="E1115" s="9"/>
      <c r="F1115" s="9"/>
      <c r="G1115" s="120"/>
      <c r="H1115" s="120"/>
      <c r="I1115" s="120"/>
      <c r="J1115" s="9"/>
      <c r="K1115" s="9"/>
      <c r="L1115" s="9"/>
      <c r="M1115" s="120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</row>
    <row r="1116" ht="15.75" customHeight="1">
      <c r="A1116" s="9"/>
      <c r="B1116" s="119"/>
      <c r="C1116" s="119"/>
      <c r="D1116" s="9"/>
      <c r="E1116" s="9"/>
      <c r="F1116" s="9"/>
      <c r="G1116" s="120"/>
      <c r="H1116" s="120"/>
      <c r="I1116" s="120"/>
      <c r="J1116" s="9"/>
      <c r="K1116" s="9"/>
      <c r="L1116" s="9"/>
      <c r="M1116" s="120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</row>
    <row r="1117" ht="15.75" customHeight="1">
      <c r="A1117" s="9"/>
      <c r="B1117" s="119"/>
      <c r="C1117" s="119"/>
      <c r="D1117" s="9"/>
      <c r="E1117" s="9"/>
      <c r="F1117" s="9"/>
      <c r="G1117" s="120"/>
      <c r="H1117" s="120"/>
      <c r="I1117" s="120"/>
      <c r="J1117" s="9"/>
      <c r="K1117" s="9"/>
      <c r="L1117" s="9"/>
      <c r="M1117" s="120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</row>
    <row r="1118" ht="15.75" customHeight="1">
      <c r="A1118" s="9"/>
      <c r="B1118" s="119"/>
      <c r="C1118" s="119"/>
      <c r="D1118" s="9"/>
      <c r="E1118" s="9"/>
      <c r="F1118" s="9"/>
      <c r="G1118" s="120"/>
      <c r="H1118" s="120"/>
      <c r="I1118" s="120"/>
      <c r="J1118" s="9"/>
      <c r="K1118" s="9"/>
      <c r="L1118" s="9"/>
      <c r="M1118" s="120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</row>
    <row r="1119" ht="15.75" customHeight="1">
      <c r="A1119" s="9"/>
      <c r="B1119" s="119"/>
      <c r="C1119" s="119"/>
      <c r="D1119" s="9"/>
      <c r="E1119" s="9"/>
      <c r="F1119" s="9"/>
      <c r="G1119" s="120"/>
      <c r="H1119" s="120"/>
      <c r="I1119" s="120"/>
      <c r="J1119" s="9"/>
      <c r="K1119" s="9"/>
      <c r="L1119" s="9"/>
      <c r="M1119" s="120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</row>
    <row r="1120" ht="15.75" customHeight="1">
      <c r="A1120" s="9"/>
      <c r="B1120" s="119"/>
      <c r="C1120" s="119"/>
      <c r="D1120" s="9"/>
      <c r="E1120" s="9"/>
      <c r="F1120" s="9"/>
      <c r="G1120" s="120"/>
      <c r="H1120" s="120"/>
      <c r="I1120" s="120"/>
      <c r="J1120" s="9"/>
      <c r="K1120" s="9"/>
      <c r="L1120" s="9"/>
      <c r="M1120" s="120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</row>
    <row r="1121" ht="15.75" customHeight="1">
      <c r="A1121" s="9"/>
      <c r="B1121" s="119"/>
      <c r="C1121" s="119"/>
      <c r="D1121" s="9"/>
      <c r="E1121" s="9"/>
      <c r="F1121" s="9"/>
      <c r="G1121" s="120"/>
      <c r="H1121" s="120"/>
      <c r="I1121" s="120"/>
      <c r="J1121" s="9"/>
      <c r="K1121" s="9"/>
      <c r="L1121" s="9"/>
      <c r="M1121" s="120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</row>
    <row r="1122" ht="15.75" customHeight="1">
      <c r="A1122" s="9"/>
      <c r="B1122" s="119"/>
      <c r="C1122" s="119"/>
      <c r="D1122" s="9"/>
      <c r="E1122" s="9"/>
      <c r="F1122" s="9"/>
      <c r="G1122" s="120"/>
      <c r="H1122" s="120"/>
      <c r="I1122" s="120"/>
      <c r="J1122" s="9"/>
      <c r="K1122" s="9"/>
      <c r="L1122" s="9"/>
      <c r="M1122" s="120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</row>
    <row r="1123" ht="15.75" customHeight="1">
      <c r="A1123" s="9"/>
      <c r="B1123" s="119"/>
      <c r="C1123" s="119"/>
      <c r="D1123" s="9"/>
      <c r="E1123" s="9"/>
      <c r="F1123" s="9"/>
      <c r="G1123" s="120"/>
      <c r="H1123" s="120"/>
      <c r="I1123" s="120"/>
      <c r="J1123" s="9"/>
      <c r="K1123" s="9"/>
      <c r="L1123" s="9"/>
      <c r="M1123" s="120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</row>
    <row r="1124" ht="15.75" customHeight="1">
      <c r="A1124" s="9"/>
      <c r="B1124" s="119"/>
      <c r="C1124" s="119"/>
      <c r="D1124" s="9"/>
      <c r="E1124" s="9"/>
      <c r="F1124" s="9"/>
      <c r="G1124" s="120"/>
      <c r="H1124" s="120"/>
      <c r="I1124" s="120"/>
      <c r="J1124" s="9"/>
      <c r="K1124" s="9"/>
      <c r="L1124" s="9"/>
      <c r="M1124" s="120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</row>
    <row r="1125" ht="15.75" customHeight="1">
      <c r="A1125" s="9"/>
      <c r="B1125" s="119"/>
      <c r="C1125" s="119"/>
      <c r="D1125" s="9"/>
      <c r="E1125" s="9"/>
      <c r="F1125" s="9"/>
      <c r="G1125" s="120"/>
      <c r="H1125" s="120"/>
      <c r="I1125" s="120"/>
      <c r="J1125" s="9"/>
      <c r="K1125" s="9"/>
      <c r="L1125" s="9"/>
      <c r="M1125" s="120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</row>
    <row r="1126" ht="15.75" customHeight="1">
      <c r="A1126" s="9"/>
      <c r="B1126" s="119"/>
      <c r="C1126" s="119"/>
      <c r="D1126" s="9"/>
      <c r="E1126" s="9"/>
      <c r="F1126" s="9"/>
      <c r="G1126" s="120"/>
      <c r="H1126" s="120"/>
      <c r="I1126" s="120"/>
      <c r="J1126" s="9"/>
      <c r="K1126" s="9"/>
      <c r="L1126" s="9"/>
      <c r="M1126" s="120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</row>
    <row r="1127" ht="15.75" customHeight="1">
      <c r="A1127" s="9"/>
      <c r="B1127" s="119"/>
      <c r="C1127" s="119"/>
      <c r="D1127" s="9"/>
      <c r="E1127" s="9"/>
      <c r="F1127" s="9"/>
      <c r="G1127" s="120"/>
      <c r="H1127" s="120"/>
      <c r="I1127" s="120"/>
      <c r="J1127" s="9"/>
      <c r="K1127" s="9"/>
      <c r="L1127" s="9"/>
      <c r="M1127" s="120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</row>
    <row r="1128" ht="15.75" customHeight="1">
      <c r="A1128" s="9"/>
      <c r="B1128" s="119"/>
      <c r="C1128" s="119"/>
      <c r="D1128" s="9"/>
      <c r="E1128" s="9"/>
      <c r="F1128" s="9"/>
      <c r="G1128" s="120"/>
      <c r="H1128" s="120"/>
      <c r="I1128" s="120"/>
      <c r="J1128" s="9"/>
      <c r="K1128" s="9"/>
      <c r="L1128" s="9"/>
      <c r="M1128" s="120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</row>
    <row r="1129" ht="15.75" customHeight="1">
      <c r="A1129" s="9"/>
      <c r="B1129" s="119"/>
      <c r="C1129" s="119"/>
      <c r="D1129" s="9"/>
      <c r="E1129" s="9"/>
      <c r="F1129" s="9"/>
      <c r="G1129" s="120"/>
      <c r="H1129" s="120"/>
      <c r="I1129" s="120"/>
      <c r="J1129" s="9"/>
      <c r="K1129" s="9"/>
      <c r="L1129" s="9"/>
      <c r="M1129" s="120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</row>
    <row r="1130" ht="15.75" customHeight="1">
      <c r="A1130" s="9"/>
      <c r="B1130" s="119"/>
      <c r="C1130" s="119"/>
      <c r="D1130" s="9"/>
      <c r="E1130" s="9"/>
      <c r="F1130" s="9"/>
      <c r="G1130" s="120"/>
      <c r="H1130" s="120"/>
      <c r="I1130" s="120"/>
      <c r="J1130" s="9"/>
      <c r="K1130" s="9"/>
      <c r="L1130" s="9"/>
      <c r="M1130" s="120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</row>
    <row r="1131" ht="15.75" customHeight="1">
      <c r="A1131" s="9"/>
      <c r="B1131" s="119"/>
      <c r="C1131" s="119"/>
      <c r="D1131" s="9"/>
      <c r="E1131" s="9"/>
      <c r="F1131" s="9"/>
      <c r="G1131" s="120"/>
      <c r="H1131" s="120"/>
      <c r="I1131" s="120"/>
      <c r="J1131" s="9"/>
      <c r="K1131" s="9"/>
      <c r="L1131" s="9"/>
      <c r="M1131" s="120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</row>
    <row r="1132" ht="15.75" customHeight="1">
      <c r="A1132" s="9"/>
      <c r="B1132" s="119"/>
      <c r="C1132" s="119"/>
      <c r="D1132" s="9"/>
      <c r="E1132" s="9"/>
      <c r="F1132" s="9"/>
      <c r="G1132" s="120"/>
      <c r="H1132" s="120"/>
      <c r="I1132" s="120"/>
      <c r="J1132" s="9"/>
      <c r="K1132" s="9"/>
      <c r="L1132" s="9"/>
      <c r="M1132" s="120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</row>
    <row r="1133" ht="15.75" customHeight="1">
      <c r="A1133" s="9"/>
      <c r="B1133" s="119"/>
      <c r="C1133" s="119"/>
      <c r="D1133" s="9"/>
      <c r="E1133" s="9"/>
      <c r="F1133" s="9"/>
      <c r="G1133" s="120"/>
      <c r="H1133" s="120"/>
      <c r="I1133" s="120"/>
      <c r="J1133" s="9"/>
      <c r="K1133" s="9"/>
      <c r="L1133" s="9"/>
      <c r="M1133" s="120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</row>
    <row r="1134" ht="15.75" customHeight="1">
      <c r="A1134" s="9"/>
      <c r="B1134" s="119"/>
      <c r="C1134" s="119"/>
      <c r="D1134" s="9"/>
      <c r="E1134" s="9"/>
      <c r="F1134" s="9"/>
      <c r="G1134" s="120"/>
      <c r="H1134" s="120"/>
      <c r="I1134" s="120"/>
      <c r="J1134" s="9"/>
      <c r="K1134" s="9"/>
      <c r="L1134" s="9"/>
      <c r="M1134" s="120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</row>
    <row r="1135" ht="15.75" customHeight="1">
      <c r="A1135" s="9"/>
      <c r="B1135" s="119"/>
      <c r="C1135" s="119"/>
      <c r="D1135" s="9"/>
      <c r="E1135" s="9"/>
      <c r="F1135" s="9"/>
      <c r="G1135" s="120"/>
      <c r="H1135" s="120"/>
      <c r="I1135" s="120"/>
      <c r="J1135" s="9"/>
      <c r="K1135" s="9"/>
      <c r="L1135" s="9"/>
      <c r="M1135" s="120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</row>
    <row r="1136" ht="15.75" customHeight="1">
      <c r="A1136" s="9"/>
      <c r="B1136" s="119"/>
      <c r="C1136" s="119"/>
      <c r="D1136" s="9"/>
      <c r="E1136" s="9"/>
      <c r="F1136" s="9"/>
      <c r="G1136" s="120"/>
      <c r="H1136" s="120"/>
      <c r="I1136" s="120"/>
      <c r="J1136" s="9"/>
      <c r="K1136" s="9"/>
      <c r="L1136" s="9"/>
      <c r="M1136" s="120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</row>
    <row r="1137" ht="15.75" customHeight="1">
      <c r="A1137" s="9"/>
      <c r="B1137" s="119"/>
      <c r="C1137" s="119"/>
      <c r="D1137" s="9"/>
      <c r="E1137" s="9"/>
      <c r="F1137" s="9"/>
      <c r="G1137" s="120"/>
      <c r="H1137" s="120"/>
      <c r="I1137" s="120"/>
      <c r="J1137" s="9"/>
      <c r="K1137" s="9"/>
      <c r="L1137" s="9"/>
      <c r="M1137" s="120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</row>
    <row r="1138" ht="15.75" customHeight="1">
      <c r="A1138" s="9"/>
      <c r="B1138" s="119"/>
      <c r="C1138" s="119"/>
      <c r="D1138" s="9"/>
      <c r="E1138" s="9"/>
      <c r="F1138" s="9"/>
      <c r="G1138" s="120"/>
      <c r="H1138" s="120"/>
      <c r="I1138" s="120"/>
      <c r="J1138" s="9"/>
      <c r="K1138" s="9"/>
      <c r="L1138" s="9"/>
      <c r="M1138" s="120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</row>
    <row r="1139" ht="15.75" customHeight="1">
      <c r="A1139" s="9"/>
      <c r="B1139" s="119"/>
      <c r="C1139" s="119"/>
      <c r="D1139" s="9"/>
      <c r="E1139" s="9"/>
      <c r="F1139" s="9"/>
      <c r="G1139" s="120"/>
      <c r="H1139" s="120"/>
      <c r="I1139" s="120"/>
      <c r="J1139" s="9"/>
      <c r="K1139" s="9"/>
      <c r="L1139" s="9"/>
      <c r="M1139" s="120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</row>
    <row r="1140" ht="15.75" customHeight="1">
      <c r="A1140" s="9"/>
      <c r="B1140" s="119"/>
      <c r="C1140" s="119"/>
      <c r="D1140" s="9"/>
      <c r="E1140" s="9"/>
      <c r="F1140" s="9"/>
      <c r="G1140" s="120"/>
      <c r="H1140" s="120"/>
      <c r="I1140" s="120"/>
      <c r="J1140" s="9"/>
      <c r="K1140" s="9"/>
      <c r="L1140" s="9"/>
      <c r="M1140" s="120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</row>
    <row r="1141" ht="15.75" customHeight="1">
      <c r="A1141" s="9"/>
      <c r="B1141" s="119"/>
      <c r="C1141" s="119"/>
      <c r="D1141" s="9"/>
      <c r="E1141" s="9"/>
      <c r="F1141" s="9"/>
      <c r="G1141" s="120"/>
      <c r="H1141" s="120"/>
      <c r="I1141" s="120"/>
      <c r="J1141" s="9"/>
      <c r="K1141" s="9"/>
      <c r="L1141" s="9"/>
      <c r="M1141" s="120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</row>
    <row r="1142" ht="15.75" customHeight="1">
      <c r="A1142" s="9"/>
      <c r="B1142" s="119"/>
      <c r="C1142" s="119"/>
      <c r="D1142" s="9"/>
      <c r="E1142" s="9"/>
      <c r="F1142" s="9"/>
      <c r="G1142" s="120"/>
      <c r="H1142" s="120"/>
      <c r="I1142" s="120"/>
      <c r="J1142" s="9"/>
      <c r="K1142" s="9"/>
      <c r="L1142" s="9"/>
      <c r="M1142" s="120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</row>
    <row r="1143" ht="15.75" customHeight="1">
      <c r="A1143" s="9"/>
      <c r="B1143" s="119"/>
      <c r="C1143" s="119"/>
      <c r="D1143" s="9"/>
      <c r="E1143" s="9"/>
      <c r="F1143" s="9"/>
      <c r="G1143" s="120"/>
      <c r="H1143" s="120"/>
      <c r="I1143" s="120"/>
      <c r="J1143" s="9"/>
      <c r="K1143" s="9"/>
      <c r="L1143" s="9"/>
      <c r="M1143" s="120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</row>
    <row r="1144" ht="15.75" customHeight="1">
      <c r="A1144" s="9"/>
      <c r="B1144" s="119"/>
      <c r="C1144" s="119"/>
      <c r="D1144" s="9"/>
      <c r="E1144" s="9"/>
      <c r="F1144" s="9"/>
      <c r="G1144" s="120"/>
      <c r="H1144" s="120"/>
      <c r="I1144" s="120"/>
      <c r="J1144" s="9"/>
      <c r="K1144" s="9"/>
      <c r="L1144" s="9"/>
      <c r="M1144" s="120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</row>
    <row r="1145" ht="15.75" customHeight="1">
      <c r="A1145" s="9"/>
      <c r="B1145" s="119"/>
      <c r="C1145" s="119"/>
      <c r="D1145" s="9"/>
      <c r="E1145" s="9"/>
      <c r="F1145" s="9"/>
      <c r="G1145" s="120"/>
      <c r="H1145" s="120"/>
      <c r="I1145" s="120"/>
      <c r="J1145" s="9"/>
      <c r="K1145" s="9"/>
      <c r="L1145" s="9"/>
      <c r="M1145" s="120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</row>
    <row r="1146" ht="15.75" customHeight="1">
      <c r="A1146" s="9"/>
      <c r="B1146" s="119"/>
      <c r="C1146" s="119"/>
      <c r="D1146" s="9"/>
      <c r="E1146" s="9"/>
      <c r="F1146" s="9"/>
      <c r="G1146" s="120"/>
      <c r="H1146" s="120"/>
      <c r="I1146" s="120"/>
      <c r="J1146" s="9"/>
      <c r="K1146" s="9"/>
      <c r="L1146" s="9"/>
      <c r="M1146" s="120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</row>
    <row r="1147" ht="15.75" customHeight="1">
      <c r="A1147" s="9"/>
      <c r="B1147" s="119"/>
      <c r="C1147" s="119"/>
      <c r="D1147" s="9"/>
      <c r="E1147" s="9"/>
      <c r="F1147" s="9"/>
      <c r="G1147" s="120"/>
      <c r="H1147" s="120"/>
      <c r="I1147" s="120"/>
      <c r="J1147" s="9"/>
      <c r="K1147" s="9"/>
      <c r="L1147" s="9"/>
      <c r="M1147" s="120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</row>
    <row r="1148" ht="15.75" customHeight="1">
      <c r="A1148" s="9"/>
      <c r="B1148" s="119"/>
      <c r="C1148" s="119"/>
      <c r="D1148" s="9"/>
      <c r="E1148" s="9"/>
      <c r="F1148" s="9"/>
      <c r="G1148" s="120"/>
      <c r="H1148" s="120"/>
      <c r="I1148" s="120"/>
      <c r="J1148" s="9"/>
      <c r="K1148" s="9"/>
      <c r="L1148" s="9"/>
      <c r="M1148" s="120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</row>
    <row r="1149" ht="15.75" customHeight="1">
      <c r="A1149" s="9"/>
      <c r="B1149" s="119"/>
      <c r="C1149" s="119"/>
      <c r="D1149" s="9"/>
      <c r="E1149" s="9"/>
      <c r="F1149" s="9"/>
      <c r="G1149" s="120"/>
      <c r="H1149" s="120"/>
      <c r="I1149" s="120"/>
      <c r="J1149" s="9"/>
      <c r="K1149" s="9"/>
      <c r="L1149" s="9"/>
      <c r="M1149" s="120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</row>
    <row r="1150" ht="15.75" customHeight="1">
      <c r="A1150" s="9"/>
      <c r="B1150" s="119"/>
      <c r="C1150" s="119"/>
      <c r="D1150" s="9"/>
      <c r="E1150" s="9"/>
      <c r="F1150" s="9"/>
      <c r="G1150" s="120"/>
      <c r="H1150" s="120"/>
      <c r="I1150" s="120"/>
      <c r="J1150" s="9"/>
      <c r="K1150" s="9"/>
      <c r="L1150" s="9"/>
      <c r="M1150" s="120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</row>
    <row r="1151" ht="15.75" customHeight="1">
      <c r="A1151" s="9"/>
      <c r="B1151" s="119"/>
      <c r="C1151" s="119"/>
      <c r="D1151" s="9"/>
      <c r="E1151" s="9"/>
      <c r="F1151" s="9"/>
      <c r="G1151" s="120"/>
      <c r="H1151" s="120"/>
      <c r="I1151" s="120"/>
      <c r="J1151" s="9"/>
      <c r="K1151" s="9"/>
      <c r="L1151" s="9"/>
      <c r="M1151" s="120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</row>
    <row r="1152" ht="15.75" customHeight="1">
      <c r="A1152" s="9"/>
      <c r="B1152" s="119"/>
      <c r="C1152" s="119"/>
      <c r="D1152" s="9"/>
      <c r="E1152" s="9"/>
      <c r="F1152" s="9"/>
      <c r="G1152" s="120"/>
      <c r="H1152" s="120"/>
      <c r="I1152" s="120"/>
      <c r="J1152" s="9"/>
      <c r="K1152" s="9"/>
      <c r="L1152" s="9"/>
      <c r="M1152" s="120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</row>
    <row r="1153" ht="15.75" customHeight="1">
      <c r="A1153" s="9"/>
      <c r="B1153" s="119"/>
      <c r="C1153" s="119"/>
      <c r="D1153" s="9"/>
      <c r="E1153" s="9"/>
      <c r="F1153" s="9"/>
      <c r="G1153" s="120"/>
      <c r="H1153" s="120"/>
      <c r="I1153" s="120"/>
      <c r="J1153" s="9"/>
      <c r="K1153" s="9"/>
      <c r="L1153" s="9"/>
      <c r="M1153" s="120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</row>
    <row r="1154" ht="15.75" customHeight="1">
      <c r="A1154" s="9"/>
      <c r="B1154" s="119"/>
      <c r="C1154" s="119"/>
      <c r="D1154" s="9"/>
      <c r="E1154" s="9"/>
      <c r="F1154" s="9"/>
      <c r="G1154" s="120"/>
      <c r="H1154" s="120"/>
      <c r="I1154" s="120"/>
      <c r="J1154" s="9"/>
      <c r="K1154" s="9"/>
      <c r="L1154" s="9"/>
      <c r="M1154" s="120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</row>
    <row r="1155" ht="15.75" customHeight="1">
      <c r="A1155" s="9"/>
      <c r="B1155" s="119"/>
      <c r="C1155" s="119"/>
      <c r="D1155" s="9"/>
      <c r="E1155" s="9"/>
      <c r="F1155" s="9"/>
      <c r="G1155" s="120"/>
      <c r="H1155" s="120"/>
      <c r="I1155" s="120"/>
      <c r="J1155" s="9"/>
      <c r="K1155" s="9"/>
      <c r="L1155" s="9"/>
      <c r="M1155" s="120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</row>
    <row r="1156" ht="15.75" customHeight="1">
      <c r="A1156" s="9"/>
      <c r="B1156" s="119"/>
      <c r="C1156" s="119"/>
      <c r="D1156" s="9"/>
      <c r="E1156" s="9"/>
      <c r="F1156" s="9"/>
      <c r="G1156" s="120"/>
      <c r="H1156" s="120"/>
      <c r="I1156" s="120"/>
      <c r="J1156" s="9"/>
      <c r="K1156" s="9"/>
      <c r="L1156" s="9"/>
      <c r="M1156" s="120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</row>
    <row r="1157" ht="15.75" customHeight="1">
      <c r="A1157" s="9"/>
      <c r="B1157" s="119"/>
      <c r="C1157" s="119"/>
      <c r="D1157" s="9"/>
      <c r="E1157" s="9"/>
      <c r="F1157" s="9"/>
      <c r="G1157" s="120"/>
      <c r="H1157" s="120"/>
      <c r="I1157" s="120"/>
      <c r="J1157" s="9"/>
      <c r="K1157" s="9"/>
      <c r="L1157" s="9"/>
      <c r="M1157" s="120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</row>
    <row r="1158" ht="15.75" customHeight="1">
      <c r="A1158" s="9"/>
      <c r="B1158" s="119"/>
      <c r="C1158" s="119"/>
      <c r="D1158" s="9"/>
      <c r="E1158" s="9"/>
      <c r="F1158" s="9"/>
      <c r="G1158" s="120"/>
      <c r="H1158" s="120"/>
      <c r="I1158" s="120"/>
      <c r="J1158" s="9"/>
      <c r="K1158" s="9"/>
      <c r="L1158" s="9"/>
      <c r="M1158" s="120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</row>
    <row r="1159" ht="15.75" customHeight="1">
      <c r="A1159" s="9"/>
      <c r="B1159" s="119"/>
      <c r="C1159" s="119"/>
      <c r="D1159" s="9"/>
      <c r="E1159" s="9"/>
      <c r="F1159" s="9"/>
      <c r="G1159" s="120"/>
      <c r="H1159" s="120"/>
      <c r="I1159" s="120"/>
      <c r="J1159" s="9"/>
      <c r="K1159" s="9"/>
      <c r="L1159" s="9"/>
      <c r="M1159" s="120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</row>
    <row r="1160" ht="15.75" customHeight="1">
      <c r="A1160" s="9"/>
      <c r="B1160" s="119"/>
      <c r="C1160" s="119"/>
      <c r="D1160" s="9"/>
      <c r="E1160" s="9"/>
      <c r="F1160" s="9"/>
      <c r="G1160" s="120"/>
      <c r="H1160" s="120"/>
      <c r="I1160" s="120"/>
      <c r="J1160" s="9"/>
      <c r="K1160" s="9"/>
      <c r="L1160" s="9"/>
      <c r="M1160" s="120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</row>
    <row r="1161" ht="15.75" customHeight="1">
      <c r="A1161" s="9"/>
      <c r="B1161" s="119"/>
      <c r="C1161" s="119"/>
      <c r="D1161" s="9"/>
      <c r="E1161" s="9"/>
      <c r="F1161" s="9"/>
      <c r="G1161" s="120"/>
      <c r="H1161" s="120"/>
      <c r="I1161" s="120"/>
      <c r="J1161" s="9"/>
      <c r="K1161" s="9"/>
      <c r="L1161" s="9"/>
      <c r="M1161" s="120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</row>
    <row r="1162" ht="15.75" customHeight="1">
      <c r="A1162" s="9"/>
      <c r="B1162" s="119"/>
      <c r="C1162" s="119"/>
      <c r="D1162" s="9"/>
      <c r="E1162" s="9"/>
      <c r="F1162" s="9"/>
      <c r="G1162" s="120"/>
      <c r="H1162" s="120"/>
      <c r="I1162" s="120"/>
      <c r="J1162" s="9"/>
      <c r="K1162" s="9"/>
      <c r="L1162" s="9"/>
      <c r="M1162" s="120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</row>
    <row r="1163" ht="15.75" customHeight="1">
      <c r="A1163" s="9"/>
      <c r="B1163" s="119"/>
      <c r="C1163" s="119"/>
      <c r="D1163" s="9"/>
      <c r="E1163" s="9"/>
      <c r="F1163" s="9"/>
      <c r="G1163" s="120"/>
      <c r="H1163" s="120"/>
      <c r="I1163" s="120"/>
      <c r="J1163" s="9"/>
      <c r="K1163" s="9"/>
      <c r="L1163" s="9"/>
      <c r="M1163" s="120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</row>
    <row r="1164" ht="15.75" customHeight="1">
      <c r="A1164" s="9"/>
      <c r="B1164" s="119"/>
      <c r="C1164" s="119"/>
      <c r="D1164" s="9"/>
      <c r="E1164" s="9"/>
      <c r="F1164" s="9"/>
      <c r="G1164" s="120"/>
      <c r="H1164" s="120"/>
      <c r="I1164" s="120"/>
      <c r="J1164" s="9"/>
      <c r="K1164" s="9"/>
      <c r="L1164" s="9"/>
      <c r="M1164" s="120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</row>
    <row r="1165" ht="15.75" customHeight="1">
      <c r="A1165" s="9"/>
      <c r="B1165" s="119"/>
      <c r="C1165" s="119"/>
      <c r="D1165" s="9"/>
      <c r="E1165" s="9"/>
      <c r="F1165" s="9"/>
      <c r="G1165" s="120"/>
      <c r="H1165" s="120"/>
      <c r="I1165" s="120"/>
      <c r="J1165" s="9"/>
      <c r="K1165" s="9"/>
      <c r="L1165" s="9"/>
      <c r="M1165" s="120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</row>
    <row r="1166" ht="15.75" customHeight="1">
      <c r="A1166" s="9"/>
      <c r="B1166" s="119"/>
      <c r="C1166" s="119"/>
      <c r="D1166" s="9"/>
      <c r="E1166" s="9"/>
      <c r="F1166" s="9"/>
      <c r="G1166" s="120"/>
      <c r="H1166" s="120"/>
      <c r="I1166" s="120"/>
      <c r="J1166" s="9"/>
      <c r="K1166" s="9"/>
      <c r="L1166" s="9"/>
      <c r="M1166" s="120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</row>
    <row r="1167" ht="15.75" customHeight="1">
      <c r="A1167" s="9"/>
      <c r="B1167" s="119"/>
      <c r="C1167" s="119"/>
      <c r="D1167" s="9"/>
      <c r="E1167" s="9"/>
      <c r="F1167" s="9"/>
      <c r="G1167" s="120"/>
      <c r="H1167" s="120"/>
      <c r="I1167" s="120"/>
      <c r="J1167" s="9"/>
      <c r="K1167" s="9"/>
      <c r="L1167" s="9"/>
      <c r="M1167" s="120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</row>
    <row r="1168" ht="15.75" customHeight="1">
      <c r="A1168" s="9"/>
      <c r="B1168" s="119"/>
      <c r="C1168" s="119"/>
      <c r="D1168" s="9"/>
      <c r="E1168" s="9"/>
      <c r="F1168" s="9"/>
      <c r="G1168" s="120"/>
      <c r="H1168" s="120"/>
      <c r="I1168" s="120"/>
      <c r="J1168" s="9"/>
      <c r="K1168" s="9"/>
      <c r="L1168" s="9"/>
      <c r="M1168" s="120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</row>
    <row r="1169" ht="15.75" customHeight="1">
      <c r="A1169" s="9"/>
      <c r="B1169" s="119"/>
      <c r="C1169" s="119"/>
      <c r="D1169" s="9"/>
      <c r="E1169" s="9"/>
      <c r="F1169" s="9"/>
      <c r="G1169" s="120"/>
      <c r="H1169" s="120"/>
      <c r="I1169" s="120"/>
      <c r="J1169" s="9"/>
      <c r="K1169" s="9"/>
      <c r="L1169" s="9"/>
      <c r="M1169" s="120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</row>
    <row r="1170" ht="15.75" customHeight="1">
      <c r="A1170" s="9"/>
      <c r="B1170" s="119"/>
      <c r="C1170" s="119"/>
      <c r="D1170" s="9"/>
      <c r="E1170" s="9"/>
      <c r="F1170" s="9"/>
      <c r="G1170" s="120"/>
      <c r="H1170" s="120"/>
      <c r="I1170" s="120"/>
      <c r="J1170" s="9"/>
      <c r="K1170" s="9"/>
      <c r="L1170" s="9"/>
      <c r="M1170" s="120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</row>
    <row r="1171" ht="15.75" customHeight="1">
      <c r="A1171" s="9"/>
      <c r="B1171" s="119"/>
      <c r="C1171" s="119"/>
      <c r="D1171" s="9"/>
      <c r="E1171" s="9"/>
      <c r="F1171" s="9"/>
      <c r="G1171" s="120"/>
      <c r="H1171" s="120"/>
      <c r="I1171" s="120"/>
      <c r="J1171" s="9"/>
      <c r="K1171" s="9"/>
      <c r="L1171" s="9"/>
      <c r="M1171" s="120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</row>
    <row r="1172" ht="15.75" customHeight="1">
      <c r="A1172" s="9"/>
      <c r="B1172" s="119"/>
      <c r="C1172" s="119"/>
      <c r="D1172" s="9"/>
      <c r="E1172" s="9"/>
      <c r="F1172" s="9"/>
      <c r="G1172" s="120"/>
      <c r="H1172" s="120"/>
      <c r="I1172" s="120"/>
      <c r="J1172" s="9"/>
      <c r="K1172" s="9"/>
      <c r="L1172" s="9"/>
      <c r="M1172" s="120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</row>
    <row r="1173" ht="15.75" customHeight="1">
      <c r="A1173" s="9"/>
      <c r="B1173" s="119"/>
      <c r="C1173" s="119"/>
      <c r="D1173" s="9"/>
      <c r="E1173" s="9"/>
      <c r="F1173" s="9"/>
      <c r="G1173" s="120"/>
      <c r="H1173" s="120"/>
      <c r="I1173" s="120"/>
      <c r="J1173" s="9"/>
      <c r="K1173" s="9"/>
      <c r="L1173" s="9"/>
      <c r="M1173" s="120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</row>
    <row r="1174" ht="15.75" customHeight="1">
      <c r="A1174" s="9"/>
      <c r="B1174" s="119"/>
      <c r="C1174" s="119"/>
      <c r="D1174" s="9"/>
      <c r="E1174" s="9"/>
      <c r="F1174" s="9"/>
      <c r="G1174" s="120"/>
      <c r="H1174" s="120"/>
      <c r="I1174" s="120"/>
      <c r="J1174" s="9"/>
      <c r="K1174" s="9"/>
      <c r="L1174" s="9"/>
      <c r="M1174" s="120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</row>
    <row r="1175" ht="15.75" customHeight="1">
      <c r="A1175" s="9"/>
      <c r="B1175" s="119"/>
      <c r="C1175" s="119"/>
      <c r="D1175" s="9"/>
      <c r="E1175" s="9"/>
      <c r="F1175" s="9"/>
      <c r="G1175" s="120"/>
      <c r="H1175" s="120"/>
      <c r="I1175" s="120"/>
      <c r="J1175" s="9"/>
      <c r="K1175" s="9"/>
      <c r="L1175" s="9"/>
      <c r="M1175" s="120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</row>
    <row r="1176" ht="15.75" customHeight="1">
      <c r="A1176" s="9"/>
      <c r="B1176" s="119"/>
      <c r="C1176" s="119"/>
      <c r="D1176" s="9"/>
      <c r="E1176" s="9"/>
      <c r="F1176" s="9"/>
      <c r="G1176" s="120"/>
      <c r="H1176" s="120"/>
      <c r="I1176" s="120"/>
      <c r="J1176" s="9"/>
      <c r="K1176" s="9"/>
      <c r="L1176" s="9"/>
      <c r="M1176" s="120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</row>
    <row r="1177" ht="15.75" customHeight="1">
      <c r="A1177" s="9"/>
      <c r="B1177" s="119"/>
      <c r="C1177" s="119"/>
      <c r="D1177" s="9"/>
      <c r="E1177" s="9"/>
      <c r="F1177" s="9"/>
      <c r="G1177" s="120"/>
      <c r="H1177" s="120"/>
      <c r="I1177" s="120"/>
      <c r="J1177" s="9"/>
      <c r="K1177" s="9"/>
      <c r="L1177" s="9"/>
      <c r="M1177" s="120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</row>
    <row r="1178" ht="15.75" customHeight="1">
      <c r="A1178" s="9"/>
      <c r="B1178" s="119"/>
      <c r="C1178" s="119"/>
      <c r="D1178" s="9"/>
      <c r="E1178" s="9"/>
      <c r="F1178" s="9"/>
      <c r="G1178" s="120"/>
      <c r="H1178" s="120"/>
      <c r="I1178" s="120"/>
      <c r="J1178" s="9"/>
      <c r="K1178" s="9"/>
      <c r="L1178" s="9"/>
      <c r="M1178" s="120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</row>
    <row r="1179" ht="15.75" customHeight="1">
      <c r="A1179" s="9"/>
      <c r="B1179" s="119"/>
      <c r="C1179" s="119"/>
      <c r="D1179" s="9"/>
      <c r="E1179" s="9"/>
      <c r="F1179" s="9"/>
      <c r="G1179" s="120"/>
      <c r="H1179" s="120"/>
      <c r="I1179" s="120"/>
      <c r="J1179" s="9"/>
      <c r="K1179" s="9"/>
      <c r="L1179" s="9"/>
      <c r="M1179" s="120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</row>
    <row r="1180" ht="15.75" customHeight="1">
      <c r="A1180" s="9"/>
      <c r="B1180" s="119"/>
      <c r="C1180" s="119"/>
      <c r="D1180" s="9"/>
      <c r="E1180" s="9"/>
      <c r="F1180" s="9"/>
      <c r="G1180" s="120"/>
      <c r="H1180" s="120"/>
      <c r="I1180" s="120"/>
      <c r="J1180" s="9"/>
      <c r="K1180" s="9"/>
      <c r="L1180" s="9"/>
      <c r="M1180" s="120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</row>
    <row r="1181" ht="15.75" customHeight="1">
      <c r="A1181" s="9"/>
      <c r="B1181" s="119"/>
      <c r="C1181" s="119"/>
      <c r="D1181" s="9"/>
      <c r="E1181" s="9"/>
      <c r="F1181" s="9"/>
      <c r="G1181" s="120"/>
      <c r="H1181" s="120"/>
      <c r="I1181" s="120"/>
      <c r="J1181" s="9"/>
      <c r="K1181" s="9"/>
      <c r="L1181" s="9"/>
      <c r="M1181" s="120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</row>
    <row r="1182" ht="15.75" customHeight="1">
      <c r="A1182" s="9"/>
      <c r="B1182" s="119"/>
      <c r="C1182" s="119"/>
      <c r="D1182" s="9"/>
      <c r="E1182" s="9"/>
      <c r="F1182" s="9"/>
      <c r="G1182" s="120"/>
      <c r="H1182" s="120"/>
      <c r="I1182" s="120"/>
      <c r="J1182" s="9"/>
      <c r="K1182" s="9"/>
      <c r="L1182" s="9"/>
      <c r="M1182" s="120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</row>
    <row r="1183" ht="15.75" customHeight="1">
      <c r="A1183" s="9"/>
      <c r="B1183" s="119"/>
      <c r="C1183" s="119"/>
      <c r="D1183" s="9"/>
      <c r="E1183" s="9"/>
      <c r="F1183" s="9"/>
      <c r="G1183" s="120"/>
      <c r="H1183" s="120"/>
      <c r="I1183" s="120"/>
      <c r="J1183" s="9"/>
      <c r="K1183" s="9"/>
      <c r="L1183" s="9"/>
      <c r="M1183" s="120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</row>
    <row r="1184" ht="15.75" customHeight="1">
      <c r="A1184" s="9"/>
      <c r="B1184" s="119"/>
      <c r="C1184" s="119"/>
      <c r="D1184" s="9"/>
      <c r="E1184" s="9"/>
      <c r="F1184" s="9"/>
      <c r="G1184" s="120"/>
      <c r="H1184" s="120"/>
      <c r="I1184" s="120"/>
      <c r="J1184" s="9"/>
      <c r="K1184" s="9"/>
      <c r="L1184" s="9"/>
      <c r="M1184" s="120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</row>
    <row r="1185" ht="15.75" customHeight="1">
      <c r="A1185" s="9"/>
      <c r="B1185" s="119"/>
      <c r="C1185" s="119"/>
      <c r="D1185" s="9"/>
      <c r="E1185" s="9"/>
      <c r="F1185" s="9"/>
      <c r="G1185" s="120"/>
      <c r="H1185" s="120"/>
      <c r="I1185" s="120"/>
      <c r="J1185" s="9"/>
      <c r="K1185" s="9"/>
      <c r="L1185" s="9"/>
      <c r="M1185" s="120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</row>
    <row r="1186" ht="15.75" customHeight="1">
      <c r="A1186" s="9"/>
      <c r="B1186" s="119"/>
      <c r="C1186" s="119"/>
      <c r="D1186" s="9"/>
      <c r="E1186" s="9"/>
      <c r="F1186" s="9"/>
      <c r="G1186" s="120"/>
      <c r="H1186" s="120"/>
      <c r="I1186" s="120"/>
      <c r="J1186" s="9"/>
      <c r="K1186" s="9"/>
      <c r="L1186" s="9"/>
      <c r="M1186" s="120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</row>
    <row r="1187" ht="15.75" customHeight="1">
      <c r="A1187" s="9"/>
      <c r="B1187" s="119"/>
      <c r="C1187" s="119"/>
      <c r="D1187" s="9"/>
      <c r="E1187" s="9"/>
      <c r="F1187" s="9"/>
      <c r="G1187" s="120"/>
      <c r="H1187" s="120"/>
      <c r="I1187" s="120"/>
      <c r="J1187" s="9"/>
      <c r="K1187" s="9"/>
      <c r="L1187" s="9"/>
      <c r="M1187" s="120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</row>
    <row r="1188" ht="15.75" customHeight="1">
      <c r="A1188" s="9"/>
      <c r="B1188" s="119"/>
      <c r="C1188" s="119"/>
      <c r="D1188" s="9"/>
      <c r="E1188" s="9"/>
      <c r="F1188" s="9"/>
      <c r="G1188" s="120"/>
      <c r="H1188" s="120"/>
      <c r="I1188" s="120"/>
      <c r="J1188" s="9"/>
      <c r="K1188" s="9"/>
      <c r="L1188" s="9"/>
      <c r="M1188" s="120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</row>
    <row r="1189" ht="15.75" customHeight="1">
      <c r="A1189" s="9"/>
      <c r="B1189" s="119"/>
      <c r="C1189" s="119"/>
      <c r="D1189" s="9"/>
      <c r="E1189" s="9"/>
      <c r="F1189" s="9"/>
      <c r="G1189" s="120"/>
      <c r="H1189" s="120"/>
      <c r="I1189" s="120"/>
      <c r="J1189" s="9"/>
      <c r="K1189" s="9"/>
      <c r="L1189" s="9"/>
      <c r="M1189" s="120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</row>
    <row r="1190" ht="15.75" customHeight="1">
      <c r="A1190" s="9"/>
      <c r="B1190" s="119"/>
      <c r="C1190" s="119"/>
      <c r="D1190" s="9"/>
      <c r="E1190" s="9"/>
      <c r="F1190" s="9"/>
      <c r="G1190" s="120"/>
      <c r="H1190" s="120"/>
      <c r="I1190" s="120"/>
      <c r="J1190" s="9"/>
      <c r="K1190" s="9"/>
      <c r="L1190" s="9"/>
      <c r="M1190" s="120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</row>
    <row r="1191" ht="15.75" customHeight="1">
      <c r="A1191" s="9"/>
      <c r="B1191" s="119"/>
      <c r="C1191" s="119"/>
      <c r="D1191" s="9"/>
      <c r="E1191" s="9"/>
      <c r="F1191" s="9"/>
      <c r="G1191" s="120"/>
      <c r="H1191" s="120"/>
      <c r="I1191" s="120"/>
      <c r="J1191" s="9"/>
      <c r="K1191" s="9"/>
      <c r="L1191" s="9"/>
      <c r="M1191" s="120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</row>
    <row r="1192" ht="15.75" customHeight="1">
      <c r="A1192" s="9"/>
      <c r="B1192" s="119"/>
      <c r="C1192" s="119"/>
      <c r="D1192" s="9"/>
      <c r="E1192" s="9"/>
      <c r="F1192" s="9"/>
      <c r="G1192" s="120"/>
      <c r="H1192" s="120"/>
      <c r="I1192" s="120"/>
      <c r="J1192" s="9"/>
      <c r="K1192" s="9"/>
      <c r="L1192" s="9"/>
      <c r="M1192" s="120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</row>
    <row r="1193" ht="15.75" customHeight="1">
      <c r="A1193" s="9"/>
      <c r="B1193" s="119"/>
      <c r="C1193" s="119"/>
      <c r="D1193" s="9"/>
      <c r="E1193" s="9"/>
      <c r="F1193" s="9"/>
      <c r="G1193" s="120"/>
      <c r="H1193" s="120"/>
      <c r="I1193" s="120"/>
      <c r="J1193" s="9"/>
      <c r="K1193" s="9"/>
      <c r="L1193" s="9"/>
      <c r="M1193" s="120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</row>
    <row r="1194" ht="15.75" customHeight="1">
      <c r="A1194" s="9"/>
      <c r="B1194" s="119"/>
      <c r="C1194" s="119"/>
      <c r="D1194" s="9"/>
      <c r="E1194" s="9"/>
      <c r="F1194" s="9"/>
      <c r="G1194" s="120"/>
      <c r="H1194" s="120"/>
      <c r="I1194" s="120"/>
      <c r="J1194" s="9"/>
      <c r="K1194" s="9"/>
      <c r="L1194" s="9"/>
      <c r="M1194" s="120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</row>
    <row r="1195" ht="15.75" customHeight="1">
      <c r="A1195" s="9"/>
      <c r="B1195" s="119"/>
      <c r="C1195" s="119"/>
      <c r="D1195" s="9"/>
      <c r="E1195" s="9"/>
      <c r="F1195" s="9"/>
      <c r="G1195" s="120"/>
      <c r="H1195" s="120"/>
      <c r="I1195" s="120"/>
      <c r="J1195" s="9"/>
      <c r="K1195" s="9"/>
      <c r="L1195" s="9"/>
      <c r="M1195" s="120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</row>
    <row r="1196" ht="15.75" customHeight="1">
      <c r="A1196" s="9"/>
      <c r="B1196" s="119"/>
      <c r="C1196" s="119"/>
      <c r="D1196" s="9"/>
      <c r="E1196" s="9"/>
      <c r="F1196" s="9"/>
      <c r="G1196" s="120"/>
      <c r="H1196" s="120"/>
      <c r="I1196" s="120"/>
      <c r="J1196" s="9"/>
      <c r="K1196" s="9"/>
      <c r="L1196" s="9"/>
      <c r="M1196" s="120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</row>
    <row r="1197" ht="15.75" customHeight="1">
      <c r="A1197" s="9"/>
      <c r="B1197" s="119"/>
      <c r="C1197" s="119"/>
      <c r="D1197" s="9"/>
      <c r="E1197" s="9"/>
      <c r="F1197" s="9"/>
      <c r="G1197" s="120"/>
      <c r="H1197" s="120"/>
      <c r="I1197" s="120"/>
      <c r="J1197" s="9"/>
      <c r="K1197" s="9"/>
      <c r="L1197" s="9"/>
      <c r="M1197" s="120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</row>
    <row r="1198" ht="15.75" customHeight="1">
      <c r="A1198" s="9"/>
      <c r="B1198" s="119"/>
      <c r="C1198" s="119"/>
      <c r="D1198" s="9"/>
      <c r="E1198" s="9"/>
      <c r="F1198" s="9"/>
      <c r="G1198" s="120"/>
      <c r="H1198" s="120"/>
      <c r="I1198" s="120"/>
      <c r="J1198" s="9"/>
      <c r="K1198" s="9"/>
      <c r="L1198" s="9"/>
      <c r="M1198" s="120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</row>
    <row r="1199" ht="15.75" customHeight="1">
      <c r="A1199" s="9"/>
      <c r="B1199" s="119"/>
      <c r="C1199" s="119"/>
      <c r="D1199" s="9"/>
      <c r="E1199" s="9"/>
      <c r="F1199" s="9"/>
      <c r="G1199" s="120"/>
      <c r="H1199" s="120"/>
      <c r="I1199" s="120"/>
      <c r="J1199" s="9"/>
      <c r="K1199" s="9"/>
      <c r="L1199" s="9"/>
      <c r="M1199" s="120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</row>
    <row r="1200" ht="15.75" customHeight="1">
      <c r="A1200" s="9"/>
      <c r="B1200" s="119"/>
      <c r="C1200" s="119"/>
      <c r="D1200" s="9"/>
      <c r="E1200" s="9"/>
      <c r="F1200" s="9"/>
      <c r="G1200" s="120"/>
      <c r="H1200" s="120"/>
      <c r="I1200" s="120"/>
      <c r="J1200" s="9"/>
      <c r="K1200" s="9"/>
      <c r="L1200" s="9"/>
      <c r="M1200" s="120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</row>
    <row r="1201" ht="15.75" customHeight="1">
      <c r="A1201" s="9"/>
      <c r="B1201" s="119"/>
      <c r="C1201" s="119"/>
      <c r="D1201" s="9"/>
      <c r="E1201" s="9"/>
      <c r="F1201" s="9"/>
      <c r="G1201" s="120"/>
      <c r="H1201" s="120"/>
      <c r="I1201" s="120"/>
      <c r="J1201" s="9"/>
      <c r="K1201" s="9"/>
      <c r="L1201" s="9"/>
      <c r="M1201" s="120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</row>
    <row r="1202" ht="15.75" customHeight="1">
      <c r="A1202" s="9"/>
      <c r="B1202" s="119"/>
      <c r="C1202" s="119"/>
      <c r="D1202" s="9"/>
      <c r="E1202" s="9"/>
      <c r="F1202" s="9"/>
      <c r="G1202" s="120"/>
      <c r="H1202" s="120"/>
      <c r="I1202" s="120"/>
      <c r="J1202" s="9"/>
      <c r="K1202" s="9"/>
      <c r="L1202" s="9"/>
      <c r="M1202" s="120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</row>
    <row r="1203" ht="15.75" customHeight="1">
      <c r="A1203" s="9"/>
      <c r="B1203" s="119"/>
      <c r="C1203" s="119"/>
      <c r="D1203" s="9"/>
      <c r="E1203" s="9"/>
      <c r="F1203" s="9"/>
      <c r="G1203" s="120"/>
      <c r="H1203" s="120"/>
      <c r="I1203" s="120"/>
      <c r="J1203" s="9"/>
      <c r="K1203" s="9"/>
      <c r="L1203" s="9"/>
      <c r="M1203" s="120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</row>
    <row r="1204" ht="15.75" customHeight="1">
      <c r="A1204" s="9"/>
      <c r="B1204" s="119"/>
      <c r="C1204" s="119"/>
      <c r="D1204" s="9"/>
      <c r="E1204" s="9"/>
      <c r="F1204" s="9"/>
      <c r="G1204" s="120"/>
      <c r="H1204" s="120"/>
      <c r="I1204" s="120"/>
      <c r="J1204" s="9"/>
      <c r="K1204" s="9"/>
      <c r="L1204" s="9"/>
      <c r="M1204" s="120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</row>
    <row r="1205" ht="15.75" customHeight="1">
      <c r="A1205" s="9"/>
      <c r="B1205" s="119"/>
      <c r="C1205" s="119"/>
      <c r="D1205" s="9"/>
      <c r="E1205" s="9"/>
      <c r="F1205" s="9"/>
      <c r="G1205" s="120"/>
      <c r="H1205" s="120"/>
      <c r="I1205" s="120"/>
      <c r="J1205" s="9"/>
      <c r="K1205" s="9"/>
      <c r="L1205" s="9"/>
      <c r="M1205" s="120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</row>
    <row r="1206" ht="15.75" customHeight="1">
      <c r="A1206" s="9"/>
      <c r="B1206" s="119"/>
      <c r="C1206" s="119"/>
      <c r="D1206" s="9"/>
      <c r="E1206" s="9"/>
      <c r="F1206" s="9"/>
      <c r="G1206" s="120"/>
      <c r="H1206" s="120"/>
      <c r="I1206" s="120"/>
      <c r="J1206" s="9"/>
      <c r="K1206" s="9"/>
      <c r="L1206" s="9"/>
      <c r="M1206" s="120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</row>
    <row r="1207" ht="15.75" customHeight="1">
      <c r="A1207" s="9"/>
      <c r="B1207" s="119"/>
      <c r="C1207" s="119"/>
      <c r="D1207" s="9"/>
      <c r="E1207" s="9"/>
      <c r="F1207" s="9"/>
      <c r="G1207" s="120"/>
      <c r="H1207" s="120"/>
      <c r="I1207" s="120"/>
      <c r="J1207" s="9"/>
      <c r="K1207" s="9"/>
      <c r="L1207" s="9"/>
      <c r="M1207" s="120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</row>
    <row r="1208" ht="15.75" customHeight="1">
      <c r="A1208" s="9"/>
      <c r="B1208" s="119"/>
      <c r="C1208" s="119"/>
      <c r="D1208" s="9"/>
      <c r="E1208" s="9"/>
      <c r="F1208" s="9"/>
      <c r="G1208" s="120"/>
      <c r="H1208" s="120"/>
      <c r="I1208" s="120"/>
      <c r="J1208" s="9"/>
      <c r="K1208" s="9"/>
      <c r="L1208" s="9"/>
      <c r="M1208" s="120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</row>
    <row r="1209" ht="15.75" customHeight="1">
      <c r="A1209" s="9"/>
      <c r="B1209" s="119"/>
      <c r="C1209" s="119"/>
      <c r="D1209" s="9"/>
      <c r="E1209" s="9"/>
      <c r="F1209" s="9"/>
      <c r="G1209" s="120"/>
      <c r="H1209" s="120"/>
      <c r="I1209" s="120"/>
      <c r="J1209" s="9"/>
      <c r="K1209" s="9"/>
      <c r="L1209" s="9"/>
      <c r="M1209" s="120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</row>
    <row r="1210" ht="15.75" customHeight="1">
      <c r="A1210" s="9"/>
      <c r="B1210" s="119"/>
      <c r="C1210" s="119"/>
      <c r="D1210" s="9"/>
      <c r="E1210" s="9"/>
      <c r="F1210" s="9"/>
      <c r="G1210" s="120"/>
      <c r="H1210" s="120"/>
      <c r="I1210" s="120"/>
      <c r="J1210" s="9"/>
      <c r="K1210" s="9"/>
      <c r="L1210" s="9"/>
      <c r="M1210" s="120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</row>
    <row r="1211" ht="15.75" customHeight="1">
      <c r="A1211" s="9"/>
      <c r="B1211" s="119"/>
      <c r="C1211" s="119"/>
      <c r="D1211" s="9"/>
      <c r="E1211" s="9"/>
      <c r="F1211" s="9"/>
      <c r="G1211" s="120"/>
      <c r="H1211" s="120"/>
      <c r="I1211" s="120"/>
      <c r="J1211" s="9"/>
      <c r="K1211" s="9"/>
      <c r="L1211" s="9"/>
      <c r="M1211" s="120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</row>
    <row r="1212" ht="15.75" customHeight="1">
      <c r="A1212" s="9"/>
      <c r="B1212" s="119"/>
      <c r="C1212" s="119"/>
      <c r="D1212" s="9"/>
      <c r="E1212" s="9"/>
      <c r="F1212" s="9"/>
      <c r="G1212" s="120"/>
      <c r="H1212" s="120"/>
      <c r="I1212" s="120"/>
      <c r="J1212" s="9"/>
      <c r="K1212" s="9"/>
      <c r="L1212" s="9"/>
      <c r="M1212" s="120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</row>
    <row r="1213" ht="15.75" customHeight="1">
      <c r="A1213" s="9"/>
      <c r="B1213" s="119"/>
      <c r="C1213" s="119"/>
      <c r="D1213" s="9"/>
      <c r="E1213" s="9"/>
      <c r="F1213" s="9"/>
      <c r="G1213" s="120"/>
      <c r="H1213" s="120"/>
      <c r="I1213" s="120"/>
      <c r="J1213" s="9"/>
      <c r="K1213" s="9"/>
      <c r="L1213" s="9"/>
      <c r="M1213" s="120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</row>
    <row r="1214" ht="15.75" customHeight="1">
      <c r="A1214" s="9"/>
      <c r="B1214" s="119"/>
      <c r="C1214" s="119"/>
      <c r="D1214" s="9"/>
      <c r="E1214" s="9"/>
      <c r="F1214" s="9"/>
      <c r="G1214" s="120"/>
      <c r="H1214" s="120"/>
      <c r="I1214" s="120"/>
      <c r="J1214" s="9"/>
      <c r="K1214" s="9"/>
      <c r="L1214" s="9"/>
      <c r="M1214" s="120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</row>
    <row r="1215" ht="15.75" customHeight="1">
      <c r="A1215" s="9"/>
      <c r="B1215" s="119"/>
      <c r="C1215" s="119"/>
      <c r="D1215" s="9"/>
      <c r="E1215" s="9"/>
      <c r="F1215" s="9"/>
      <c r="G1215" s="120"/>
      <c r="H1215" s="120"/>
      <c r="I1215" s="120"/>
      <c r="J1215" s="9"/>
      <c r="K1215" s="9"/>
      <c r="L1215" s="9"/>
      <c r="M1215" s="120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</row>
    <row r="1216" ht="15.75" customHeight="1">
      <c r="A1216" s="9"/>
      <c r="B1216" s="119"/>
      <c r="C1216" s="119"/>
      <c r="D1216" s="9"/>
      <c r="E1216" s="9"/>
      <c r="F1216" s="9"/>
      <c r="G1216" s="120"/>
      <c r="H1216" s="120"/>
      <c r="I1216" s="120"/>
      <c r="J1216" s="9"/>
      <c r="K1216" s="9"/>
      <c r="L1216" s="9"/>
      <c r="M1216" s="120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</row>
    <row r="1217" ht="15.75" customHeight="1">
      <c r="A1217" s="9"/>
      <c r="B1217" s="119"/>
      <c r="C1217" s="119"/>
      <c r="D1217" s="9"/>
      <c r="E1217" s="9"/>
      <c r="F1217" s="9"/>
      <c r="G1217" s="120"/>
      <c r="H1217" s="120"/>
      <c r="I1217" s="120"/>
      <c r="J1217" s="9"/>
      <c r="K1217" s="9"/>
      <c r="L1217" s="9"/>
      <c r="M1217" s="120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</row>
    <row r="1218" ht="15.75" customHeight="1">
      <c r="A1218" s="9"/>
      <c r="B1218" s="119"/>
      <c r="C1218" s="119"/>
      <c r="D1218" s="9"/>
      <c r="E1218" s="9"/>
      <c r="F1218" s="9"/>
      <c r="G1218" s="120"/>
      <c r="H1218" s="120"/>
      <c r="I1218" s="120"/>
      <c r="J1218" s="9"/>
      <c r="K1218" s="9"/>
      <c r="L1218" s="9"/>
      <c r="M1218" s="120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</row>
    <row r="1219" ht="15.75" customHeight="1">
      <c r="A1219" s="9"/>
      <c r="B1219" s="119"/>
      <c r="C1219" s="119"/>
      <c r="D1219" s="9"/>
      <c r="E1219" s="9"/>
      <c r="F1219" s="9"/>
      <c r="G1219" s="120"/>
      <c r="H1219" s="120"/>
      <c r="I1219" s="120"/>
      <c r="J1219" s="9"/>
      <c r="K1219" s="9"/>
      <c r="L1219" s="9"/>
      <c r="M1219" s="120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</row>
    <row r="1220" ht="15.75" customHeight="1">
      <c r="A1220" s="9"/>
      <c r="B1220" s="119"/>
      <c r="C1220" s="119"/>
      <c r="D1220" s="9"/>
      <c r="E1220" s="9"/>
      <c r="F1220" s="9"/>
      <c r="G1220" s="120"/>
      <c r="H1220" s="120"/>
      <c r="I1220" s="120"/>
      <c r="J1220" s="9"/>
      <c r="K1220" s="9"/>
      <c r="L1220" s="9"/>
      <c r="M1220" s="120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</row>
    <row r="1221" ht="15.75" customHeight="1">
      <c r="A1221" s="9"/>
      <c r="B1221" s="119"/>
      <c r="C1221" s="119"/>
      <c r="D1221" s="9"/>
      <c r="E1221" s="9"/>
      <c r="F1221" s="9"/>
      <c r="G1221" s="120"/>
      <c r="H1221" s="120"/>
      <c r="I1221" s="120"/>
      <c r="J1221" s="9"/>
      <c r="K1221" s="9"/>
      <c r="L1221" s="9"/>
      <c r="M1221" s="120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</row>
    <row r="1222" ht="15.75" customHeight="1">
      <c r="A1222" s="9"/>
      <c r="B1222" s="119"/>
      <c r="C1222" s="119"/>
      <c r="D1222" s="9"/>
      <c r="E1222" s="9"/>
      <c r="F1222" s="9"/>
      <c r="G1222" s="120"/>
      <c r="H1222" s="120"/>
      <c r="I1222" s="120"/>
      <c r="J1222" s="9"/>
      <c r="K1222" s="9"/>
      <c r="L1222" s="9"/>
      <c r="M1222" s="120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</row>
    <row r="1223" ht="15.75" customHeight="1">
      <c r="A1223" s="9"/>
      <c r="B1223" s="119"/>
      <c r="C1223" s="119"/>
      <c r="D1223" s="9"/>
      <c r="E1223" s="9"/>
      <c r="F1223" s="9"/>
      <c r="G1223" s="120"/>
      <c r="H1223" s="120"/>
      <c r="I1223" s="120"/>
      <c r="J1223" s="9"/>
      <c r="K1223" s="9"/>
      <c r="L1223" s="9"/>
      <c r="M1223" s="120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</row>
    <row r="1224" ht="15.75" customHeight="1">
      <c r="A1224" s="9"/>
      <c r="B1224" s="119"/>
      <c r="C1224" s="119"/>
      <c r="D1224" s="9"/>
      <c r="E1224" s="9"/>
      <c r="F1224" s="9"/>
      <c r="G1224" s="120"/>
      <c r="H1224" s="120"/>
      <c r="I1224" s="120"/>
      <c r="J1224" s="9"/>
      <c r="K1224" s="9"/>
      <c r="L1224" s="9"/>
      <c r="M1224" s="120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</row>
    <row r="1225" ht="15.75" customHeight="1">
      <c r="A1225" s="9"/>
      <c r="B1225" s="119"/>
      <c r="C1225" s="119"/>
      <c r="D1225" s="9"/>
      <c r="E1225" s="9"/>
      <c r="F1225" s="9"/>
      <c r="G1225" s="120"/>
      <c r="H1225" s="120"/>
      <c r="I1225" s="120"/>
      <c r="J1225" s="9"/>
      <c r="K1225" s="9"/>
      <c r="L1225" s="9"/>
      <c r="M1225" s="120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</row>
    <row r="1226" ht="15.75" customHeight="1">
      <c r="A1226" s="9"/>
      <c r="B1226" s="119"/>
      <c r="C1226" s="119"/>
      <c r="D1226" s="9"/>
      <c r="E1226" s="9"/>
      <c r="F1226" s="9"/>
      <c r="G1226" s="120"/>
      <c r="H1226" s="120"/>
      <c r="I1226" s="120"/>
      <c r="J1226" s="9"/>
      <c r="K1226" s="9"/>
      <c r="L1226" s="9"/>
      <c r="M1226" s="120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</row>
    <row r="1227" ht="15.75" customHeight="1">
      <c r="A1227" s="9"/>
      <c r="B1227" s="119"/>
      <c r="C1227" s="119"/>
      <c r="D1227" s="9"/>
      <c r="E1227" s="9"/>
      <c r="F1227" s="9"/>
      <c r="G1227" s="120"/>
      <c r="H1227" s="120"/>
      <c r="I1227" s="120"/>
      <c r="J1227" s="9"/>
      <c r="K1227" s="9"/>
      <c r="L1227" s="9"/>
      <c r="M1227" s="120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</row>
    <row r="1228" ht="15.75" customHeight="1">
      <c r="A1228" s="9"/>
      <c r="B1228" s="119"/>
      <c r="C1228" s="119"/>
      <c r="D1228" s="9"/>
      <c r="E1228" s="9"/>
      <c r="F1228" s="9"/>
      <c r="G1228" s="120"/>
      <c r="H1228" s="120"/>
      <c r="I1228" s="120"/>
      <c r="J1228" s="9"/>
      <c r="K1228" s="9"/>
      <c r="L1228" s="9"/>
      <c r="M1228" s="120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</row>
    <row r="1229" ht="15.75" customHeight="1">
      <c r="A1229" s="9"/>
      <c r="B1229" s="119"/>
      <c r="C1229" s="119"/>
      <c r="D1229" s="9"/>
      <c r="E1229" s="9"/>
      <c r="F1229" s="9"/>
      <c r="G1229" s="120"/>
      <c r="H1229" s="120"/>
      <c r="I1229" s="120"/>
      <c r="J1229" s="9"/>
      <c r="K1229" s="9"/>
      <c r="L1229" s="9"/>
      <c r="M1229" s="120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</row>
    <row r="1230" ht="15.75" customHeight="1">
      <c r="A1230" s="9"/>
      <c r="B1230" s="119"/>
      <c r="C1230" s="119"/>
      <c r="D1230" s="9"/>
      <c r="E1230" s="9"/>
      <c r="F1230" s="9"/>
      <c r="G1230" s="120"/>
      <c r="H1230" s="120"/>
      <c r="I1230" s="120"/>
      <c r="J1230" s="9"/>
      <c r="K1230" s="9"/>
      <c r="L1230" s="9"/>
      <c r="M1230" s="120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</row>
    <row r="1231" ht="15.75" customHeight="1">
      <c r="A1231" s="9"/>
      <c r="B1231" s="119"/>
      <c r="C1231" s="119"/>
      <c r="D1231" s="9"/>
      <c r="E1231" s="9"/>
      <c r="F1231" s="9"/>
      <c r="G1231" s="120"/>
      <c r="H1231" s="120"/>
      <c r="I1231" s="120"/>
      <c r="J1231" s="9"/>
      <c r="K1231" s="9"/>
      <c r="L1231" s="9"/>
      <c r="M1231" s="120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</row>
    <row r="1232" ht="15.75" customHeight="1">
      <c r="A1232" s="9"/>
      <c r="B1232" s="119"/>
      <c r="C1232" s="119"/>
      <c r="D1232" s="9"/>
      <c r="E1232" s="9"/>
      <c r="F1232" s="9"/>
      <c r="G1232" s="120"/>
      <c r="H1232" s="120"/>
      <c r="I1232" s="120"/>
      <c r="J1232" s="9"/>
      <c r="K1232" s="9"/>
      <c r="L1232" s="9"/>
      <c r="M1232" s="120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</row>
    <row r="1233" ht="15.75" customHeight="1">
      <c r="A1233" s="9"/>
      <c r="B1233" s="119"/>
      <c r="C1233" s="119"/>
      <c r="D1233" s="9"/>
      <c r="E1233" s="9"/>
      <c r="F1233" s="9"/>
      <c r="G1233" s="120"/>
      <c r="H1233" s="120"/>
      <c r="I1233" s="120"/>
      <c r="J1233" s="9"/>
      <c r="K1233" s="9"/>
      <c r="L1233" s="9"/>
      <c r="M1233" s="120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</row>
    <row r="1234" ht="15.75" customHeight="1">
      <c r="A1234" s="9"/>
      <c r="B1234" s="119"/>
      <c r="C1234" s="119"/>
      <c r="D1234" s="9"/>
      <c r="E1234" s="9"/>
      <c r="F1234" s="9"/>
      <c r="G1234" s="120"/>
      <c r="H1234" s="120"/>
      <c r="I1234" s="120"/>
      <c r="J1234" s="9"/>
      <c r="K1234" s="9"/>
      <c r="L1234" s="9"/>
      <c r="M1234" s="120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</row>
    <row r="1235" ht="15.75" customHeight="1">
      <c r="A1235" s="9"/>
      <c r="B1235" s="119"/>
      <c r="C1235" s="119"/>
      <c r="D1235" s="9"/>
      <c r="E1235" s="9"/>
      <c r="F1235" s="9"/>
      <c r="G1235" s="120"/>
      <c r="H1235" s="120"/>
      <c r="I1235" s="120"/>
      <c r="J1235" s="9"/>
      <c r="K1235" s="9"/>
      <c r="L1235" s="9"/>
      <c r="M1235" s="120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</row>
    <row r="1236" ht="15.75" customHeight="1">
      <c r="A1236" s="9"/>
      <c r="B1236" s="119"/>
      <c r="C1236" s="119"/>
      <c r="D1236" s="9"/>
      <c r="E1236" s="9"/>
      <c r="F1236" s="9"/>
      <c r="G1236" s="120"/>
      <c r="H1236" s="120"/>
      <c r="I1236" s="120"/>
      <c r="J1236" s="9"/>
      <c r="K1236" s="9"/>
      <c r="L1236" s="9"/>
      <c r="M1236" s="120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</row>
    <row r="1237" ht="15.75" customHeight="1">
      <c r="A1237" s="9"/>
      <c r="B1237" s="119"/>
      <c r="C1237" s="119"/>
      <c r="D1237" s="9"/>
      <c r="E1237" s="9"/>
      <c r="F1237" s="9"/>
      <c r="G1237" s="120"/>
      <c r="H1237" s="120"/>
      <c r="I1237" s="120"/>
      <c r="J1237" s="9"/>
      <c r="K1237" s="9"/>
      <c r="L1237" s="9"/>
      <c r="M1237" s="120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</row>
    <row r="1238" ht="15.75" customHeight="1">
      <c r="A1238" s="9"/>
      <c r="B1238" s="119"/>
      <c r="C1238" s="119"/>
      <c r="D1238" s="9"/>
      <c r="E1238" s="9"/>
      <c r="F1238" s="9"/>
      <c r="G1238" s="120"/>
      <c r="H1238" s="120"/>
      <c r="I1238" s="120"/>
      <c r="J1238" s="9"/>
      <c r="K1238" s="9"/>
      <c r="L1238" s="9"/>
      <c r="M1238" s="120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</row>
    <row r="1239" ht="15.75" customHeight="1">
      <c r="A1239" s="9"/>
      <c r="B1239" s="119"/>
      <c r="C1239" s="119"/>
      <c r="D1239" s="9"/>
      <c r="E1239" s="9"/>
      <c r="F1239" s="9"/>
      <c r="G1239" s="120"/>
      <c r="H1239" s="120"/>
      <c r="I1239" s="120"/>
      <c r="J1239" s="9"/>
      <c r="K1239" s="9"/>
      <c r="L1239" s="9"/>
      <c r="M1239" s="120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</row>
    <row r="1240" ht="15.75" customHeight="1">
      <c r="A1240" s="9"/>
      <c r="B1240" s="119"/>
      <c r="C1240" s="119"/>
      <c r="D1240" s="9"/>
      <c r="E1240" s="9"/>
      <c r="F1240" s="9"/>
      <c r="G1240" s="120"/>
      <c r="H1240" s="120"/>
      <c r="I1240" s="120"/>
      <c r="J1240" s="9"/>
      <c r="K1240" s="9"/>
      <c r="L1240" s="9"/>
      <c r="M1240" s="120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</row>
    <row r="1241" ht="15.75" customHeight="1">
      <c r="A1241" s="9"/>
      <c r="B1241" s="119"/>
      <c r="C1241" s="119"/>
      <c r="D1241" s="9"/>
      <c r="E1241" s="9"/>
      <c r="F1241" s="9"/>
      <c r="G1241" s="120"/>
      <c r="H1241" s="120"/>
      <c r="I1241" s="120"/>
      <c r="J1241" s="9"/>
      <c r="K1241" s="9"/>
      <c r="L1241" s="9"/>
      <c r="M1241" s="120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</row>
    <row r="1242" ht="15.75" customHeight="1">
      <c r="A1242" s="9"/>
      <c r="B1242" s="119"/>
      <c r="C1242" s="119"/>
      <c r="D1242" s="9"/>
      <c r="E1242" s="9"/>
      <c r="F1242" s="9"/>
      <c r="G1242" s="120"/>
      <c r="H1242" s="120"/>
      <c r="I1242" s="120"/>
      <c r="J1242" s="9"/>
      <c r="K1242" s="9"/>
      <c r="L1242" s="9"/>
      <c r="M1242" s="120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</row>
    <row r="1243" ht="15.75" customHeight="1">
      <c r="A1243" s="9"/>
      <c r="B1243" s="119"/>
      <c r="C1243" s="119"/>
      <c r="D1243" s="9"/>
      <c r="E1243" s="9"/>
      <c r="F1243" s="9"/>
      <c r="G1243" s="120"/>
      <c r="H1243" s="120"/>
      <c r="I1243" s="120"/>
      <c r="J1243" s="9"/>
      <c r="K1243" s="9"/>
      <c r="L1243" s="9"/>
      <c r="M1243" s="120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</row>
  </sheetData>
  <mergeCells count="14">
    <mergeCell ref="H14:H15"/>
    <mergeCell ref="I14:I15"/>
    <mergeCell ref="C7:D7"/>
    <mergeCell ref="E7:M7"/>
    <mergeCell ref="C8:D8"/>
    <mergeCell ref="C9:D9"/>
    <mergeCell ref="C11:D11"/>
    <mergeCell ref="B14:B15"/>
    <mergeCell ref="C14:C15"/>
    <mergeCell ref="D14:D15"/>
    <mergeCell ref="E14:E15"/>
    <mergeCell ref="F14:F15"/>
    <mergeCell ref="G14:G15"/>
    <mergeCell ref="K14:K15"/>
  </mergeCells>
  <hyperlinks>
    <hyperlink r:id="rId1" ref="F5"/>
  </hyperlinks>
  <printOptions horizontalCentered="1"/>
  <pageMargins bottom="0.7480314960629921" footer="0.0" header="0.0" left="0.2362204724409449" right="0.2362204724409449" top="0.7480314960629921"/>
  <pageSetup paperSize="5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2017-07-17T13:27:34Z</dcterms:created>
  <dc:creator>Sarah Pasquier</dc:creator>
</cp:coreProperties>
</file>