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" sheetId="1" r:id="rId4"/>
    <sheet state="visible" name="BADGERS" sheetId="2" r:id="rId5"/>
    <sheet state="visible" name="SCORERS" sheetId="3" r:id="rId6"/>
    <sheet state="hidden" name="Scorers paste" sheetId="4" r:id="rId7"/>
  </sheets>
  <definedNames/>
  <calcPr/>
</workbook>
</file>

<file path=xl/sharedStrings.xml><?xml version="1.0" encoding="utf-8"?>
<sst xmlns="http://schemas.openxmlformats.org/spreadsheetml/2006/main" count="2303" uniqueCount="617">
  <si>
    <t>MEN'S (A)</t>
  </si>
  <si>
    <t>Position</t>
  </si>
  <si>
    <t>Gun</t>
  </si>
  <si>
    <t>Name</t>
  </si>
  <si>
    <t>Gender</t>
  </si>
  <si>
    <t>Age Cat</t>
  </si>
  <si>
    <t>Club</t>
  </si>
  <si>
    <t>Gender Pos</t>
  </si>
  <si>
    <t>Cat Pos</t>
  </si>
  <si>
    <t>Chip</t>
  </si>
  <si>
    <t>Mo Hussein</t>
  </si>
  <si>
    <t>Matt Scarsbrook</t>
  </si>
  <si>
    <t>Male</t>
  </si>
  <si>
    <t>David Hill</t>
  </si>
  <si>
    <t>SENM</t>
  </si>
  <si>
    <t>Roadhoggs</t>
  </si>
  <si>
    <t>Ryan Preece</t>
  </si>
  <si>
    <t>Ashley Baldwin</t>
  </si>
  <si>
    <t>Danny Warren</t>
  </si>
  <si>
    <t>Neil Russell</t>
  </si>
  <si>
    <t>Chris Horton</t>
  </si>
  <si>
    <t>BADGERS</t>
  </si>
  <si>
    <t>Simon Allen</t>
  </si>
  <si>
    <t>OWLS</t>
  </si>
  <si>
    <t>Adrian Payne</t>
  </si>
  <si>
    <t>LADIES (A)</t>
  </si>
  <si>
    <t>David Mcgowan</t>
  </si>
  <si>
    <t>Glyn Broadhurst</t>
  </si>
  <si>
    <t>Mark Cox</t>
  </si>
  <si>
    <t>Ben Darlow</t>
  </si>
  <si>
    <t>Chris Tweed</t>
  </si>
  <si>
    <t>West End Runners</t>
  </si>
  <si>
    <t>Luke Neal</t>
  </si>
  <si>
    <t>Mark Repton</t>
  </si>
  <si>
    <t>Luke Ingram</t>
  </si>
  <si>
    <t>Mark Coggan</t>
  </si>
  <si>
    <t>Sam Starkey</t>
  </si>
  <si>
    <t>Jayjay Rathod</t>
  </si>
  <si>
    <t>MIXED</t>
  </si>
  <si>
    <t>U23M</t>
  </si>
  <si>
    <t>Huncote Harriers</t>
  </si>
  <si>
    <t>Ben Crookes</t>
  </si>
  <si>
    <t>Beaumont RC</t>
  </si>
  <si>
    <t>Alex Percy</t>
  </si>
  <si>
    <t>#</t>
  </si>
  <si>
    <t>Hermitage Harriers</t>
  </si>
  <si>
    <t>David Jackson</t>
  </si>
  <si>
    <t>Lewis Ayres</t>
  </si>
  <si>
    <t>Gurmit Singh</t>
  </si>
  <si>
    <t>VM40</t>
  </si>
  <si>
    <t>Matthew Green</t>
  </si>
  <si>
    <t>Harry Robinson</t>
  </si>
  <si>
    <t>Bill Gutheridge</t>
  </si>
  <si>
    <t>Hinckley RC</t>
  </si>
  <si>
    <t>James Dewis</t>
  </si>
  <si>
    <t>Colin Lees</t>
  </si>
  <si>
    <t>Lee O'Connor</t>
  </si>
  <si>
    <t>Shepshed RC</t>
  </si>
  <si>
    <t>Sam Martin</t>
  </si>
  <si>
    <t>Poplar RC</t>
  </si>
  <si>
    <t>Megan Griffiths</t>
  </si>
  <si>
    <t>Laura Starkey</t>
  </si>
  <si>
    <t>Suzy Farrell</t>
  </si>
  <si>
    <t>Victoria Jones</t>
  </si>
  <si>
    <t>Liberty Underhill</t>
  </si>
  <si>
    <t>Stephanie White</t>
  </si>
  <si>
    <t>Emma Masser</t>
  </si>
  <si>
    <t>Christopher Baxter</t>
  </si>
  <si>
    <t>Bilal Farah</t>
  </si>
  <si>
    <t>Rachael Browne</t>
  </si>
  <si>
    <t>Sharon Jackson</t>
  </si>
  <si>
    <t>Liz Peel</t>
  </si>
  <si>
    <t>Rachael Shelton</t>
  </si>
  <si>
    <t>Jill Miller</t>
  </si>
  <si>
    <t>Beth Woodward</t>
  </si>
  <si>
    <t>Kat Wilson</t>
  </si>
  <si>
    <t>Judy Parkes</t>
  </si>
  <si>
    <t>Graham Peacock</t>
  </si>
  <si>
    <t>Charnwood AC</t>
  </si>
  <si>
    <t>Claire Frankland</t>
  </si>
  <si>
    <t>Female</t>
  </si>
  <si>
    <t>SENF</t>
  </si>
  <si>
    <t>Jamie Strange</t>
  </si>
  <si>
    <t>VM45</t>
  </si>
  <si>
    <t>Hannah Coogan</t>
  </si>
  <si>
    <t>Stuart Neyton</t>
  </si>
  <si>
    <t>Joanne Davies</t>
  </si>
  <si>
    <t>Averil Caton</t>
  </si>
  <si>
    <t>James Donaldson</t>
  </si>
  <si>
    <t>Michael Hodson</t>
  </si>
  <si>
    <t>Mehul Vaitha</t>
  </si>
  <si>
    <t>David Frankland</t>
  </si>
  <si>
    <t>Gareth Talbott</t>
  </si>
  <si>
    <t>Scott Green</t>
  </si>
  <si>
    <t>Richard Wayman</t>
  </si>
  <si>
    <t>VM50</t>
  </si>
  <si>
    <t>Matt Langtree</t>
  </si>
  <si>
    <t>Daniel Thomas</t>
  </si>
  <si>
    <t>Dan Poultney</t>
  </si>
  <si>
    <t>Wigston Phoenix</t>
  </si>
  <si>
    <t>Matthew Gayton</t>
  </si>
  <si>
    <t>Wreake Runners</t>
  </si>
  <si>
    <t>John Mac</t>
  </si>
  <si>
    <t>Joe Edge</t>
  </si>
  <si>
    <t>Barlestone St Giles RC</t>
  </si>
  <si>
    <t>Joanna Male</t>
  </si>
  <si>
    <t>Ian Benskin</t>
  </si>
  <si>
    <t>TOTAL</t>
  </si>
  <si>
    <t>Chloe Sparrow</t>
  </si>
  <si>
    <t>James Gaydon</t>
  </si>
  <si>
    <t>Birstall RC</t>
  </si>
  <si>
    <t>Tim Smith</t>
  </si>
  <si>
    <t>Desford Striders</t>
  </si>
  <si>
    <t>Peter Armstrong</t>
  </si>
  <si>
    <t>Ben Benson</t>
  </si>
  <si>
    <t>VM60</t>
  </si>
  <si>
    <t>Joshua Smith</t>
  </si>
  <si>
    <t>Daniel Prior</t>
  </si>
  <si>
    <t>Rachel Nealon</t>
  </si>
  <si>
    <t>U23F</t>
  </si>
  <si>
    <t>Andy Green</t>
  </si>
  <si>
    <t>Philip Chritchlow</t>
  </si>
  <si>
    <t>VM55</t>
  </si>
  <si>
    <t>Christopher Saunt</t>
  </si>
  <si>
    <t>Steven Mills</t>
  </si>
  <si>
    <t>Grace Tongue</t>
  </si>
  <si>
    <t>Ian Murdey</t>
  </si>
  <si>
    <t>Ysabel Drewett</t>
  </si>
  <si>
    <t>Andy Mackay</t>
  </si>
  <si>
    <t>Stilton Striders</t>
  </si>
  <si>
    <t>Olivia Bailey</t>
  </si>
  <si>
    <t>Michael Hill</t>
  </si>
  <si>
    <t>Wreake &amp; Soar Valley</t>
  </si>
  <si>
    <t>Sophie Edge</t>
  </si>
  <si>
    <t>Greg Handsley</t>
  </si>
  <si>
    <t>MEN'S (B)</t>
  </si>
  <si>
    <t>Dave Chevin</t>
  </si>
  <si>
    <t>LADIES (B)</t>
  </si>
  <si>
    <t>Amber Lester</t>
  </si>
  <si>
    <t>Barrow Runners</t>
  </si>
  <si>
    <t>Fraser Harris</t>
  </si>
  <si>
    <t>James Boyd</t>
  </si>
  <si>
    <t>Lizzie Jones</t>
  </si>
  <si>
    <t>James Knight</t>
  </si>
  <si>
    <t>Liam Hills</t>
  </si>
  <si>
    <t>Joel Goodison</t>
  </si>
  <si>
    <t>Phil Woods</t>
  </si>
  <si>
    <t>James Lowe</t>
  </si>
  <si>
    <t>Nick Strange</t>
  </si>
  <si>
    <t>Graham Grewcock</t>
  </si>
  <si>
    <t>Russell Shute</t>
  </si>
  <si>
    <t>Francis Lynch</t>
  </si>
  <si>
    <t>James Sutton</t>
  </si>
  <si>
    <t>Josh Dadd</t>
  </si>
  <si>
    <t>Mark Ramsden</t>
  </si>
  <si>
    <t>Josh Cooling</t>
  </si>
  <si>
    <t>David Pearce</t>
  </si>
  <si>
    <t>Aaron Dann</t>
  </si>
  <si>
    <t>Connor Smith</t>
  </si>
  <si>
    <t>Ryan Ballard</t>
  </si>
  <si>
    <t>Alfie Boulton</t>
  </si>
  <si>
    <t>Harborough AC</t>
  </si>
  <si>
    <t>Daniel Mclaughlin</t>
  </si>
  <si>
    <t>Stephen Snow</t>
  </si>
  <si>
    <t>Tom Richardson</t>
  </si>
  <si>
    <t>Jack Brooks</t>
  </si>
  <si>
    <t>Team Anstey Amblers &amp; Runners</t>
  </si>
  <si>
    <t>Benjamin Higginbottom</t>
  </si>
  <si>
    <t>Ian Bickle</t>
  </si>
  <si>
    <t>Sam Jolly</t>
  </si>
  <si>
    <t>Lucy Hart</t>
  </si>
  <si>
    <t>Philip Wright</t>
  </si>
  <si>
    <t>Nicki Nealon</t>
  </si>
  <si>
    <t>VF55</t>
  </si>
  <si>
    <t>Andrew Stanley</t>
  </si>
  <si>
    <t>Ivanhoe Runners</t>
  </si>
  <si>
    <t>Jonathan Pickering</t>
  </si>
  <si>
    <t>Joshua Fox</t>
  </si>
  <si>
    <t>Rob Pullen</t>
  </si>
  <si>
    <t>Anna Munday</t>
  </si>
  <si>
    <t>Michael Birch</t>
  </si>
  <si>
    <t>MEN'S VETS (A)</t>
  </si>
  <si>
    <t>Lee Dawson</t>
  </si>
  <si>
    <t>LADIES VETS (A)</t>
  </si>
  <si>
    <t>Jimmy Riley</t>
  </si>
  <si>
    <t>Emily Hall</t>
  </si>
  <si>
    <t>Andrew Carmichael</t>
  </si>
  <si>
    <t>Scott Beasley</t>
  </si>
  <si>
    <t>Neil Wright</t>
  </si>
  <si>
    <t>Chris Rawson</t>
  </si>
  <si>
    <t>Rhiannon Baxter</t>
  </si>
  <si>
    <t>David White</t>
  </si>
  <si>
    <t>Samuel Brenchley</t>
  </si>
  <si>
    <t>1485 Triathlon Club</t>
  </si>
  <si>
    <t>Simon Mayes</t>
  </si>
  <si>
    <t>Dan Davies</t>
  </si>
  <si>
    <t>Matt Crawford</t>
  </si>
  <si>
    <t>Amy Pizzorno</t>
  </si>
  <si>
    <t>VF40</t>
  </si>
  <si>
    <t>Philip Higgs</t>
  </si>
  <si>
    <t>Rob Tanner</t>
  </si>
  <si>
    <t>James Westhead</t>
  </si>
  <si>
    <t>Mark Jones</t>
  </si>
  <si>
    <t>Mark Tyler</t>
  </si>
  <si>
    <t>David Robinson</t>
  </si>
  <si>
    <t>Oliver Louis</t>
  </si>
  <si>
    <t>Martin Renfrey</t>
  </si>
  <si>
    <t>MEN'S VETS (B)</t>
  </si>
  <si>
    <t>Charlotte Bone</t>
  </si>
  <si>
    <t>LADIES VETS (B)</t>
  </si>
  <si>
    <t>Matthew Barton</t>
  </si>
  <si>
    <t>David Higginbottom</t>
  </si>
  <si>
    <t>Ashley Taylor</t>
  </si>
  <si>
    <t>Luke Neale</t>
  </si>
  <si>
    <t>John Drake</t>
  </si>
  <si>
    <t>Adam Vignali-Clarke</t>
  </si>
  <si>
    <t>Steve Hicken</t>
  </si>
  <si>
    <t>Kurt Wilson</t>
  </si>
  <si>
    <t>Leighton Kimberlin</t>
  </si>
  <si>
    <t>Charlie Hillyer</t>
  </si>
  <si>
    <t>Leicester Triathlon Club</t>
  </si>
  <si>
    <t>Jessica Daly</t>
  </si>
  <si>
    <t>Daisy Collingridge</t>
  </si>
  <si>
    <t>Ashley Wright</t>
  </si>
  <si>
    <t>Brian Williams</t>
  </si>
  <si>
    <t>George Wilson</t>
  </si>
  <si>
    <t>James Lowery</t>
  </si>
  <si>
    <t>Elisa Whittlestone</t>
  </si>
  <si>
    <t>VF60</t>
  </si>
  <si>
    <t>Andrew Cooper</t>
  </si>
  <si>
    <t>Matthew Orchard</t>
  </si>
  <si>
    <t>Neil Stephens</t>
  </si>
  <si>
    <t>Andrew Hough</t>
  </si>
  <si>
    <t>Joe Foster</t>
  </si>
  <si>
    <t>Matt Patten</t>
  </si>
  <si>
    <t>Gary Campion</t>
  </si>
  <si>
    <t>Mark Whitmore</t>
  </si>
  <si>
    <t>VM65</t>
  </si>
  <si>
    <t>Joanne Matthews</t>
  </si>
  <si>
    <t>VF50</t>
  </si>
  <si>
    <t>Andy Nicholls</t>
  </si>
  <si>
    <t>Graham Hobbs</t>
  </si>
  <si>
    <t>Robert Jinks</t>
  </si>
  <si>
    <t>Grace Lewis</t>
  </si>
  <si>
    <t>Luke Martin</t>
  </si>
  <si>
    <t>Chris Langham</t>
  </si>
  <si>
    <t>Trudi Unwin</t>
  </si>
  <si>
    <t>VF45</t>
  </si>
  <si>
    <t>Victoria Elston</t>
  </si>
  <si>
    <t>Kathryn Evans</t>
  </si>
  <si>
    <t>James Snutch</t>
  </si>
  <si>
    <t>Nik Hammer</t>
  </si>
  <si>
    <t>Joe Williamson</t>
  </si>
  <si>
    <t>Stefan Martin</t>
  </si>
  <si>
    <t>Mark Larratt</t>
  </si>
  <si>
    <t>Rich Harris</t>
  </si>
  <si>
    <t>Ian Thompson</t>
  </si>
  <si>
    <t>Andrea Winkless</t>
  </si>
  <si>
    <t>Mark Bywater</t>
  </si>
  <si>
    <t>Mark Preston</t>
  </si>
  <si>
    <t>Sarah Johnson</t>
  </si>
  <si>
    <t>Rob Mee</t>
  </si>
  <si>
    <t>Chris Minto</t>
  </si>
  <si>
    <t>Ashveer Garcha</t>
  </si>
  <si>
    <t>Clive Jones</t>
  </si>
  <si>
    <t>Kevin Brooks</t>
  </si>
  <si>
    <t>Wayne Repton</t>
  </si>
  <si>
    <t>Kelly Wilson</t>
  </si>
  <si>
    <t>Ali Higgins</t>
  </si>
  <si>
    <t>Clare Wood</t>
  </si>
  <si>
    <t>Kevin Waite</t>
  </si>
  <si>
    <t>Wayne Hackett</t>
  </si>
  <si>
    <t>Penny Masser</t>
  </si>
  <si>
    <t>Simon Clough</t>
  </si>
  <si>
    <t>Mika Mihell</t>
  </si>
  <si>
    <t>Daniel Cook</t>
  </si>
  <si>
    <t>Clinton Deacon</t>
  </si>
  <si>
    <t>Lucas Spence</t>
  </si>
  <si>
    <t>Neil Parry</t>
  </si>
  <si>
    <t>Tina Tosh</t>
  </si>
  <si>
    <t>Glen Baker-Adams</t>
  </si>
  <si>
    <t>Tony Davis</t>
  </si>
  <si>
    <t>Pete Marshall</t>
  </si>
  <si>
    <t>Barry Hibberd</t>
  </si>
  <si>
    <t>Mark Jelley</t>
  </si>
  <si>
    <t>Nicola Taylor</t>
  </si>
  <si>
    <t>Lillie Holford</t>
  </si>
  <si>
    <t>Blake Taylor</t>
  </si>
  <si>
    <t>Dale Jenkins</t>
  </si>
  <si>
    <t>Adam Mills</t>
  </si>
  <si>
    <t>Mike Williams</t>
  </si>
  <si>
    <t>Lisa Spence</t>
  </si>
  <si>
    <t>Nick Halford</t>
  </si>
  <si>
    <t>Rachel Haddon</t>
  </si>
  <si>
    <t>Graham Muir</t>
  </si>
  <si>
    <t>Mark Bradford</t>
  </si>
  <si>
    <t>Ryan Francis</t>
  </si>
  <si>
    <t>Ian Craddock</t>
  </si>
  <si>
    <t>Victoria Smith</t>
  </si>
  <si>
    <t>Kitesh Mistry</t>
  </si>
  <si>
    <t>James Oulton</t>
  </si>
  <si>
    <t>Jim Cottom</t>
  </si>
  <si>
    <t>Matthew Dumelow</t>
  </si>
  <si>
    <t>Marcus Shaikh</t>
  </si>
  <si>
    <t>Kevin Matlock</t>
  </si>
  <si>
    <t>Tony Nicholls</t>
  </si>
  <si>
    <t>Pete Smith</t>
  </si>
  <si>
    <t>Fleckney &amp; Kibworth</t>
  </si>
  <si>
    <t>John Rees</t>
  </si>
  <si>
    <t>Vicki Lowe</t>
  </si>
  <si>
    <t>Tony Edwards</t>
  </si>
  <si>
    <t>Ruth Cannon</t>
  </si>
  <si>
    <t>Steve Hickingbottom</t>
  </si>
  <si>
    <t>Nicola Fox</t>
  </si>
  <si>
    <t>Nadine Michael</t>
  </si>
  <si>
    <t>Anna Hiley</t>
  </si>
  <si>
    <t>Ian Wilkins</t>
  </si>
  <si>
    <t>Neil Humpage</t>
  </si>
  <si>
    <t>Pete Derro</t>
  </si>
  <si>
    <t>Chris Young</t>
  </si>
  <si>
    <t>Rebecca Chandler</t>
  </si>
  <si>
    <t>Brian Moran</t>
  </si>
  <si>
    <t>VM70</t>
  </si>
  <si>
    <t>Tristan Snutch</t>
  </si>
  <si>
    <t>Minda Ashton</t>
  </si>
  <si>
    <t>Jackie Brown</t>
  </si>
  <si>
    <t>Nicky Whitehead</t>
  </si>
  <si>
    <t>Daniel Roulston</t>
  </si>
  <si>
    <t>Stephen Wells</t>
  </si>
  <si>
    <t>Andrew Mayes</t>
  </si>
  <si>
    <t>Marvin Smith</t>
  </si>
  <si>
    <t>Matt Hubbard</t>
  </si>
  <si>
    <t>Kelly Hebden</t>
  </si>
  <si>
    <t>Philippa Pickering</t>
  </si>
  <si>
    <t>Chris Willmott</t>
  </si>
  <si>
    <t>Jamie Butler</t>
  </si>
  <si>
    <t>Amelia Cook</t>
  </si>
  <si>
    <t>Danielle Birch</t>
  </si>
  <si>
    <t>David Pallett</t>
  </si>
  <si>
    <t>Matthew Curtis</t>
  </si>
  <si>
    <t>Duncan Smith</t>
  </si>
  <si>
    <t>David Liversuch</t>
  </si>
  <si>
    <t>Jonathan Beaumont</t>
  </si>
  <si>
    <t>Donna Corrigan</t>
  </si>
  <si>
    <t>Kathy Robinson</t>
  </si>
  <si>
    <t>Sue Gardner</t>
  </si>
  <si>
    <t>Claire Bryan</t>
  </si>
  <si>
    <t>Kate Perkins</t>
  </si>
  <si>
    <t>Iain Cox</t>
  </si>
  <si>
    <t>David Gavin</t>
  </si>
  <si>
    <t>Tony Johnson</t>
  </si>
  <si>
    <t>Andrew Wilson</t>
  </si>
  <si>
    <t>Craig Stinchcombe</t>
  </si>
  <si>
    <t>Nick Trim</t>
  </si>
  <si>
    <t>Stephen Elliot</t>
  </si>
  <si>
    <t>Sally Tapper</t>
  </si>
  <si>
    <t>Laura Graves</t>
  </si>
  <si>
    <t>Claire Dennison</t>
  </si>
  <si>
    <t>April Clough</t>
  </si>
  <si>
    <t>Dean Halford</t>
  </si>
  <si>
    <t>Gary Sawle</t>
  </si>
  <si>
    <t>Ronald Muhumuza</t>
  </si>
  <si>
    <t>Nancy Bennion</t>
  </si>
  <si>
    <t>Neil Danby</t>
  </si>
  <si>
    <t>Amy Whitmore</t>
  </si>
  <si>
    <t>Sarah Thi</t>
  </si>
  <si>
    <t>David Luther</t>
  </si>
  <si>
    <t>Lindsay Tilbury</t>
  </si>
  <si>
    <t>Linda New</t>
  </si>
  <si>
    <t>VF65</t>
  </si>
  <si>
    <t>Duncan Ford</t>
  </si>
  <si>
    <t>Nigel Maddern</t>
  </si>
  <si>
    <t>Maximilian Chowanietz</t>
  </si>
  <si>
    <t>Sam Smith</t>
  </si>
  <si>
    <t>Phil Leaney</t>
  </si>
  <si>
    <t>Michael Cooke</t>
  </si>
  <si>
    <t>Maria De Los Angeles Garcia Alcaide</t>
  </si>
  <si>
    <t>Colin Rimmer</t>
  </si>
  <si>
    <t>Ben Milsom</t>
  </si>
  <si>
    <t>George Rhodes</t>
  </si>
  <si>
    <t>Katy Hill</t>
  </si>
  <si>
    <t>Neil Lancastle</t>
  </si>
  <si>
    <t>Carolyn Osborne</t>
  </si>
  <si>
    <t>Sarah Odom</t>
  </si>
  <si>
    <t>Robert Crow</t>
  </si>
  <si>
    <t>Michael Bailey</t>
  </si>
  <si>
    <t>Brian Driver</t>
  </si>
  <si>
    <t>Mark Sadler</t>
  </si>
  <si>
    <t>David Snutch</t>
  </si>
  <si>
    <t>Jamie Owen</t>
  </si>
  <si>
    <t>Bernadette Owen</t>
  </si>
  <si>
    <t>Geoff Law</t>
  </si>
  <si>
    <t>Terri Cooper</t>
  </si>
  <si>
    <t>Kevan Howarth</t>
  </si>
  <si>
    <t>Michelle Findon</t>
  </si>
  <si>
    <t>Kerry Bonham</t>
  </si>
  <si>
    <t>John Clampin</t>
  </si>
  <si>
    <t>Michelle Kershaw</t>
  </si>
  <si>
    <t>James Hawley</t>
  </si>
  <si>
    <t>Terry Woodhouse</t>
  </si>
  <si>
    <t>Jo Howell</t>
  </si>
  <si>
    <t>Paul Leaney</t>
  </si>
  <si>
    <t>Fiona Harrison</t>
  </si>
  <si>
    <t>Stuart Wells</t>
  </si>
  <si>
    <t>Jason Culleton</t>
  </si>
  <si>
    <t>Martin Crighton</t>
  </si>
  <si>
    <t>Kate Rose</t>
  </si>
  <si>
    <t>Linda Whitelegg</t>
  </si>
  <si>
    <t>Rachel Cornes</t>
  </si>
  <si>
    <t>Emma Machowska</t>
  </si>
  <si>
    <t>Deborah Liversuch</t>
  </si>
  <si>
    <t>Miriam Cox</t>
  </si>
  <si>
    <t>Rolf Hoelmer</t>
  </si>
  <si>
    <t>Zach Spence</t>
  </si>
  <si>
    <t>Mark Richards</t>
  </si>
  <si>
    <t>Stacy Robinson</t>
  </si>
  <si>
    <t>Teresa Rizoyannis</t>
  </si>
  <si>
    <t>Kiera Radford</t>
  </si>
  <si>
    <t>Simon Harrald</t>
  </si>
  <si>
    <t>Gary Dixon</t>
  </si>
  <si>
    <t>Simon Parsons</t>
  </si>
  <si>
    <t>Charlotte Sinclair</t>
  </si>
  <si>
    <t>Joy Brown</t>
  </si>
  <si>
    <t>Claire Laurent</t>
  </si>
  <si>
    <t>Roger Griffiths</t>
  </si>
  <si>
    <t>Lyni Sargent</t>
  </si>
  <si>
    <t>Charlie King</t>
  </si>
  <si>
    <t>Jonathan Eyles</t>
  </si>
  <si>
    <t>Jack Dolby</t>
  </si>
  <si>
    <t>Claire Kiffin</t>
  </si>
  <si>
    <t>Alan Chevin</t>
  </si>
  <si>
    <t>Amy Burch</t>
  </si>
  <si>
    <t>Tom Neath</t>
  </si>
  <si>
    <t>Margaux Lefaucheux</t>
  </si>
  <si>
    <t>Keith Dennison</t>
  </si>
  <si>
    <t>Richard Buckby</t>
  </si>
  <si>
    <t>Simon Cox</t>
  </si>
  <si>
    <t>Stuart Coe</t>
  </si>
  <si>
    <t>Ali Allan</t>
  </si>
  <si>
    <t>Gemma Shaw</t>
  </si>
  <si>
    <t>Paul Holmes</t>
  </si>
  <si>
    <t>Stacy King</t>
  </si>
  <si>
    <t>Lisa Bettoney</t>
  </si>
  <si>
    <t>Tracey Johnson</t>
  </si>
  <si>
    <t>Paul Cooper</t>
  </si>
  <si>
    <t>Wendy Thompson</t>
  </si>
  <si>
    <t>Steve Lemmon</t>
  </si>
  <si>
    <t>Lee Boddy</t>
  </si>
  <si>
    <t>Alice Sharpley</t>
  </si>
  <si>
    <t>Marc Stringer</t>
  </si>
  <si>
    <t>Glen Tortolano</t>
  </si>
  <si>
    <t>Ian Birnie</t>
  </si>
  <si>
    <t>Aileen Collins</t>
  </si>
  <si>
    <t>Megan Alderson</t>
  </si>
  <si>
    <t>Grace Barsby</t>
  </si>
  <si>
    <t>Claire Burbidge</t>
  </si>
  <si>
    <t>Steve Hutton</t>
  </si>
  <si>
    <t>Kirsty Black</t>
  </si>
  <si>
    <t>Sue Grewcock</t>
  </si>
  <si>
    <t>Katherine Smith</t>
  </si>
  <si>
    <t>Ruth Evans</t>
  </si>
  <si>
    <t>Joanne Stark</t>
  </si>
  <si>
    <t>Stuart Taylor</t>
  </si>
  <si>
    <t>Mike Percival</t>
  </si>
  <si>
    <t>Kerry Griffiths</t>
  </si>
  <si>
    <t>Neil Powdrill</t>
  </si>
  <si>
    <t>Frankie Sutherington</t>
  </si>
  <si>
    <t>Jane Barrett</t>
  </si>
  <si>
    <t>Victoria Wheatley</t>
  </si>
  <si>
    <t>Vicky Lewin</t>
  </si>
  <si>
    <t>Cliff Fung</t>
  </si>
  <si>
    <t>Lisa Birch</t>
  </si>
  <si>
    <t>Sally Beatson</t>
  </si>
  <si>
    <t>Debbie Weeks</t>
  </si>
  <si>
    <t>Katherine Allen</t>
  </si>
  <si>
    <t>Jo Robertson</t>
  </si>
  <si>
    <t>Jenny Cooling</t>
  </si>
  <si>
    <t>Rachel Wheeler</t>
  </si>
  <si>
    <t>Elaine Elliott</t>
  </si>
  <si>
    <t>Emma Doyle</t>
  </si>
  <si>
    <t>Catherine Smith</t>
  </si>
  <si>
    <t>Tim Bills</t>
  </si>
  <si>
    <t>Mark Sherriff</t>
  </si>
  <si>
    <t>Vincent Brown</t>
  </si>
  <si>
    <t>Pam Lord</t>
  </si>
  <si>
    <t>Rachael Middleton</t>
  </si>
  <si>
    <t>Alice Belcher</t>
  </si>
  <si>
    <t>Cara Alexander</t>
  </si>
  <si>
    <t>John Tobin</t>
  </si>
  <si>
    <t>Stuart Hunter</t>
  </si>
  <si>
    <t>Rachel Hall</t>
  </si>
  <si>
    <t>Vicky Keenan</t>
  </si>
  <si>
    <t>Nikki Fraser</t>
  </si>
  <si>
    <t>Jessica Pickering</t>
  </si>
  <si>
    <t>Cheryl Tonks</t>
  </si>
  <si>
    <t>Colin Mayes</t>
  </si>
  <si>
    <t>Gemma Bell</t>
  </si>
  <si>
    <t>Karen Henderson</t>
  </si>
  <si>
    <t>Ann Popovich</t>
  </si>
  <si>
    <t>Matthew Roberts</t>
  </si>
  <si>
    <t>Claire Penn</t>
  </si>
  <si>
    <t>Jo Miller</t>
  </si>
  <si>
    <t>John Redfearn</t>
  </si>
  <si>
    <t>Lyndsey Parsons</t>
  </si>
  <si>
    <t>Jo Reeves</t>
  </si>
  <si>
    <t>Kate Jackson</t>
  </si>
  <si>
    <t>Raymond Draycott</t>
  </si>
  <si>
    <t>VM75</t>
  </si>
  <si>
    <t>Gary Carlile</t>
  </si>
  <si>
    <t>Lou Harvey</t>
  </si>
  <si>
    <t>Claire Bryden</t>
  </si>
  <si>
    <t>Pip Mattock</t>
  </si>
  <si>
    <t>Kieren Coopey</t>
  </si>
  <si>
    <t>Amie Isaac</t>
  </si>
  <si>
    <t>Elizabeth Booth</t>
  </si>
  <si>
    <t>Lisa Woolman</t>
  </si>
  <si>
    <t>Lucy Earland</t>
  </si>
  <si>
    <t>Amanda Palmer</t>
  </si>
  <si>
    <t>Krystal Knight</t>
  </si>
  <si>
    <t>Caroline Richardson</t>
  </si>
  <si>
    <t>Carl Ford</t>
  </si>
  <si>
    <t>David Elkins</t>
  </si>
  <si>
    <t>Stacey Buckby</t>
  </si>
  <si>
    <t>Rachel Congreve</t>
  </si>
  <si>
    <t>Sarah Edge</t>
  </si>
  <si>
    <t>Anabel Kanjurs</t>
  </si>
  <si>
    <t>Lis Gibbs</t>
  </si>
  <si>
    <t>Colette Ward</t>
  </si>
  <si>
    <t>Jody Dean</t>
  </si>
  <si>
    <t>Katherine Lang</t>
  </si>
  <si>
    <t>Karen Collins</t>
  </si>
  <si>
    <t>Ann-Marie Currier</t>
  </si>
  <si>
    <t>Thomas Roe</t>
  </si>
  <si>
    <t>Matthew Smith</t>
  </si>
  <si>
    <t>Anne Craddock</t>
  </si>
  <si>
    <t>Alastair Cosbie</t>
  </si>
  <si>
    <t>Catherine Cox</t>
  </si>
  <si>
    <t>Catherine Brooks</t>
  </si>
  <si>
    <t>Cheyanne Ennis</t>
  </si>
  <si>
    <t>Ellen Bolton</t>
  </si>
  <si>
    <t>Kishore Bhavsar</t>
  </si>
  <si>
    <t>Yasmin Rabey</t>
  </si>
  <si>
    <t>Sheila Oliver</t>
  </si>
  <si>
    <t>Steve West</t>
  </si>
  <si>
    <t>Mark Braithwaite</t>
  </si>
  <si>
    <t>Nicola Bell</t>
  </si>
  <si>
    <t>Meena Booth</t>
  </si>
  <si>
    <t>Penny Robb</t>
  </si>
  <si>
    <t>Jenny Ayres</t>
  </si>
  <si>
    <t>Sharon Beck</t>
  </si>
  <si>
    <t>Jenny Garrett</t>
  </si>
  <si>
    <t>Natalie Varnham</t>
  </si>
  <si>
    <t>Elisabeth Matthews</t>
  </si>
  <si>
    <t>Maggi Savinbaden</t>
  </si>
  <si>
    <t>Sarah Reynolds</t>
  </si>
  <si>
    <t>Sally Smith</t>
  </si>
  <si>
    <t>Paul Tebbutt</t>
  </si>
  <si>
    <t>Natalie Rowland</t>
  </si>
  <si>
    <t>Elizabeth Aspden-Mansfield</t>
  </si>
  <si>
    <t>Simone Porter</t>
  </si>
  <si>
    <t>Maryjoy Appleton</t>
  </si>
  <si>
    <t>Rebecca Booth</t>
  </si>
  <si>
    <t>Katy Young</t>
  </si>
  <si>
    <t>Barbara Blunt</t>
  </si>
  <si>
    <t>Lisa Armstrong</t>
  </si>
  <si>
    <t>Neale Bassford</t>
  </si>
  <si>
    <t>Anne Macdonald</t>
  </si>
  <si>
    <t>Lorraine Jex</t>
  </si>
  <si>
    <t>Emma Moore</t>
  </si>
  <si>
    <t>Charlotte Tew</t>
  </si>
  <si>
    <t>Jane Tebbatt</t>
  </si>
  <si>
    <t>Heather Human</t>
  </si>
  <si>
    <t>Suzanne Skelton</t>
  </si>
  <si>
    <t>Ian Driscoll</t>
  </si>
  <si>
    <t>Katy Brennan</t>
  </si>
  <si>
    <t>David Thomas</t>
  </si>
  <si>
    <t>Caroline Townsend</t>
  </si>
  <si>
    <t>Steve Parkinson</t>
  </si>
  <si>
    <t>Jenny Ball</t>
  </si>
  <si>
    <t>Rob Nurse</t>
  </si>
  <si>
    <t>Jennifer Boyce</t>
  </si>
  <si>
    <t>Karen Draper</t>
  </si>
  <si>
    <t>Clare Whetton</t>
  </si>
  <si>
    <t>Ramandeep Kaur</t>
  </si>
  <si>
    <t>Craig Lee</t>
  </si>
  <si>
    <t>Mary Burke</t>
  </si>
  <si>
    <t>Alastair Anderson</t>
  </si>
  <si>
    <t>Teresa Sherriff</t>
  </si>
  <si>
    <t>Paula Norman</t>
  </si>
  <si>
    <t>Rebecca Wells</t>
  </si>
  <si>
    <t>Hilda Peyrebrune</t>
  </si>
  <si>
    <t>Amy Lidbury</t>
  </si>
  <si>
    <t>Deryk Woods</t>
  </si>
  <si>
    <t>Anne Devenney</t>
  </si>
  <si>
    <t>Kalpita Kholia</t>
  </si>
  <si>
    <t>Randeep Kaur</t>
  </si>
  <si>
    <t>Toni Briggs</t>
  </si>
  <si>
    <t>Erica Fisher</t>
  </si>
  <si>
    <t>VF70</t>
  </si>
  <si>
    <t>Emma Burgin</t>
  </si>
  <si>
    <t>Lynn Persse</t>
  </si>
  <si>
    <t>Teresa Satchell</t>
  </si>
  <si>
    <t>Ben Newcombe</t>
  </si>
  <si>
    <t>Amy Thorpe</t>
  </si>
  <si>
    <t>Dee Nurse</t>
  </si>
  <si>
    <t>Kate Rathbone</t>
  </si>
  <si>
    <t>Richard Reilly</t>
  </si>
  <si>
    <t>Darren Stell</t>
  </si>
  <si>
    <t>Rebecca Taylor</t>
  </si>
  <si>
    <t>Gary Lawrence</t>
  </si>
  <si>
    <t>Pauline Cooper</t>
  </si>
  <si>
    <t>South Derbyshire Road Runners</t>
  </si>
  <si>
    <t>Sarah Richards</t>
  </si>
  <si>
    <t>Melanie Snutch</t>
  </si>
  <si>
    <t>Stuart Gregory</t>
  </si>
  <si>
    <t>Julie Henfrey</t>
  </si>
  <si>
    <t>Dave Lodwick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</si>
</sst>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:ss"/>
  </numFmts>
  <fonts count="7">
    <font>
      <sz val="10.0"/>
      <color rgb="FF000000"/>
      <name val="Arial"/>
    </font>
    <font>
      <b/>
      <sz val="11.0"/>
      <color rgb="FFFFFFFF"/>
      <name val="Arial"/>
    </font>
    <font>
      <b/>
      <sz val="12.0"/>
      <color rgb="FFFFFFFF"/>
      <name val="Arial"/>
    </font>
    <font>
      <name val="Arial"/>
    </font>
    <font/>
    <font>
      <color rgb="FF000000"/>
      <name val="Arial"/>
    </font>
    <font>
      <b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F3F3F3"/>
      </top>
      <bottom style="thin">
        <color rgb="FFF3F3F3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F3F3F3"/>
      </bottom>
    </border>
    <border>
      <left style="thin">
        <color rgb="FF000000"/>
      </left>
    </border>
    <border>
      <right style="thin">
        <color rgb="FF000000"/>
      </right>
    </border>
    <border>
      <right style="thin">
        <color rgb="FFF3F3F3"/>
      </right>
      <bottom style="thin">
        <color rgb="FFF3F3F3"/>
      </bottom>
    </border>
    <border>
      <left style="thin">
        <color rgb="FFF3F3F3"/>
      </left>
      <right style="thin">
        <color rgb="FFF3F3F3"/>
      </right>
      <bottom style="thin">
        <color rgb="FFF3F3F3"/>
      </bottom>
    </border>
    <border>
      <left style="thin">
        <color rgb="FFF3F3F3"/>
      </left>
      <right style="thin">
        <color rgb="FFF3F3F3"/>
      </right>
      <bottom style="thin">
        <color rgb="FF000000"/>
      </bottom>
    </border>
    <border>
      <right style="thin">
        <color rgb="FFF3F3F3"/>
      </right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0"/>
    </xf>
    <xf borderId="1" fillId="2" fontId="2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 vertical="bottom"/>
    </xf>
    <xf borderId="2" fillId="0" fontId="4" numFmtId="0" xfId="0" applyBorder="1" applyFont="1"/>
    <xf borderId="0" fillId="0" fontId="5" numFmtId="164" xfId="0" applyAlignment="1" applyFont="1" applyNumberFormat="1">
      <alignment horizontal="center" vertical="bottom"/>
    </xf>
    <xf borderId="0" fillId="0" fontId="4" numFmtId="0" xfId="0" applyAlignment="1" applyFont="1">
      <alignment horizontal="center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center" vertical="bottom"/>
    </xf>
    <xf borderId="0" fillId="2" fontId="1" numFmtId="0" xfId="0" applyAlignment="1" applyFill="1" applyFont="1">
      <alignment horizontal="center" vertical="center"/>
    </xf>
    <xf borderId="0" fillId="0" fontId="5" numFmtId="164" xfId="0" applyAlignment="1" applyFont="1" applyNumberFormat="1">
      <alignment vertical="bottom"/>
    </xf>
    <xf borderId="3" fillId="0" fontId="4" numFmtId="0" xfId="0" applyBorder="1" applyFont="1"/>
    <xf borderId="0" fillId="0" fontId="5" numFmtId="0" xfId="0" applyAlignment="1" applyFont="1">
      <alignment readingOrder="0" vertical="bottom"/>
    </xf>
    <xf borderId="4" fillId="3" fontId="3" numFmtId="0" xfId="0" applyAlignment="1" applyBorder="1" applyFill="1" applyFont="1">
      <alignment vertical="center"/>
    </xf>
    <xf borderId="2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ill="1" applyFont="1">
      <alignment horizontal="center" vertical="center"/>
    </xf>
    <xf borderId="5" fillId="2" fontId="1" numFmtId="0" xfId="0" applyAlignment="1" applyBorder="1" applyFill="1" applyFont="1">
      <alignment horizontal="center" vertical="center"/>
    </xf>
    <xf borderId="0" fillId="0" fontId="5" numFmtId="0" xfId="0" applyAlignment="1" applyFont="1">
      <alignment horizontal="center" vertical="center"/>
    </xf>
    <xf borderId="6" fillId="2" fontId="1" numFmtId="0" xfId="0" applyAlignment="1" applyBorder="1" applyFill="1" applyFont="1">
      <alignment horizontal="center" vertical="center"/>
    </xf>
    <xf borderId="7" fillId="2" fontId="1" numFmtId="0" xfId="0" applyAlignment="1" applyBorder="1" applyFill="1" applyFont="1">
      <alignment horizontal="center" vertical="center"/>
    </xf>
    <xf borderId="8" fillId="3" fontId="3" numFmtId="0" xfId="0" applyAlignment="1" applyBorder="1" applyFill="1" applyFont="1">
      <alignment vertical="center"/>
    </xf>
    <xf borderId="6" fillId="2" fontId="1" numFmtId="0" xfId="0" applyAlignment="1" applyBorder="1" applyFill="1" applyFont="1">
      <alignment horizontal="center" vertical="center"/>
    </xf>
    <xf borderId="0" fillId="0" fontId="5" numFmtId="164" xfId="0" applyAlignment="1" applyFont="1" applyNumberFormat="1">
      <alignment horizontal="center" vertical="center"/>
    </xf>
    <xf borderId="9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0" numFmtId="0" xfId="0" applyAlignment="1" applyFont="1">
      <alignment horizontal="center" readingOrder="0" shrinkToFit="0" vertical="center" wrapText="0"/>
    </xf>
    <xf borderId="10" fillId="0" fontId="3" numFmtId="0" xfId="0" applyAlignment="1" applyBorder="1" applyFont="1">
      <alignment horizontal="center" vertical="center"/>
    </xf>
    <xf borderId="0" fillId="0" fontId="0" numFmtId="164" xfId="0" applyAlignment="1" applyFont="1" applyNumberFormat="1">
      <alignment horizontal="center" readingOrder="0" shrinkToFit="0" vertical="center" wrapText="0"/>
    </xf>
    <xf borderId="0" fillId="4" fontId="5" numFmtId="0" xfId="0" applyAlignment="1" applyFill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vertical="center"/>
    </xf>
    <xf borderId="6" fillId="0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11" fillId="3" fontId="3" numFmtId="0" xfId="0" applyAlignment="1" applyBorder="1" applyFill="1" applyFont="1">
      <alignment vertical="center"/>
    </xf>
    <xf borderId="5" fillId="0" fontId="3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12" fillId="3" fontId="3" numFmtId="0" xfId="0" applyAlignment="1" applyBorder="1" applyFill="1" applyFont="1">
      <alignment vertical="center"/>
    </xf>
    <xf borderId="13" fillId="3" fontId="3" numFmtId="0" xfId="0" applyAlignment="1" applyBorder="1" applyFill="1" applyFont="1">
      <alignment vertical="center"/>
    </xf>
    <xf borderId="14" fillId="3" fontId="3" numFmtId="0" xfId="0" applyAlignment="1" applyBorder="1" applyFill="1" applyFont="1">
      <alignment vertical="center"/>
    </xf>
    <xf borderId="9" fillId="2" fontId="2" numFmtId="0" xfId="0" applyAlignment="1" applyBorder="1" applyFill="1" applyFont="1">
      <alignment horizontal="center" vertical="center"/>
    </xf>
    <xf borderId="10" fillId="0" fontId="4" numFmtId="0" xfId="0" applyBorder="1" applyFont="1"/>
    <xf borderId="0" fillId="2" fontId="2" numFmtId="0" xfId="0" applyAlignment="1" applyFill="1" applyFont="1">
      <alignment horizontal="center" vertical="center"/>
    </xf>
    <xf borderId="0" fillId="0" fontId="3" numFmtId="0" xfId="0" applyAlignment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>
        <b/>
      </font>
      <fill>
        <patternFill patternType="solid">
          <fgColor rgb="FFF3F3F3"/>
          <bgColor rgb="FFF3F3F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0.13"/>
    <col customWidth="1" min="3" max="3" width="23.25"/>
    <col customWidth="1" min="4" max="5" width="10.13"/>
    <col customWidth="1" min="6" max="6" width="23.25"/>
    <col customWidth="1" min="7" max="7" width="13.75"/>
    <col customWidth="1" min="8" max="9" width="10.13"/>
  </cols>
  <sheetData>
    <row r="1" ht="22.5" customHeight="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>
      <c r="A2" s="3">
        <v>1.0</v>
      </c>
      <c r="B2" s="5">
        <v>0.021516203703703704</v>
      </c>
      <c r="C2" s="7" t="s">
        <v>10</v>
      </c>
      <c r="D2" s="8" t="s">
        <v>12</v>
      </c>
      <c r="E2" s="8" t="s">
        <v>14</v>
      </c>
      <c r="F2" s="10" t="s">
        <v>15</v>
      </c>
      <c r="G2" s="8">
        <v>1.0</v>
      </c>
      <c r="H2" s="8">
        <v>1.0</v>
      </c>
      <c r="I2" s="5">
        <v>0.021493055555555557</v>
      </c>
    </row>
    <row r="3">
      <c r="A3" s="3">
        <v>2.0</v>
      </c>
      <c r="B3" s="5">
        <v>0.021875</v>
      </c>
      <c r="C3" s="7" t="s">
        <v>11</v>
      </c>
      <c r="D3" s="8" t="s">
        <v>12</v>
      </c>
      <c r="E3" s="8" t="s">
        <v>14</v>
      </c>
      <c r="F3" s="12" t="s">
        <v>21</v>
      </c>
      <c r="G3" s="8">
        <v>2.0</v>
      </c>
      <c r="H3" s="8">
        <v>2.0</v>
      </c>
      <c r="I3" s="5">
        <v>0.021863425925925925</v>
      </c>
    </row>
    <row r="4">
      <c r="A4" s="3">
        <v>3.0</v>
      </c>
      <c r="B4" s="5">
        <v>0.022048611111111113</v>
      </c>
      <c r="C4" s="7" t="s">
        <v>22</v>
      </c>
      <c r="D4" s="8" t="s">
        <v>12</v>
      </c>
      <c r="E4" s="8" t="s">
        <v>14</v>
      </c>
      <c r="F4" s="10" t="s">
        <v>23</v>
      </c>
      <c r="G4" s="8">
        <v>3.0</v>
      </c>
      <c r="H4" s="8">
        <v>3.0</v>
      </c>
      <c r="I4" s="5">
        <v>0.022037037037037036</v>
      </c>
    </row>
    <row r="5">
      <c r="A5" s="3">
        <v>4.0</v>
      </c>
      <c r="B5" s="5">
        <v>0.023055555555555555</v>
      </c>
      <c r="C5" s="7" t="s">
        <v>13</v>
      </c>
      <c r="D5" s="8" t="s">
        <v>12</v>
      </c>
      <c r="E5" s="8" t="s">
        <v>14</v>
      </c>
      <c r="F5" s="12" t="s">
        <v>21</v>
      </c>
      <c r="G5" s="8">
        <v>4.0</v>
      </c>
      <c r="H5" s="8">
        <v>4.0</v>
      </c>
      <c r="I5" s="5">
        <v>0.023032407407407408</v>
      </c>
    </row>
    <row r="6">
      <c r="A6" s="3">
        <v>5.0</v>
      </c>
      <c r="B6" s="5">
        <v>0.023101851851851853</v>
      </c>
      <c r="C6" s="7" t="s">
        <v>29</v>
      </c>
      <c r="D6" s="8" t="s">
        <v>12</v>
      </c>
      <c r="E6" s="8" t="s">
        <v>14</v>
      </c>
      <c r="F6" s="10" t="s">
        <v>31</v>
      </c>
      <c r="G6" s="8">
        <v>5.0</v>
      </c>
      <c r="H6" s="8">
        <v>5.0</v>
      </c>
      <c r="I6" s="5">
        <v>0.023078703703703702</v>
      </c>
    </row>
    <row r="7">
      <c r="A7" s="3">
        <v>6.0</v>
      </c>
      <c r="B7" s="5">
        <v>0.023310185185185184</v>
      </c>
      <c r="C7" s="7" t="s">
        <v>34</v>
      </c>
      <c r="D7" s="8" t="s">
        <v>12</v>
      </c>
      <c r="E7" s="8" t="s">
        <v>14</v>
      </c>
      <c r="F7" s="10" t="s">
        <v>23</v>
      </c>
      <c r="G7" s="8">
        <v>6.0</v>
      </c>
      <c r="H7" s="8">
        <v>6.0</v>
      </c>
      <c r="I7" s="5">
        <v>0.023287037037037037</v>
      </c>
    </row>
    <row r="8">
      <c r="A8" s="3">
        <v>7.0</v>
      </c>
      <c r="B8" s="5">
        <v>0.02340277777777778</v>
      </c>
      <c r="C8" s="7" t="s">
        <v>37</v>
      </c>
      <c r="D8" s="8" t="s">
        <v>12</v>
      </c>
      <c r="E8" s="8" t="s">
        <v>39</v>
      </c>
      <c r="F8" s="10" t="s">
        <v>40</v>
      </c>
      <c r="G8" s="8">
        <v>7.0</v>
      </c>
      <c r="H8" s="8">
        <v>1.0</v>
      </c>
      <c r="I8" s="5">
        <v>0.02337962962962963</v>
      </c>
    </row>
    <row r="9">
      <c r="A9" s="3">
        <v>8.0</v>
      </c>
      <c r="B9" s="5">
        <v>0.023425925925925926</v>
      </c>
      <c r="C9" s="7" t="s">
        <v>41</v>
      </c>
      <c r="D9" s="8" t="s">
        <v>12</v>
      </c>
      <c r="E9" s="8" t="s">
        <v>14</v>
      </c>
      <c r="F9" s="10" t="s">
        <v>42</v>
      </c>
      <c r="G9" s="8">
        <v>8.0</v>
      </c>
      <c r="H9" s="8">
        <v>7.0</v>
      </c>
      <c r="I9" s="5">
        <v>0.023368055555555555</v>
      </c>
    </row>
    <row r="10">
      <c r="A10" s="3">
        <v>9.0</v>
      </c>
      <c r="B10" s="5">
        <v>0.02355324074074074</v>
      </c>
      <c r="C10" s="7" t="s">
        <v>43</v>
      </c>
      <c r="D10" s="8" t="s">
        <v>12</v>
      </c>
      <c r="E10" s="8" t="s">
        <v>14</v>
      </c>
      <c r="F10" s="10" t="s">
        <v>45</v>
      </c>
      <c r="G10" s="8">
        <v>9.0</v>
      </c>
      <c r="H10" s="8">
        <v>8.0</v>
      </c>
      <c r="I10" s="5">
        <v>0.023541666666666666</v>
      </c>
    </row>
    <row r="11">
      <c r="A11" s="3">
        <v>10.0</v>
      </c>
      <c r="B11" s="5">
        <v>0.023761574074074074</v>
      </c>
      <c r="C11" s="7" t="s">
        <v>47</v>
      </c>
      <c r="D11" s="8" t="s">
        <v>12</v>
      </c>
      <c r="E11" s="8" t="s">
        <v>14</v>
      </c>
      <c r="F11" s="10" t="s">
        <v>23</v>
      </c>
      <c r="G11" s="8">
        <v>10.0</v>
      </c>
      <c r="H11" s="8">
        <v>9.0</v>
      </c>
      <c r="I11" s="5">
        <v>0.023738425925925927</v>
      </c>
    </row>
    <row r="12">
      <c r="A12" s="3">
        <v>11.0</v>
      </c>
      <c r="B12" s="5">
        <v>0.023761574074074074</v>
      </c>
      <c r="C12" s="7" t="s">
        <v>48</v>
      </c>
      <c r="D12" s="8" t="s">
        <v>12</v>
      </c>
      <c r="E12" s="8" t="s">
        <v>49</v>
      </c>
      <c r="F12" s="10" t="s">
        <v>15</v>
      </c>
      <c r="G12" s="8">
        <v>11.0</v>
      </c>
      <c r="H12" s="8">
        <v>1.0</v>
      </c>
      <c r="I12" s="5">
        <v>0.02375</v>
      </c>
    </row>
    <row r="13">
      <c r="A13" s="3">
        <v>12.0</v>
      </c>
      <c r="B13" s="5">
        <v>0.023796296296296298</v>
      </c>
      <c r="C13" s="7" t="s">
        <v>51</v>
      </c>
      <c r="D13" s="8" t="s">
        <v>12</v>
      </c>
      <c r="E13" s="8" t="s">
        <v>14</v>
      </c>
      <c r="F13" s="10" t="s">
        <v>53</v>
      </c>
      <c r="G13" s="8">
        <v>12.0</v>
      </c>
      <c r="H13" s="8">
        <v>10.0</v>
      </c>
      <c r="I13" s="5">
        <v>0.02378472222222222</v>
      </c>
    </row>
    <row r="14">
      <c r="A14" s="3">
        <v>13.0</v>
      </c>
      <c r="B14" s="5">
        <v>0.024166666666666666</v>
      </c>
      <c r="C14" s="7" t="s">
        <v>56</v>
      </c>
      <c r="D14" s="8" t="s">
        <v>12</v>
      </c>
      <c r="E14" s="8" t="s">
        <v>49</v>
      </c>
      <c r="F14" s="10" t="s">
        <v>57</v>
      </c>
      <c r="G14" s="8">
        <v>13.0</v>
      </c>
      <c r="H14" s="8">
        <v>2.0</v>
      </c>
      <c r="I14" s="5">
        <v>0.024131944444444445</v>
      </c>
    </row>
    <row r="15">
      <c r="A15" s="3">
        <v>14.0</v>
      </c>
      <c r="B15" s="5">
        <v>0.02423611111111111</v>
      </c>
      <c r="C15" s="7" t="s">
        <v>58</v>
      </c>
      <c r="D15" s="8" t="s">
        <v>12</v>
      </c>
      <c r="E15" s="8" t="s">
        <v>14</v>
      </c>
      <c r="F15" s="10" t="s">
        <v>59</v>
      </c>
      <c r="G15" s="8">
        <v>14.0</v>
      </c>
      <c r="H15" s="8">
        <v>11.0</v>
      </c>
      <c r="I15" s="5">
        <v>0.02420138888888889</v>
      </c>
    </row>
    <row r="16">
      <c r="A16" s="3">
        <v>15.0</v>
      </c>
      <c r="B16" s="5">
        <v>0.02431712962962963</v>
      </c>
      <c r="C16" s="7" t="s">
        <v>16</v>
      </c>
      <c r="D16" s="8" t="s">
        <v>12</v>
      </c>
      <c r="E16" s="8" t="s">
        <v>14</v>
      </c>
      <c r="F16" s="12" t="s">
        <v>21</v>
      </c>
      <c r="G16" s="8">
        <v>15.0</v>
      </c>
      <c r="H16" s="8">
        <v>12.0</v>
      </c>
      <c r="I16" s="5">
        <v>0.024305555555555556</v>
      </c>
    </row>
    <row r="17">
      <c r="A17" s="3">
        <v>16.0</v>
      </c>
      <c r="B17" s="5">
        <v>0.02443287037037037</v>
      </c>
      <c r="C17" s="7" t="s">
        <v>67</v>
      </c>
      <c r="D17" s="8" t="s">
        <v>12</v>
      </c>
      <c r="E17" s="8" t="s">
        <v>14</v>
      </c>
      <c r="F17" s="10" t="s">
        <v>57</v>
      </c>
      <c r="G17" s="8">
        <v>16.0</v>
      </c>
      <c r="H17" s="8">
        <v>13.0</v>
      </c>
      <c r="I17" s="5">
        <v>0.02440972222222222</v>
      </c>
    </row>
    <row r="18">
      <c r="A18" s="3">
        <v>17.0</v>
      </c>
      <c r="B18" s="5">
        <v>0.024722222222222222</v>
      </c>
      <c r="C18" s="7" t="s">
        <v>68</v>
      </c>
      <c r="D18" s="8" t="s">
        <v>12</v>
      </c>
      <c r="E18" s="8" t="s">
        <v>14</v>
      </c>
      <c r="F18" s="10" t="s">
        <v>23</v>
      </c>
      <c r="G18" s="8">
        <v>17.0</v>
      </c>
      <c r="H18" s="8">
        <v>14.0</v>
      </c>
      <c r="I18" s="5">
        <v>0.024699074074074075</v>
      </c>
    </row>
    <row r="19">
      <c r="A19" s="3">
        <v>18.0</v>
      </c>
      <c r="B19" s="5">
        <v>0.024849537037037038</v>
      </c>
      <c r="C19" s="7" t="s">
        <v>18</v>
      </c>
      <c r="D19" s="8" t="s">
        <v>12</v>
      </c>
      <c r="E19" s="8" t="s">
        <v>14</v>
      </c>
      <c r="F19" s="12" t="s">
        <v>21</v>
      </c>
      <c r="G19" s="8">
        <v>18.0</v>
      </c>
      <c r="H19" s="8">
        <v>15.0</v>
      </c>
      <c r="I19" s="5">
        <v>0.024814814814814814</v>
      </c>
    </row>
    <row r="20">
      <c r="A20" s="3">
        <v>19.0</v>
      </c>
      <c r="B20" s="5">
        <v>0.024872685185185185</v>
      </c>
      <c r="C20" s="7" t="s">
        <v>77</v>
      </c>
      <c r="D20" s="8" t="s">
        <v>12</v>
      </c>
      <c r="E20" s="8" t="s">
        <v>49</v>
      </c>
      <c r="F20" s="10" t="s">
        <v>78</v>
      </c>
      <c r="G20" s="8">
        <v>19.0</v>
      </c>
      <c r="H20" s="8">
        <v>3.0</v>
      </c>
      <c r="I20" s="5">
        <v>0.024837962962962964</v>
      </c>
    </row>
    <row r="21">
      <c r="A21" s="3">
        <v>20.0</v>
      </c>
      <c r="B21" s="5">
        <v>0.024895833333333332</v>
      </c>
      <c r="C21" s="7" t="s">
        <v>79</v>
      </c>
      <c r="D21" s="8" t="s">
        <v>80</v>
      </c>
      <c r="E21" s="8" t="s">
        <v>81</v>
      </c>
      <c r="F21" s="10" t="s">
        <v>31</v>
      </c>
      <c r="G21" s="8">
        <v>1.0</v>
      </c>
      <c r="H21" s="8">
        <v>1.0</v>
      </c>
      <c r="I21" s="5">
        <v>0.02488425925925926</v>
      </c>
    </row>
    <row r="22">
      <c r="A22" s="3">
        <v>21.0</v>
      </c>
      <c r="B22" s="5">
        <v>0.02494212962962963</v>
      </c>
      <c r="C22" s="7" t="s">
        <v>82</v>
      </c>
      <c r="D22" s="8" t="s">
        <v>12</v>
      </c>
      <c r="E22" s="8" t="s">
        <v>83</v>
      </c>
      <c r="F22" s="10" t="s">
        <v>40</v>
      </c>
      <c r="G22" s="8">
        <v>20.0</v>
      </c>
      <c r="H22" s="8">
        <v>1.0</v>
      </c>
      <c r="I22" s="5">
        <v>0.024918981481481483</v>
      </c>
    </row>
    <row r="23">
      <c r="A23" s="3">
        <v>22.0</v>
      </c>
      <c r="B23" s="5">
        <v>0.025011574074074075</v>
      </c>
      <c r="C23" s="7" t="s">
        <v>19</v>
      </c>
      <c r="D23" s="8" t="s">
        <v>12</v>
      </c>
      <c r="E23" s="8" t="s">
        <v>83</v>
      </c>
      <c r="F23" s="12" t="s">
        <v>21</v>
      </c>
      <c r="G23" s="8">
        <v>21.0</v>
      </c>
      <c r="H23" s="8">
        <v>2.0</v>
      </c>
      <c r="I23" s="5">
        <v>0.024988425925925924</v>
      </c>
    </row>
    <row r="24">
      <c r="A24" s="3">
        <v>23.0</v>
      </c>
      <c r="B24" s="5">
        <v>0.025034722222222222</v>
      </c>
      <c r="C24" s="7" t="s">
        <v>85</v>
      </c>
      <c r="D24" s="8" t="s">
        <v>12</v>
      </c>
      <c r="E24" s="8" t="s">
        <v>14</v>
      </c>
      <c r="F24" s="10" t="s">
        <v>59</v>
      </c>
      <c r="G24" s="8">
        <v>22.0</v>
      </c>
      <c r="H24" s="8">
        <v>16.0</v>
      </c>
      <c r="I24" s="5">
        <v>0.024965277777777777</v>
      </c>
    </row>
    <row r="25">
      <c r="A25" s="3">
        <v>24.0</v>
      </c>
      <c r="B25" s="5">
        <v>0.02511574074074074</v>
      </c>
      <c r="C25" s="7" t="s">
        <v>88</v>
      </c>
      <c r="D25" s="8" t="s">
        <v>12</v>
      </c>
      <c r="E25" s="8" t="s">
        <v>14</v>
      </c>
      <c r="F25" s="10" t="s">
        <v>31</v>
      </c>
      <c r="G25" s="8">
        <v>23.0</v>
      </c>
      <c r="H25" s="8">
        <v>17.0</v>
      </c>
      <c r="I25" s="5">
        <v>0.025069444444444443</v>
      </c>
    </row>
    <row r="26">
      <c r="A26" s="3">
        <v>25.0</v>
      </c>
      <c r="B26" s="5">
        <v>0.02516203703703704</v>
      </c>
      <c r="C26" s="7" t="s">
        <v>89</v>
      </c>
      <c r="D26" s="8" t="s">
        <v>12</v>
      </c>
      <c r="E26" s="8" t="s">
        <v>14</v>
      </c>
      <c r="F26" s="10" t="s">
        <v>31</v>
      </c>
      <c r="G26" s="8">
        <v>24.0</v>
      </c>
      <c r="H26" s="8">
        <v>18.0</v>
      </c>
      <c r="I26" s="5">
        <v>0.025104166666666667</v>
      </c>
    </row>
    <row r="27">
      <c r="A27" s="3">
        <v>26.0</v>
      </c>
      <c r="B27" s="5">
        <v>0.02525462962962963</v>
      </c>
      <c r="C27" s="7" t="s">
        <v>90</v>
      </c>
      <c r="D27" s="8" t="s">
        <v>12</v>
      </c>
      <c r="E27" s="8" t="s">
        <v>14</v>
      </c>
      <c r="F27" s="10" t="s">
        <v>42</v>
      </c>
      <c r="G27" s="8">
        <v>25.0</v>
      </c>
      <c r="H27" s="8">
        <v>19.0</v>
      </c>
      <c r="I27" s="5">
        <v>0.025185185185185185</v>
      </c>
    </row>
    <row r="28">
      <c r="A28" s="3">
        <v>27.0</v>
      </c>
      <c r="B28" s="5">
        <v>0.025300925925925925</v>
      </c>
      <c r="C28" s="7" t="s">
        <v>91</v>
      </c>
      <c r="D28" s="8" t="s">
        <v>12</v>
      </c>
      <c r="E28" s="8" t="s">
        <v>14</v>
      </c>
      <c r="F28" s="10" t="s">
        <v>31</v>
      </c>
      <c r="G28" s="8">
        <v>26.0</v>
      </c>
      <c r="H28" s="8">
        <v>20.0</v>
      </c>
      <c r="I28" s="5">
        <v>0.02525462962962963</v>
      </c>
    </row>
    <row r="29">
      <c r="A29" s="3">
        <v>28.0</v>
      </c>
      <c r="B29" s="5">
        <v>0.025347222222222222</v>
      </c>
      <c r="C29" s="7" t="s">
        <v>20</v>
      </c>
      <c r="D29" s="8" t="s">
        <v>12</v>
      </c>
      <c r="E29" s="8" t="s">
        <v>83</v>
      </c>
      <c r="F29" s="12" t="s">
        <v>21</v>
      </c>
      <c r="G29" s="8">
        <v>27.0</v>
      </c>
      <c r="H29" s="8">
        <v>3.0</v>
      </c>
      <c r="I29" s="5">
        <v>0.025324074074074075</v>
      </c>
    </row>
    <row r="30">
      <c r="A30" s="3">
        <v>29.0</v>
      </c>
      <c r="B30" s="5">
        <v>0.02539351851851852</v>
      </c>
      <c r="C30" s="7" t="s">
        <v>92</v>
      </c>
      <c r="D30" s="8" t="s">
        <v>12</v>
      </c>
      <c r="E30" s="8" t="s">
        <v>14</v>
      </c>
      <c r="F30" s="10" t="s">
        <v>31</v>
      </c>
      <c r="G30" s="8">
        <v>28.0</v>
      </c>
      <c r="H30" s="8">
        <v>21.0</v>
      </c>
      <c r="I30" s="5">
        <v>0.02533564814814815</v>
      </c>
    </row>
    <row r="31">
      <c r="A31" s="3">
        <v>30.0</v>
      </c>
      <c r="B31" s="5">
        <v>0.025532407407407406</v>
      </c>
      <c r="C31" s="7" t="s">
        <v>93</v>
      </c>
      <c r="D31" s="8" t="s">
        <v>12</v>
      </c>
      <c r="E31" s="8" t="s">
        <v>83</v>
      </c>
      <c r="F31" s="10" t="s">
        <v>23</v>
      </c>
      <c r="G31" s="8">
        <v>29.0</v>
      </c>
      <c r="H31" s="8">
        <v>4.0</v>
      </c>
      <c r="I31" s="5">
        <v>0.025497685185185186</v>
      </c>
    </row>
    <row r="32">
      <c r="A32" s="3">
        <v>31.0</v>
      </c>
      <c r="B32" s="5">
        <v>0.02554398148148148</v>
      </c>
      <c r="C32" s="7" t="s">
        <v>94</v>
      </c>
      <c r="D32" s="8" t="s">
        <v>12</v>
      </c>
      <c r="E32" s="8" t="s">
        <v>95</v>
      </c>
      <c r="F32" s="10" t="s">
        <v>23</v>
      </c>
      <c r="G32" s="8">
        <v>30.0</v>
      </c>
      <c r="H32" s="8">
        <v>1.0</v>
      </c>
      <c r="I32" s="5">
        <v>0.025497685185185186</v>
      </c>
    </row>
    <row r="33">
      <c r="A33" s="3">
        <v>32.0</v>
      </c>
      <c r="B33" s="5">
        <v>0.025555555555555557</v>
      </c>
      <c r="C33" s="7" t="s">
        <v>24</v>
      </c>
      <c r="D33" s="8" t="s">
        <v>12</v>
      </c>
      <c r="E33" s="8" t="s">
        <v>14</v>
      </c>
      <c r="F33" s="12" t="s">
        <v>21</v>
      </c>
      <c r="G33" s="8">
        <v>31.0</v>
      </c>
      <c r="H33" s="8">
        <v>22.0</v>
      </c>
      <c r="I33" s="5">
        <v>0.02550925925925926</v>
      </c>
    </row>
    <row r="34">
      <c r="A34" s="3">
        <v>33.0</v>
      </c>
      <c r="B34" s="5">
        <v>0.02554398148148148</v>
      </c>
      <c r="C34" s="7" t="s">
        <v>27</v>
      </c>
      <c r="D34" s="8" t="s">
        <v>12</v>
      </c>
      <c r="E34" s="8" t="s">
        <v>83</v>
      </c>
      <c r="F34" s="12" t="s">
        <v>21</v>
      </c>
      <c r="G34" s="8">
        <v>32.0</v>
      </c>
      <c r="H34" s="8">
        <v>5.0</v>
      </c>
      <c r="I34" s="5">
        <v>0.025520833333333333</v>
      </c>
    </row>
    <row r="35">
      <c r="A35" s="3">
        <v>34.0</v>
      </c>
      <c r="B35" s="5">
        <v>0.02560185185185185</v>
      </c>
      <c r="C35" s="7" t="s">
        <v>96</v>
      </c>
      <c r="D35" s="8" t="s">
        <v>12</v>
      </c>
      <c r="E35" s="8" t="s">
        <v>49</v>
      </c>
      <c r="F35" s="10" t="s">
        <v>15</v>
      </c>
      <c r="G35" s="8">
        <v>33.0</v>
      </c>
      <c r="H35" s="8">
        <v>4.0</v>
      </c>
      <c r="I35" s="5">
        <v>0.02556712962962963</v>
      </c>
    </row>
    <row r="36">
      <c r="A36" s="3">
        <v>35.0</v>
      </c>
      <c r="B36" s="5">
        <v>0.025636574074074076</v>
      </c>
      <c r="C36" s="7" t="s">
        <v>97</v>
      </c>
      <c r="D36" s="8" t="s">
        <v>12</v>
      </c>
      <c r="E36" s="8" t="s">
        <v>83</v>
      </c>
      <c r="F36" s="10" t="s">
        <v>31</v>
      </c>
      <c r="G36" s="8">
        <v>34.0</v>
      </c>
      <c r="H36" s="8">
        <v>6.0</v>
      </c>
      <c r="I36" s="5">
        <v>0.025625</v>
      </c>
    </row>
    <row r="37">
      <c r="A37" s="3">
        <v>36.0</v>
      </c>
      <c r="B37" s="5">
        <v>0.025729166666666668</v>
      </c>
      <c r="C37" s="7" t="s">
        <v>98</v>
      </c>
      <c r="D37" s="8" t="s">
        <v>12</v>
      </c>
      <c r="E37" s="8" t="s">
        <v>95</v>
      </c>
      <c r="F37" s="10" t="s">
        <v>99</v>
      </c>
      <c r="G37" s="8">
        <v>35.0</v>
      </c>
      <c r="H37" s="8">
        <v>2.0</v>
      </c>
      <c r="I37" s="5">
        <v>0.025636574074074076</v>
      </c>
    </row>
    <row r="38">
      <c r="A38" s="3">
        <v>37.0</v>
      </c>
      <c r="B38" s="5">
        <v>0.025775462962962962</v>
      </c>
      <c r="C38" s="7" t="s">
        <v>100</v>
      </c>
      <c r="D38" s="8" t="s">
        <v>12</v>
      </c>
      <c r="E38" s="8" t="s">
        <v>14</v>
      </c>
      <c r="F38" s="10" t="s">
        <v>101</v>
      </c>
      <c r="G38" s="8">
        <v>36.0</v>
      </c>
      <c r="H38" s="8">
        <v>23.0</v>
      </c>
      <c r="I38" s="5">
        <v>0.02574074074074074</v>
      </c>
    </row>
    <row r="39">
      <c r="A39" s="3">
        <v>38.0</v>
      </c>
      <c r="B39" s="5">
        <v>0.02582175925925926</v>
      </c>
      <c r="C39" s="7" t="s">
        <v>102</v>
      </c>
      <c r="D39" s="8" t="s">
        <v>12</v>
      </c>
      <c r="E39" s="8" t="s">
        <v>14</v>
      </c>
      <c r="F39" s="10" t="s">
        <v>53</v>
      </c>
      <c r="G39" s="8">
        <v>37.0</v>
      </c>
      <c r="H39" s="8">
        <v>24.0</v>
      </c>
      <c r="I39" s="5">
        <v>0.025775462962962962</v>
      </c>
    </row>
    <row r="40">
      <c r="A40" s="3">
        <v>39.0</v>
      </c>
      <c r="B40" s="5">
        <v>0.025844907407407407</v>
      </c>
      <c r="C40" s="7" t="s">
        <v>103</v>
      </c>
      <c r="D40" s="8" t="s">
        <v>12</v>
      </c>
      <c r="E40" s="8" t="s">
        <v>39</v>
      </c>
      <c r="F40" s="10" t="s">
        <v>104</v>
      </c>
      <c r="G40" s="8">
        <v>38.0</v>
      </c>
      <c r="H40" s="8">
        <v>2.0</v>
      </c>
      <c r="I40" s="5">
        <v>0.025810185185185186</v>
      </c>
    </row>
    <row r="41">
      <c r="A41" s="3">
        <v>40.0</v>
      </c>
      <c r="B41" s="5">
        <v>0.025891203703703704</v>
      </c>
      <c r="C41" s="7" t="s">
        <v>105</v>
      </c>
      <c r="D41" s="8" t="s">
        <v>80</v>
      </c>
      <c r="E41" s="8" t="s">
        <v>81</v>
      </c>
      <c r="F41" s="10" t="s">
        <v>31</v>
      </c>
      <c r="G41" s="8">
        <v>2.0</v>
      </c>
      <c r="H41" s="8">
        <v>2.0</v>
      </c>
      <c r="I41" s="5">
        <v>0.025844907407407407</v>
      </c>
    </row>
    <row r="42">
      <c r="A42" s="3">
        <v>41.0</v>
      </c>
      <c r="B42" s="5">
        <v>0.025902777777777778</v>
      </c>
      <c r="C42" s="7" t="s">
        <v>106</v>
      </c>
      <c r="D42" s="8" t="s">
        <v>12</v>
      </c>
      <c r="E42" s="8" t="s">
        <v>95</v>
      </c>
      <c r="F42" s="10" t="s">
        <v>57</v>
      </c>
      <c r="G42" s="8">
        <v>39.0</v>
      </c>
      <c r="H42" s="8">
        <v>3.0</v>
      </c>
      <c r="I42" s="5">
        <v>0.025833333333333333</v>
      </c>
    </row>
    <row r="43">
      <c r="A43" s="3">
        <v>42.0</v>
      </c>
      <c r="B43" s="5">
        <v>0.025925925925925925</v>
      </c>
      <c r="C43" s="7" t="s">
        <v>108</v>
      </c>
      <c r="D43" s="8" t="s">
        <v>80</v>
      </c>
      <c r="E43" s="8" t="s">
        <v>81</v>
      </c>
      <c r="F43" s="10" t="s">
        <v>53</v>
      </c>
      <c r="G43" s="8">
        <v>3.0</v>
      </c>
      <c r="H43" s="8">
        <v>3.0</v>
      </c>
      <c r="I43" s="5">
        <v>0.025902777777777778</v>
      </c>
    </row>
    <row r="44">
      <c r="A44" s="3">
        <v>43.0</v>
      </c>
      <c r="B44" s="5">
        <v>0.02599537037037037</v>
      </c>
      <c r="C44" s="7" t="s">
        <v>109</v>
      </c>
      <c r="D44" s="8" t="s">
        <v>12</v>
      </c>
      <c r="E44" s="8" t="s">
        <v>14</v>
      </c>
      <c r="F44" s="10" t="s">
        <v>110</v>
      </c>
      <c r="G44" s="8">
        <v>40.0</v>
      </c>
      <c r="H44" s="8">
        <v>25.0</v>
      </c>
      <c r="I44" s="5">
        <v>0.025949074074074076</v>
      </c>
    </row>
    <row r="45">
      <c r="A45" s="3">
        <v>44.0</v>
      </c>
      <c r="B45" s="5">
        <v>0.026006944444444444</v>
      </c>
      <c r="C45" s="7" t="s">
        <v>111</v>
      </c>
      <c r="D45" s="8" t="s">
        <v>12</v>
      </c>
      <c r="E45" s="8" t="s">
        <v>14</v>
      </c>
      <c r="F45" s="10" t="s">
        <v>112</v>
      </c>
      <c r="G45" s="8">
        <v>41.0</v>
      </c>
      <c r="H45" s="8">
        <v>26.0</v>
      </c>
      <c r="I45" s="5">
        <v>0.025949074074074076</v>
      </c>
    </row>
    <row r="46">
      <c r="A46" s="3">
        <v>45.0</v>
      </c>
      <c r="B46" s="5">
        <v>0.026099537037037036</v>
      </c>
      <c r="C46" s="7" t="s">
        <v>113</v>
      </c>
      <c r="D46" s="8" t="s">
        <v>12</v>
      </c>
      <c r="E46" s="8" t="s">
        <v>49</v>
      </c>
      <c r="F46" s="10" t="s">
        <v>45</v>
      </c>
      <c r="G46" s="8">
        <v>42.0</v>
      </c>
      <c r="H46" s="8">
        <v>5.0</v>
      </c>
      <c r="I46" s="5">
        <v>0.026064814814814815</v>
      </c>
    </row>
    <row r="47">
      <c r="A47" s="3">
        <v>46.0</v>
      </c>
      <c r="B47" s="5">
        <v>0.026180555555555554</v>
      </c>
      <c r="C47" s="7" t="s">
        <v>114</v>
      </c>
      <c r="D47" s="8" t="s">
        <v>12</v>
      </c>
      <c r="E47" s="8" t="s">
        <v>115</v>
      </c>
      <c r="F47" s="10" t="s">
        <v>40</v>
      </c>
      <c r="G47" s="8">
        <v>43.0</v>
      </c>
      <c r="H47" s="8">
        <v>1.0</v>
      </c>
      <c r="I47" s="5">
        <v>0.026099537037037036</v>
      </c>
    </row>
    <row r="48">
      <c r="A48" s="3">
        <v>47.0</v>
      </c>
      <c r="B48" s="5">
        <v>0.02619212962962963</v>
      </c>
      <c r="C48" s="7" t="s">
        <v>116</v>
      </c>
      <c r="D48" s="8" t="s">
        <v>12</v>
      </c>
      <c r="E48" s="8" t="s">
        <v>14</v>
      </c>
      <c r="F48" s="10" t="s">
        <v>57</v>
      </c>
      <c r="G48" s="8">
        <v>44.0</v>
      </c>
      <c r="H48" s="8">
        <v>27.0</v>
      </c>
      <c r="I48" s="5">
        <v>0.02613425925925926</v>
      </c>
    </row>
    <row r="49">
      <c r="A49" s="3">
        <v>48.0</v>
      </c>
      <c r="B49" s="5">
        <v>0.026203703703703705</v>
      </c>
      <c r="C49" s="7" t="s">
        <v>117</v>
      </c>
      <c r="D49" s="8" t="s">
        <v>12</v>
      </c>
      <c r="E49" s="8" t="s">
        <v>14</v>
      </c>
      <c r="F49" s="10" t="s">
        <v>45</v>
      </c>
      <c r="G49" s="8">
        <v>45.0</v>
      </c>
      <c r="H49" s="8">
        <v>28.0</v>
      </c>
      <c r="I49" s="5">
        <v>0.02613425925925926</v>
      </c>
    </row>
    <row r="50">
      <c r="A50" s="3">
        <v>49.0</v>
      </c>
      <c r="B50" s="5">
        <v>0.026203703703703705</v>
      </c>
      <c r="C50" s="7" t="s">
        <v>118</v>
      </c>
      <c r="D50" s="8" t="s">
        <v>80</v>
      </c>
      <c r="E50" s="8" t="s">
        <v>119</v>
      </c>
      <c r="F50" s="10" t="s">
        <v>40</v>
      </c>
      <c r="G50" s="8">
        <v>4.0</v>
      </c>
      <c r="H50" s="8">
        <v>1.0</v>
      </c>
      <c r="I50" s="5">
        <v>0.02616898148148148</v>
      </c>
    </row>
    <row r="51">
      <c r="A51" s="3">
        <v>50.0</v>
      </c>
      <c r="B51" s="5">
        <v>0.02621527777777778</v>
      </c>
      <c r="C51" s="7" t="s">
        <v>120</v>
      </c>
      <c r="D51" s="8" t="s">
        <v>12</v>
      </c>
      <c r="E51" s="8" t="s">
        <v>115</v>
      </c>
      <c r="F51" s="10" t="s">
        <v>40</v>
      </c>
      <c r="G51" s="8">
        <v>46.0</v>
      </c>
      <c r="H51" s="8">
        <v>2.0</v>
      </c>
      <c r="I51" s="5">
        <v>0.02619212962962963</v>
      </c>
    </row>
    <row r="52">
      <c r="A52" s="3">
        <v>51.0</v>
      </c>
      <c r="B52" s="5">
        <v>0.026331018518518517</v>
      </c>
      <c r="C52" s="7" t="s">
        <v>121</v>
      </c>
      <c r="D52" s="8" t="s">
        <v>12</v>
      </c>
      <c r="E52" s="8" t="s">
        <v>122</v>
      </c>
      <c r="F52" s="10" t="s">
        <v>42</v>
      </c>
      <c r="G52" s="8">
        <v>47.0</v>
      </c>
      <c r="H52" s="8">
        <v>1.0</v>
      </c>
      <c r="I52" s="5">
        <v>0.026296296296296297</v>
      </c>
    </row>
    <row r="53">
      <c r="A53" s="3">
        <v>52.0</v>
      </c>
      <c r="B53" s="5">
        <v>0.02634259259259259</v>
      </c>
      <c r="C53" s="7" t="s">
        <v>123</v>
      </c>
      <c r="D53" s="8" t="s">
        <v>12</v>
      </c>
      <c r="E53" s="8" t="s">
        <v>83</v>
      </c>
      <c r="F53" s="10" t="s">
        <v>110</v>
      </c>
      <c r="G53" s="8">
        <v>48.0</v>
      </c>
      <c r="H53" s="8">
        <v>7.0</v>
      </c>
      <c r="I53" s="5">
        <v>0.026296296296296297</v>
      </c>
    </row>
    <row r="54">
      <c r="A54" s="3">
        <v>53.0</v>
      </c>
      <c r="B54" s="5">
        <v>0.026354166666666668</v>
      </c>
      <c r="C54" s="7" t="s">
        <v>124</v>
      </c>
      <c r="D54" s="8" t="s">
        <v>12</v>
      </c>
      <c r="E54" s="8" t="s">
        <v>14</v>
      </c>
      <c r="F54" s="10" t="s">
        <v>40</v>
      </c>
      <c r="G54" s="8">
        <v>49.0</v>
      </c>
      <c r="H54" s="8">
        <v>29.0</v>
      </c>
      <c r="I54" s="5">
        <v>0.02627314814814815</v>
      </c>
    </row>
    <row r="55">
      <c r="A55" s="3">
        <v>54.0</v>
      </c>
      <c r="B55" s="5">
        <v>0.02638888888888889</v>
      </c>
      <c r="C55" s="7" t="s">
        <v>125</v>
      </c>
      <c r="D55" s="8" t="s">
        <v>80</v>
      </c>
      <c r="E55" s="8" t="s">
        <v>81</v>
      </c>
      <c r="F55" s="10" t="s">
        <v>78</v>
      </c>
      <c r="G55" s="8">
        <v>5.0</v>
      </c>
      <c r="H55" s="8">
        <v>4.0</v>
      </c>
      <c r="I55" s="5">
        <v>0.02636574074074074</v>
      </c>
    </row>
    <row r="56">
      <c r="A56" s="3">
        <v>55.0</v>
      </c>
      <c r="B56" s="5">
        <v>0.02642361111111111</v>
      </c>
      <c r="C56" s="7" t="s">
        <v>126</v>
      </c>
      <c r="D56" s="8" t="s">
        <v>12</v>
      </c>
      <c r="E56" s="8" t="s">
        <v>95</v>
      </c>
      <c r="F56" s="10" t="s">
        <v>99</v>
      </c>
      <c r="G56" s="8">
        <v>50.0</v>
      </c>
      <c r="H56" s="8">
        <v>4.0</v>
      </c>
      <c r="I56" s="5">
        <v>0.026354166666666668</v>
      </c>
    </row>
    <row r="57">
      <c r="A57" s="3">
        <v>56.0</v>
      </c>
      <c r="B57" s="5">
        <v>0.026516203703703705</v>
      </c>
      <c r="C57" s="7" t="s">
        <v>127</v>
      </c>
      <c r="D57" s="8" t="s">
        <v>80</v>
      </c>
      <c r="E57" s="8" t="s">
        <v>81</v>
      </c>
      <c r="F57" s="10" t="s">
        <v>23</v>
      </c>
      <c r="G57" s="8">
        <v>6.0</v>
      </c>
      <c r="H57" s="8">
        <v>5.0</v>
      </c>
      <c r="I57" s="5">
        <v>0.02648148148148148</v>
      </c>
    </row>
    <row r="58">
      <c r="A58" s="3">
        <v>57.0</v>
      </c>
      <c r="B58" s="5">
        <v>0.026597222222222223</v>
      </c>
      <c r="C58" s="7" t="s">
        <v>128</v>
      </c>
      <c r="D58" s="8" t="s">
        <v>12</v>
      </c>
      <c r="E58" s="8" t="s">
        <v>14</v>
      </c>
      <c r="F58" s="10" t="s">
        <v>129</v>
      </c>
      <c r="G58" s="8">
        <v>51.0</v>
      </c>
      <c r="H58" s="8">
        <v>30.0</v>
      </c>
      <c r="I58" s="5">
        <v>0.0265625</v>
      </c>
    </row>
    <row r="59">
      <c r="A59" s="3">
        <v>58.0</v>
      </c>
      <c r="B59" s="5">
        <v>0.02665509259259259</v>
      </c>
      <c r="C59" s="7" t="s">
        <v>30</v>
      </c>
      <c r="D59" s="8" t="s">
        <v>12</v>
      </c>
      <c r="E59" s="8" t="s">
        <v>49</v>
      </c>
      <c r="F59" s="12" t="s">
        <v>21</v>
      </c>
      <c r="G59" s="8">
        <v>52.0</v>
      </c>
      <c r="H59" s="8">
        <v>6.0</v>
      </c>
      <c r="I59" s="5">
        <v>0.026597222222222223</v>
      </c>
    </row>
    <row r="60">
      <c r="A60" s="3">
        <v>59.0</v>
      </c>
      <c r="B60" s="5">
        <v>0.02665509259259259</v>
      </c>
      <c r="C60" s="7" t="s">
        <v>130</v>
      </c>
      <c r="D60" s="8" t="s">
        <v>80</v>
      </c>
      <c r="E60" s="8" t="s">
        <v>119</v>
      </c>
      <c r="F60" s="10" t="s">
        <v>53</v>
      </c>
      <c r="G60" s="8">
        <v>7.0</v>
      </c>
      <c r="H60" s="8">
        <v>2.0</v>
      </c>
      <c r="I60" s="5">
        <v>0.02662037037037037</v>
      </c>
    </row>
    <row r="61">
      <c r="A61" s="3">
        <v>60.0</v>
      </c>
      <c r="B61" s="5">
        <v>0.026724537037037036</v>
      </c>
      <c r="C61" s="7" t="s">
        <v>131</v>
      </c>
      <c r="D61" s="8" t="s">
        <v>12</v>
      </c>
      <c r="E61" s="8" t="s">
        <v>14</v>
      </c>
      <c r="F61" s="10" t="s">
        <v>132</v>
      </c>
      <c r="G61" s="8">
        <v>53.0</v>
      </c>
      <c r="H61" s="8">
        <v>31.0</v>
      </c>
      <c r="I61" s="5">
        <v>0.02666666666666667</v>
      </c>
    </row>
    <row r="62">
      <c r="A62" s="3">
        <v>61.0</v>
      </c>
      <c r="B62" s="5">
        <v>0.026724537037037036</v>
      </c>
      <c r="C62" s="7" t="s">
        <v>133</v>
      </c>
      <c r="D62" s="8" t="s">
        <v>80</v>
      </c>
      <c r="E62" s="8" t="s">
        <v>81</v>
      </c>
      <c r="F62" s="10" t="s">
        <v>132</v>
      </c>
      <c r="G62" s="8">
        <v>8.0</v>
      </c>
      <c r="H62" s="8">
        <v>6.0</v>
      </c>
      <c r="I62" s="5">
        <v>0.02666666666666667</v>
      </c>
    </row>
    <row r="63">
      <c r="A63" s="3">
        <v>62.0</v>
      </c>
      <c r="B63" s="5">
        <v>0.02679398148148148</v>
      </c>
      <c r="C63" s="7" t="s">
        <v>134</v>
      </c>
      <c r="D63" s="8" t="s">
        <v>12</v>
      </c>
      <c r="E63" s="8" t="s">
        <v>14</v>
      </c>
      <c r="F63" s="10" t="s">
        <v>59</v>
      </c>
      <c r="G63" s="8">
        <v>54.0</v>
      </c>
      <c r="H63" s="8">
        <v>32.0</v>
      </c>
      <c r="I63" s="5">
        <v>0.026712962962962963</v>
      </c>
    </row>
    <row r="64">
      <c r="A64" s="3">
        <v>63.0</v>
      </c>
      <c r="B64" s="5">
        <v>0.026828703703703705</v>
      </c>
      <c r="C64" s="7" t="s">
        <v>136</v>
      </c>
      <c r="D64" s="8" t="s">
        <v>12</v>
      </c>
      <c r="E64" s="8" t="s">
        <v>49</v>
      </c>
      <c r="F64" s="10" t="s">
        <v>99</v>
      </c>
      <c r="G64" s="8">
        <v>55.0</v>
      </c>
      <c r="H64" s="8">
        <v>7.0</v>
      </c>
      <c r="I64" s="5">
        <v>0.02675925925925926</v>
      </c>
    </row>
    <row r="65">
      <c r="A65" s="3">
        <v>64.0</v>
      </c>
      <c r="B65" s="5">
        <v>0.02684027777777778</v>
      </c>
      <c r="C65" s="7" t="s">
        <v>32</v>
      </c>
      <c r="D65" s="8" t="s">
        <v>12</v>
      </c>
      <c r="E65" s="8" t="s">
        <v>14</v>
      </c>
      <c r="F65" s="12" t="s">
        <v>21</v>
      </c>
      <c r="G65" s="8">
        <v>56.0</v>
      </c>
      <c r="H65" s="8">
        <v>33.0</v>
      </c>
      <c r="I65" s="5">
        <v>0.026782407407407408</v>
      </c>
    </row>
    <row r="66">
      <c r="A66" s="3">
        <v>65.0</v>
      </c>
      <c r="B66" s="5">
        <v>0.026851851851851852</v>
      </c>
      <c r="C66" s="7" t="s">
        <v>33</v>
      </c>
      <c r="D66" s="8" t="s">
        <v>12</v>
      </c>
      <c r="E66" s="8" t="s">
        <v>49</v>
      </c>
      <c r="F66" s="12" t="s">
        <v>21</v>
      </c>
      <c r="G66" s="8">
        <v>57.0</v>
      </c>
      <c r="H66" s="8">
        <v>8.0</v>
      </c>
      <c r="I66" s="5">
        <v>0.02673611111111111</v>
      </c>
    </row>
    <row r="67">
      <c r="A67" s="3">
        <v>66.0</v>
      </c>
      <c r="B67" s="5">
        <v>0.026898148148148147</v>
      </c>
      <c r="C67" s="7" t="s">
        <v>138</v>
      </c>
      <c r="D67" s="8" t="s">
        <v>80</v>
      </c>
      <c r="E67" s="8" t="s">
        <v>81</v>
      </c>
      <c r="F67" s="10" t="s">
        <v>139</v>
      </c>
      <c r="G67" s="8">
        <v>9.0</v>
      </c>
      <c r="H67" s="8">
        <v>7.0</v>
      </c>
      <c r="I67" s="5">
        <v>0.02684027777777778</v>
      </c>
    </row>
    <row r="68">
      <c r="A68" s="3">
        <v>67.0</v>
      </c>
      <c r="B68" s="5">
        <v>0.026898148148148147</v>
      </c>
      <c r="C68" s="7" t="s">
        <v>140</v>
      </c>
      <c r="D68" s="8" t="s">
        <v>12</v>
      </c>
      <c r="E68" s="8" t="s">
        <v>83</v>
      </c>
      <c r="F68" s="10" t="s">
        <v>45</v>
      </c>
      <c r="G68" s="8">
        <v>58.0</v>
      </c>
      <c r="H68" s="8">
        <v>8.0</v>
      </c>
      <c r="I68" s="5">
        <v>0.026828703703703705</v>
      </c>
    </row>
    <row r="69">
      <c r="A69" s="3">
        <v>68.0</v>
      </c>
      <c r="B69" s="5">
        <v>0.026921296296296297</v>
      </c>
      <c r="C69" s="7" t="s">
        <v>141</v>
      </c>
      <c r="D69" s="8" t="s">
        <v>12</v>
      </c>
      <c r="E69" s="8" t="s">
        <v>49</v>
      </c>
      <c r="F69" s="10" t="s">
        <v>15</v>
      </c>
      <c r="G69" s="8">
        <v>59.0</v>
      </c>
      <c r="H69" s="8">
        <v>9.0</v>
      </c>
      <c r="I69" s="5">
        <v>0.026863425925925926</v>
      </c>
    </row>
    <row r="70">
      <c r="A70" s="3">
        <v>69.0</v>
      </c>
      <c r="B70" s="5">
        <v>0.026944444444444444</v>
      </c>
      <c r="C70" s="7" t="s">
        <v>142</v>
      </c>
      <c r="D70" s="8" t="s">
        <v>80</v>
      </c>
      <c r="E70" s="8" t="s">
        <v>81</v>
      </c>
      <c r="F70" s="10" t="s">
        <v>101</v>
      </c>
      <c r="G70" s="8">
        <v>10.0</v>
      </c>
      <c r="H70" s="8">
        <v>8.0</v>
      </c>
      <c r="I70" s="5">
        <v>0.026898148148148147</v>
      </c>
    </row>
    <row r="71">
      <c r="A71" s="3">
        <v>70.0</v>
      </c>
      <c r="B71" s="5">
        <v>0.027037037037037037</v>
      </c>
      <c r="C71" s="7" t="s">
        <v>143</v>
      </c>
      <c r="D71" s="8" t="s">
        <v>12</v>
      </c>
      <c r="E71" s="8" t="s">
        <v>14</v>
      </c>
      <c r="F71" s="10" t="s">
        <v>40</v>
      </c>
      <c r="G71" s="8">
        <v>60.0</v>
      </c>
      <c r="H71" s="8">
        <v>34.0</v>
      </c>
      <c r="I71" s="5">
        <v>0.026956018518518518</v>
      </c>
    </row>
    <row r="72">
      <c r="A72" s="3">
        <v>71.0</v>
      </c>
      <c r="B72" s="5">
        <v>0.02715277777777778</v>
      </c>
      <c r="C72" s="7" t="s">
        <v>144</v>
      </c>
      <c r="D72" s="8" t="s">
        <v>12</v>
      </c>
      <c r="E72" s="8" t="s">
        <v>14</v>
      </c>
      <c r="F72" s="10" t="s">
        <v>110</v>
      </c>
      <c r="G72" s="8">
        <v>61.0</v>
      </c>
      <c r="H72" s="8">
        <v>35.0</v>
      </c>
      <c r="I72" s="5">
        <v>0.02715277777777778</v>
      </c>
    </row>
    <row r="73">
      <c r="A73" s="3">
        <v>72.0</v>
      </c>
      <c r="B73" s="5">
        <v>0.027164351851851853</v>
      </c>
      <c r="C73" s="7" t="s">
        <v>145</v>
      </c>
      <c r="D73" s="8" t="s">
        <v>12</v>
      </c>
      <c r="E73" s="8" t="s">
        <v>95</v>
      </c>
      <c r="F73" s="10" t="s">
        <v>23</v>
      </c>
      <c r="G73" s="8">
        <v>62.0</v>
      </c>
      <c r="H73" s="8">
        <v>5.0</v>
      </c>
      <c r="I73" s="5">
        <v>0.02710648148148148</v>
      </c>
    </row>
    <row r="74">
      <c r="A74" s="3">
        <v>73.0</v>
      </c>
      <c r="B74" s="5">
        <v>0.027280092592592592</v>
      </c>
      <c r="C74" s="7" t="s">
        <v>146</v>
      </c>
      <c r="D74" s="8" t="s">
        <v>12</v>
      </c>
      <c r="E74" s="8" t="s">
        <v>14</v>
      </c>
      <c r="F74" s="10" t="s">
        <v>40</v>
      </c>
      <c r="G74" s="8">
        <v>63.0</v>
      </c>
      <c r="H74" s="8">
        <v>36.0</v>
      </c>
      <c r="I74" s="5">
        <v>0.027199074074074073</v>
      </c>
    </row>
    <row r="75">
      <c r="A75" s="3">
        <v>74.0</v>
      </c>
      <c r="B75" s="5">
        <v>0.02730324074074074</v>
      </c>
      <c r="C75" s="7" t="s">
        <v>147</v>
      </c>
      <c r="D75" s="8" t="s">
        <v>12</v>
      </c>
      <c r="E75" s="8" t="s">
        <v>14</v>
      </c>
      <c r="F75" s="10" t="s">
        <v>99</v>
      </c>
      <c r="G75" s="8">
        <v>64.0</v>
      </c>
      <c r="H75" s="8">
        <v>37.0</v>
      </c>
      <c r="I75" s="5">
        <v>0.02722222222222222</v>
      </c>
    </row>
    <row r="76">
      <c r="A76" s="3">
        <v>75.0</v>
      </c>
      <c r="B76" s="5">
        <v>0.02732638888888889</v>
      </c>
      <c r="C76" s="7" t="s">
        <v>148</v>
      </c>
      <c r="D76" s="8" t="s">
        <v>12</v>
      </c>
      <c r="E76" s="8" t="s">
        <v>95</v>
      </c>
      <c r="F76" s="10" t="s">
        <v>40</v>
      </c>
      <c r="G76" s="8">
        <v>65.0</v>
      </c>
      <c r="H76" s="8">
        <v>6.0</v>
      </c>
      <c r="I76" s="5">
        <v>0.027280092592592592</v>
      </c>
    </row>
    <row r="77">
      <c r="A77" s="3">
        <v>76.0</v>
      </c>
      <c r="B77" s="5">
        <v>0.027349537037037037</v>
      </c>
      <c r="C77" s="7" t="s">
        <v>149</v>
      </c>
      <c r="D77" s="8" t="s">
        <v>12</v>
      </c>
      <c r="E77" s="8" t="s">
        <v>122</v>
      </c>
      <c r="F77" s="10" t="s">
        <v>110</v>
      </c>
      <c r="G77" s="8">
        <v>66.0</v>
      </c>
      <c r="H77" s="8">
        <v>2.0</v>
      </c>
      <c r="I77" s="5">
        <v>0.027349537037037037</v>
      </c>
    </row>
    <row r="78">
      <c r="A78" s="3">
        <v>77.0</v>
      </c>
      <c r="B78" s="5">
        <v>0.02758101851851852</v>
      </c>
      <c r="C78" s="7" t="s">
        <v>150</v>
      </c>
      <c r="D78" s="8" t="s">
        <v>12</v>
      </c>
      <c r="E78" s="8" t="s">
        <v>14</v>
      </c>
      <c r="F78" s="10" t="s">
        <v>23</v>
      </c>
      <c r="G78" s="8">
        <v>67.0</v>
      </c>
      <c r="H78" s="8">
        <v>38.0</v>
      </c>
      <c r="I78" s="5">
        <v>0.027546296296296298</v>
      </c>
    </row>
    <row r="79">
      <c r="A79" s="3">
        <v>78.0</v>
      </c>
      <c r="B79" s="5">
        <v>0.027604166666666666</v>
      </c>
      <c r="C79" s="7" t="s">
        <v>151</v>
      </c>
      <c r="D79" s="8" t="s">
        <v>12</v>
      </c>
      <c r="E79" s="8" t="s">
        <v>14</v>
      </c>
      <c r="F79" s="10" t="s">
        <v>31</v>
      </c>
      <c r="G79" s="8">
        <v>68.0</v>
      </c>
      <c r="H79" s="8">
        <v>39.0</v>
      </c>
      <c r="I79" s="5">
        <v>0.02755787037037037</v>
      </c>
    </row>
    <row r="80">
      <c r="A80" s="3">
        <v>79.0</v>
      </c>
      <c r="B80" s="5">
        <v>0.02763888888888889</v>
      </c>
      <c r="C80" s="7" t="s">
        <v>152</v>
      </c>
      <c r="D80" s="8" t="s">
        <v>12</v>
      </c>
      <c r="E80" s="8" t="s">
        <v>14</v>
      </c>
      <c r="F80" s="10" t="s">
        <v>129</v>
      </c>
      <c r="G80" s="8">
        <v>69.0</v>
      </c>
      <c r="H80" s="8">
        <v>40.0</v>
      </c>
      <c r="I80" s="5">
        <v>0.027511574074074074</v>
      </c>
    </row>
    <row r="81">
      <c r="A81" s="3">
        <v>80.0</v>
      </c>
      <c r="B81" s="5">
        <v>0.027743055555555556</v>
      </c>
      <c r="C81" s="7" t="s">
        <v>153</v>
      </c>
      <c r="D81" s="8" t="s">
        <v>12</v>
      </c>
      <c r="E81" s="8" t="s">
        <v>83</v>
      </c>
      <c r="F81" s="10" t="s">
        <v>129</v>
      </c>
      <c r="G81" s="8">
        <v>70.0</v>
      </c>
      <c r="H81" s="8">
        <v>9.0</v>
      </c>
      <c r="I81" s="5">
        <v>0.027662037037037037</v>
      </c>
    </row>
    <row r="82">
      <c r="A82" s="3">
        <v>81.0</v>
      </c>
      <c r="B82" s="5">
        <v>0.027835648148148148</v>
      </c>
      <c r="C82" s="7" t="s">
        <v>154</v>
      </c>
      <c r="D82" s="8" t="s">
        <v>12</v>
      </c>
      <c r="E82" s="8" t="s">
        <v>83</v>
      </c>
      <c r="F82" s="10" t="s">
        <v>15</v>
      </c>
      <c r="G82" s="8">
        <v>71.0</v>
      </c>
      <c r="H82" s="8">
        <v>10.0</v>
      </c>
      <c r="I82" s="5">
        <v>0.027777777777777776</v>
      </c>
    </row>
    <row r="83">
      <c r="A83" s="3">
        <v>82.0</v>
      </c>
      <c r="B83" s="5">
        <v>0.027858796296296295</v>
      </c>
      <c r="C83" s="7" t="s">
        <v>155</v>
      </c>
      <c r="D83" s="8" t="s">
        <v>12</v>
      </c>
      <c r="E83" s="8" t="s">
        <v>39</v>
      </c>
      <c r="F83" s="10" t="s">
        <v>53</v>
      </c>
      <c r="G83" s="8">
        <v>72.0</v>
      </c>
      <c r="H83" s="8">
        <v>3.0</v>
      </c>
      <c r="I83" s="5">
        <v>0.02775462962962963</v>
      </c>
    </row>
    <row r="84">
      <c r="A84" s="3">
        <v>83.0</v>
      </c>
      <c r="B84" s="5">
        <v>0.027916666666666666</v>
      </c>
      <c r="C84" s="7" t="s">
        <v>156</v>
      </c>
      <c r="D84" s="8" t="s">
        <v>12</v>
      </c>
      <c r="E84" s="8" t="s">
        <v>122</v>
      </c>
      <c r="F84" s="10" t="s">
        <v>15</v>
      </c>
      <c r="G84" s="8">
        <v>73.0</v>
      </c>
      <c r="H84" s="8">
        <v>3.0</v>
      </c>
      <c r="I84" s="5">
        <v>0.02784722222222222</v>
      </c>
    </row>
    <row r="85">
      <c r="A85" s="3">
        <v>84.0</v>
      </c>
      <c r="B85" s="5">
        <v>0.027939814814814813</v>
      </c>
      <c r="C85" s="7" t="s">
        <v>157</v>
      </c>
      <c r="D85" s="8" t="s">
        <v>12</v>
      </c>
      <c r="E85" s="8" t="s">
        <v>14</v>
      </c>
      <c r="F85" s="10" t="s">
        <v>40</v>
      </c>
      <c r="G85" s="8">
        <v>74.0</v>
      </c>
      <c r="H85" s="8">
        <v>41.0</v>
      </c>
      <c r="I85" s="5">
        <v>0.027881944444444445</v>
      </c>
    </row>
    <row r="86">
      <c r="A86" s="3">
        <v>85.0</v>
      </c>
      <c r="B86" s="5">
        <v>0.02795138888888889</v>
      </c>
      <c r="C86" s="7" t="s">
        <v>158</v>
      </c>
      <c r="D86" s="8" t="s">
        <v>12</v>
      </c>
      <c r="E86" s="8" t="s">
        <v>14</v>
      </c>
      <c r="F86" s="10" t="s">
        <v>53</v>
      </c>
      <c r="G86" s="8">
        <v>75.0</v>
      </c>
      <c r="H86" s="8">
        <v>42.0</v>
      </c>
      <c r="I86" s="5">
        <v>0.02784722222222222</v>
      </c>
    </row>
    <row r="87">
      <c r="A87" s="3">
        <v>86.0</v>
      </c>
      <c r="B87" s="5">
        <v>0.028009259259259258</v>
      </c>
      <c r="C87" s="7" t="s">
        <v>159</v>
      </c>
      <c r="D87" s="8" t="s">
        <v>12</v>
      </c>
      <c r="E87" s="8" t="s">
        <v>14</v>
      </c>
      <c r="F87" s="10" t="s">
        <v>45</v>
      </c>
      <c r="G87" s="8">
        <v>76.0</v>
      </c>
      <c r="H87" s="8">
        <v>43.0</v>
      </c>
      <c r="I87" s="5">
        <v>0.027939814814814813</v>
      </c>
    </row>
    <row r="88">
      <c r="A88" s="3">
        <v>87.0</v>
      </c>
      <c r="B88" s="5">
        <v>0.028101851851851854</v>
      </c>
      <c r="C88" s="7" t="s">
        <v>160</v>
      </c>
      <c r="D88" s="8" t="s">
        <v>12</v>
      </c>
      <c r="E88" s="8" t="s">
        <v>39</v>
      </c>
      <c r="F88" s="10" t="s">
        <v>161</v>
      </c>
      <c r="G88" s="8">
        <v>77.0</v>
      </c>
      <c r="H88" s="8">
        <v>4.0</v>
      </c>
      <c r="I88" s="5">
        <v>0.027997685185185184</v>
      </c>
    </row>
    <row r="89">
      <c r="A89" s="3">
        <v>88.0</v>
      </c>
      <c r="B89" s="5">
        <v>0.028148148148148148</v>
      </c>
      <c r="C89" s="7" t="s">
        <v>162</v>
      </c>
      <c r="D89" s="8" t="s">
        <v>12</v>
      </c>
      <c r="E89" s="8" t="s">
        <v>49</v>
      </c>
      <c r="F89" s="10" t="s">
        <v>42</v>
      </c>
      <c r="G89" s="8">
        <v>78.0</v>
      </c>
      <c r="H89" s="8">
        <v>10.0</v>
      </c>
      <c r="I89" s="5">
        <v>0.028078703703703703</v>
      </c>
    </row>
    <row r="90">
      <c r="A90" s="3">
        <v>89.0</v>
      </c>
      <c r="B90" s="5">
        <v>0.028148148148148148</v>
      </c>
      <c r="C90" s="7" t="s">
        <v>163</v>
      </c>
      <c r="D90" s="8" t="s">
        <v>12</v>
      </c>
      <c r="E90" s="8" t="s">
        <v>95</v>
      </c>
      <c r="F90" s="10" t="s">
        <v>40</v>
      </c>
      <c r="G90" s="8">
        <v>79.0</v>
      </c>
      <c r="H90" s="8">
        <v>7.0</v>
      </c>
      <c r="I90" s="5">
        <v>0.028113425925925927</v>
      </c>
    </row>
    <row r="91">
      <c r="A91" s="3">
        <v>90.0</v>
      </c>
      <c r="B91" s="5">
        <v>0.02815972222222222</v>
      </c>
      <c r="C91" s="7" t="s">
        <v>164</v>
      </c>
      <c r="D91" s="8" t="s">
        <v>12</v>
      </c>
      <c r="E91" s="8" t="s">
        <v>14</v>
      </c>
      <c r="F91" s="10" t="s">
        <v>161</v>
      </c>
      <c r="G91" s="8">
        <v>80.0</v>
      </c>
      <c r="H91" s="8">
        <v>44.0</v>
      </c>
      <c r="I91" s="5">
        <v>0.02806712962962963</v>
      </c>
    </row>
    <row r="92">
      <c r="A92" s="3">
        <v>91.0</v>
      </c>
      <c r="B92" s="5">
        <v>0.028171296296296295</v>
      </c>
      <c r="C92" s="7" t="s">
        <v>165</v>
      </c>
      <c r="D92" s="8" t="s">
        <v>12</v>
      </c>
      <c r="E92" s="8" t="s">
        <v>14</v>
      </c>
      <c r="F92" s="10" t="s">
        <v>166</v>
      </c>
      <c r="G92" s="8">
        <v>81.0</v>
      </c>
      <c r="H92" s="8">
        <v>45.0</v>
      </c>
      <c r="I92" s="5">
        <v>0.027905092592592592</v>
      </c>
    </row>
    <row r="93">
      <c r="A93" s="3">
        <v>92.0</v>
      </c>
      <c r="B93" s="5">
        <v>0.028194444444444446</v>
      </c>
      <c r="C93" s="7" t="s">
        <v>167</v>
      </c>
      <c r="D93" s="8" t="s">
        <v>12</v>
      </c>
      <c r="E93" s="8" t="s">
        <v>39</v>
      </c>
      <c r="F93" s="10" t="s">
        <v>23</v>
      </c>
      <c r="G93" s="8">
        <v>82.0</v>
      </c>
      <c r="H93" s="8">
        <v>5.0</v>
      </c>
      <c r="I93" s="5">
        <v>0.02803240740740741</v>
      </c>
    </row>
    <row r="94">
      <c r="A94" s="3">
        <v>93.0</v>
      </c>
      <c r="B94" s="5">
        <v>0.028229166666666666</v>
      </c>
      <c r="C94" s="7" t="s">
        <v>168</v>
      </c>
      <c r="D94" s="8" t="s">
        <v>12</v>
      </c>
      <c r="E94" s="8" t="s">
        <v>83</v>
      </c>
      <c r="F94" s="10" t="s">
        <v>129</v>
      </c>
      <c r="G94" s="8">
        <v>83.0</v>
      </c>
      <c r="H94" s="8">
        <v>11.0</v>
      </c>
      <c r="I94" s="5">
        <v>0.028090277777777777</v>
      </c>
    </row>
    <row r="95">
      <c r="A95" s="3">
        <v>94.0</v>
      </c>
      <c r="B95" s="5">
        <v>0.028275462962962964</v>
      </c>
      <c r="C95" s="7" t="s">
        <v>169</v>
      </c>
      <c r="D95" s="8" t="s">
        <v>12</v>
      </c>
      <c r="E95" s="8" t="s">
        <v>14</v>
      </c>
      <c r="F95" s="10" t="s">
        <v>15</v>
      </c>
      <c r="G95" s="8">
        <v>84.0</v>
      </c>
      <c r="H95" s="8">
        <v>46.0</v>
      </c>
      <c r="I95" s="5">
        <v>0.028217592592592593</v>
      </c>
    </row>
    <row r="96">
      <c r="A96" s="3">
        <v>95.0</v>
      </c>
      <c r="B96" s="5">
        <v>0.028287037037037038</v>
      </c>
      <c r="C96" s="7" t="s">
        <v>170</v>
      </c>
      <c r="D96" s="8" t="s">
        <v>80</v>
      </c>
      <c r="E96" s="8" t="s">
        <v>81</v>
      </c>
      <c r="F96" s="10" t="s">
        <v>132</v>
      </c>
      <c r="G96" s="8">
        <v>11.0</v>
      </c>
      <c r="H96" s="8">
        <v>9.0</v>
      </c>
      <c r="I96" s="5">
        <v>0.028217592592592593</v>
      </c>
    </row>
    <row r="97">
      <c r="A97" s="3">
        <v>96.0</v>
      </c>
      <c r="B97" s="5">
        <v>0.028287037037037038</v>
      </c>
      <c r="C97" s="7" t="s">
        <v>171</v>
      </c>
      <c r="D97" s="8" t="s">
        <v>12</v>
      </c>
      <c r="E97" s="8" t="s">
        <v>14</v>
      </c>
      <c r="F97" s="10" t="s">
        <v>31</v>
      </c>
      <c r="G97" s="8">
        <v>85.0</v>
      </c>
      <c r="H97" s="8">
        <v>47.0</v>
      </c>
      <c r="I97" s="5">
        <v>0.028229166666666666</v>
      </c>
    </row>
    <row r="98">
      <c r="A98" s="3">
        <v>97.0</v>
      </c>
      <c r="B98" s="5">
        <v>0.02829861111111111</v>
      </c>
      <c r="C98" s="7" t="s">
        <v>172</v>
      </c>
      <c r="D98" s="8" t="s">
        <v>80</v>
      </c>
      <c r="E98" s="8" t="s">
        <v>173</v>
      </c>
      <c r="F98" s="10" t="s">
        <v>40</v>
      </c>
      <c r="G98" s="8">
        <v>12.0</v>
      </c>
      <c r="H98" s="8">
        <v>1.0</v>
      </c>
      <c r="I98" s="5">
        <v>0.02826388888888889</v>
      </c>
    </row>
    <row r="99">
      <c r="A99" s="3">
        <v>98.0</v>
      </c>
      <c r="B99" s="5">
        <v>0.028310185185185185</v>
      </c>
      <c r="C99" s="7" t="s">
        <v>174</v>
      </c>
      <c r="D99" s="8" t="s">
        <v>12</v>
      </c>
      <c r="E99" s="8" t="s">
        <v>49</v>
      </c>
      <c r="F99" s="10" t="s">
        <v>175</v>
      </c>
      <c r="G99" s="8">
        <v>86.0</v>
      </c>
      <c r="H99" s="8">
        <v>11.0</v>
      </c>
      <c r="I99" s="5">
        <v>0.028229166666666666</v>
      </c>
    </row>
    <row r="100">
      <c r="A100" s="3">
        <v>99.0</v>
      </c>
      <c r="B100" s="5">
        <v>0.028391203703703703</v>
      </c>
      <c r="C100" s="7" t="s">
        <v>176</v>
      </c>
      <c r="D100" s="8" t="s">
        <v>12</v>
      </c>
      <c r="E100" s="8" t="s">
        <v>49</v>
      </c>
      <c r="F100" s="10" t="s">
        <v>53</v>
      </c>
      <c r="G100" s="8">
        <v>87.0</v>
      </c>
      <c r="H100" s="8">
        <v>12.0</v>
      </c>
      <c r="I100" s="5">
        <v>0.02829861111111111</v>
      </c>
    </row>
    <row r="101">
      <c r="A101" s="3">
        <v>100.0</v>
      </c>
      <c r="B101" s="5">
        <v>0.02851851851851852</v>
      </c>
      <c r="C101" s="7" t="s">
        <v>177</v>
      </c>
      <c r="D101" s="8" t="s">
        <v>12</v>
      </c>
      <c r="E101" s="8" t="s">
        <v>39</v>
      </c>
      <c r="F101" s="10" t="s">
        <v>53</v>
      </c>
      <c r="G101" s="8">
        <v>88.0</v>
      </c>
      <c r="H101" s="8">
        <v>6.0</v>
      </c>
      <c r="I101" s="5">
        <v>0.028425925925925927</v>
      </c>
    </row>
    <row r="102">
      <c r="A102" s="3">
        <v>101.0</v>
      </c>
      <c r="B102" s="5">
        <v>0.028564814814814814</v>
      </c>
      <c r="C102" s="7" t="s">
        <v>178</v>
      </c>
      <c r="D102" s="8" t="s">
        <v>12</v>
      </c>
      <c r="E102" s="8" t="s">
        <v>83</v>
      </c>
      <c r="F102" s="10" t="s">
        <v>31</v>
      </c>
      <c r="G102" s="8">
        <v>89.0</v>
      </c>
      <c r="H102" s="8">
        <v>12.0</v>
      </c>
      <c r="I102" s="5">
        <v>0.028460648148148148</v>
      </c>
    </row>
    <row r="103">
      <c r="A103" s="3">
        <v>102.0</v>
      </c>
      <c r="B103" s="5">
        <v>0.028599537037037038</v>
      </c>
      <c r="C103" s="7" t="s">
        <v>179</v>
      </c>
      <c r="D103" s="8" t="s">
        <v>80</v>
      </c>
      <c r="E103" s="8" t="s">
        <v>81</v>
      </c>
      <c r="F103" s="10" t="s">
        <v>57</v>
      </c>
      <c r="G103" s="8">
        <v>13.0</v>
      </c>
      <c r="H103" s="8">
        <v>10.0</v>
      </c>
      <c r="I103" s="5">
        <v>0.02855324074074074</v>
      </c>
    </row>
    <row r="104">
      <c r="A104" s="3">
        <v>103.0</v>
      </c>
      <c r="B104" s="5">
        <v>0.028680555555555556</v>
      </c>
      <c r="C104" s="7" t="s">
        <v>180</v>
      </c>
      <c r="D104" s="8" t="s">
        <v>12</v>
      </c>
      <c r="E104" s="8" t="s">
        <v>14</v>
      </c>
      <c r="F104" s="10" t="s">
        <v>110</v>
      </c>
      <c r="G104" s="8">
        <v>90.0</v>
      </c>
      <c r="H104" s="8">
        <v>48.0</v>
      </c>
      <c r="I104" s="5">
        <v>0.028622685185185185</v>
      </c>
    </row>
    <row r="105">
      <c r="A105" s="3">
        <v>104.0</v>
      </c>
      <c r="B105" s="5">
        <v>0.02875</v>
      </c>
      <c r="C105" s="7" t="s">
        <v>182</v>
      </c>
      <c r="D105" s="8" t="s">
        <v>12</v>
      </c>
      <c r="E105" s="8" t="s">
        <v>49</v>
      </c>
      <c r="F105" s="10" t="s">
        <v>59</v>
      </c>
      <c r="G105" s="8">
        <v>91.0</v>
      </c>
      <c r="H105" s="8">
        <v>13.0</v>
      </c>
      <c r="I105" s="5">
        <v>0.02861111111111111</v>
      </c>
    </row>
    <row r="106">
      <c r="A106" s="3">
        <v>105.0</v>
      </c>
      <c r="B106" s="5">
        <v>0.02877314814814815</v>
      </c>
      <c r="C106" s="7" t="s">
        <v>184</v>
      </c>
      <c r="D106" s="8" t="s">
        <v>12</v>
      </c>
      <c r="E106" s="8" t="s">
        <v>83</v>
      </c>
      <c r="F106" s="10" t="s">
        <v>42</v>
      </c>
      <c r="G106" s="8">
        <v>92.0</v>
      </c>
      <c r="H106" s="8">
        <v>13.0</v>
      </c>
      <c r="I106" s="5">
        <v>0.02863425925925926</v>
      </c>
    </row>
    <row r="107">
      <c r="A107" s="3">
        <v>106.0</v>
      </c>
      <c r="B107" s="5">
        <v>0.028796296296296296</v>
      </c>
      <c r="C107" s="7" t="s">
        <v>185</v>
      </c>
      <c r="D107" s="8" t="s">
        <v>80</v>
      </c>
      <c r="E107" s="8" t="s">
        <v>81</v>
      </c>
      <c r="F107" s="10" t="s">
        <v>31</v>
      </c>
      <c r="G107" s="8">
        <v>14.0</v>
      </c>
      <c r="H107" s="8">
        <v>11.0</v>
      </c>
      <c r="I107" s="5">
        <v>0.028715277777777777</v>
      </c>
    </row>
    <row r="108">
      <c r="A108" s="3">
        <v>107.0</v>
      </c>
      <c r="B108" s="5">
        <v>0.028819444444444446</v>
      </c>
      <c r="C108" s="7" t="s">
        <v>186</v>
      </c>
      <c r="D108" s="8" t="s">
        <v>12</v>
      </c>
      <c r="E108" s="8" t="s">
        <v>122</v>
      </c>
      <c r="F108" s="10" t="s">
        <v>101</v>
      </c>
      <c r="G108" s="8">
        <v>93.0</v>
      </c>
      <c r="H108" s="8">
        <v>4.0</v>
      </c>
      <c r="I108" s="5">
        <v>0.028738425925925924</v>
      </c>
    </row>
    <row r="109">
      <c r="A109" s="3">
        <v>108.0</v>
      </c>
      <c r="B109" s="5">
        <v>0.028888888888888888</v>
      </c>
      <c r="C109" s="7" t="s">
        <v>187</v>
      </c>
      <c r="D109" s="8" t="s">
        <v>12</v>
      </c>
      <c r="E109" s="8" t="s">
        <v>95</v>
      </c>
      <c r="F109" s="10" t="s">
        <v>101</v>
      </c>
      <c r="G109" s="8">
        <v>94.0</v>
      </c>
      <c r="H109" s="8">
        <v>8.0</v>
      </c>
      <c r="I109" s="5">
        <v>0.028761574074074075</v>
      </c>
    </row>
    <row r="110">
      <c r="A110" s="3">
        <v>109.0</v>
      </c>
      <c r="B110" s="5">
        <v>0.028900462962962965</v>
      </c>
      <c r="C110" s="7" t="s">
        <v>188</v>
      </c>
      <c r="D110" s="8" t="s">
        <v>12</v>
      </c>
      <c r="E110" s="8" t="s">
        <v>95</v>
      </c>
      <c r="F110" s="10" t="s">
        <v>110</v>
      </c>
      <c r="G110" s="8">
        <v>95.0</v>
      </c>
      <c r="H110" s="8">
        <v>9.0</v>
      </c>
      <c r="I110" s="5">
        <v>0.028819444444444446</v>
      </c>
    </row>
    <row r="111">
      <c r="A111" s="3">
        <v>110.0</v>
      </c>
      <c r="B111" s="5">
        <v>0.02894675925925926</v>
      </c>
      <c r="C111" s="7" t="s">
        <v>189</v>
      </c>
      <c r="D111" s="8" t="s">
        <v>12</v>
      </c>
      <c r="E111" s="8" t="s">
        <v>83</v>
      </c>
      <c r="F111" s="10" t="s">
        <v>53</v>
      </c>
      <c r="G111" s="8">
        <v>96.0</v>
      </c>
      <c r="H111" s="8">
        <v>14.0</v>
      </c>
      <c r="I111" s="5">
        <v>0.02883101851851852</v>
      </c>
    </row>
    <row r="112">
      <c r="A112" s="3">
        <v>111.0</v>
      </c>
      <c r="B112" s="5">
        <v>0.029016203703703704</v>
      </c>
      <c r="C112" s="7" t="s">
        <v>190</v>
      </c>
      <c r="D112" s="8" t="s">
        <v>80</v>
      </c>
      <c r="E112" s="8" t="s">
        <v>81</v>
      </c>
      <c r="F112" s="10" t="s">
        <v>129</v>
      </c>
      <c r="G112" s="8">
        <v>15.0</v>
      </c>
      <c r="H112" s="8">
        <v>12.0</v>
      </c>
      <c r="I112" s="5">
        <v>0.028912037037037038</v>
      </c>
    </row>
    <row r="113">
      <c r="A113" s="3">
        <v>112.0</v>
      </c>
      <c r="B113" s="5">
        <v>0.02903935185185185</v>
      </c>
      <c r="C113" s="7" t="s">
        <v>191</v>
      </c>
      <c r="D113" s="8" t="s">
        <v>12</v>
      </c>
      <c r="E113" s="8" t="s">
        <v>49</v>
      </c>
      <c r="F113" s="10" t="s">
        <v>15</v>
      </c>
      <c r="G113" s="8">
        <v>97.0</v>
      </c>
      <c r="H113" s="8">
        <v>14.0</v>
      </c>
      <c r="I113" s="5">
        <v>0.028958333333333332</v>
      </c>
    </row>
    <row r="114">
      <c r="A114" s="3">
        <v>113.0</v>
      </c>
      <c r="B114" s="5">
        <v>0.02903935185185185</v>
      </c>
      <c r="C114" s="7" t="s">
        <v>192</v>
      </c>
      <c r="D114" s="8" t="s">
        <v>12</v>
      </c>
      <c r="E114" s="8" t="s">
        <v>14</v>
      </c>
      <c r="F114" s="10" t="s">
        <v>193</v>
      </c>
      <c r="G114" s="8">
        <v>98.0</v>
      </c>
      <c r="H114" s="8">
        <v>49.0</v>
      </c>
      <c r="I114" s="5">
        <v>0.028912037037037038</v>
      </c>
    </row>
    <row r="115">
      <c r="A115" s="3">
        <v>114.0</v>
      </c>
      <c r="B115" s="5">
        <v>0.029074074074074075</v>
      </c>
      <c r="C115" s="7" t="s">
        <v>35</v>
      </c>
      <c r="D115" s="8" t="s">
        <v>12</v>
      </c>
      <c r="E115" s="8" t="s">
        <v>95</v>
      </c>
      <c r="F115" s="12" t="s">
        <v>21</v>
      </c>
      <c r="G115" s="8">
        <v>99.0</v>
      </c>
      <c r="H115" s="8">
        <v>10.0</v>
      </c>
      <c r="I115" s="5">
        <v>0.028958333333333332</v>
      </c>
    </row>
    <row r="116">
      <c r="A116" s="3">
        <v>115.0</v>
      </c>
      <c r="B116" s="5">
        <v>0.029155092592592594</v>
      </c>
      <c r="C116" s="7" t="s">
        <v>194</v>
      </c>
      <c r="D116" s="8" t="s">
        <v>12</v>
      </c>
      <c r="E116" s="8" t="s">
        <v>14</v>
      </c>
      <c r="F116" s="10" t="s">
        <v>31</v>
      </c>
      <c r="G116" s="8">
        <v>100.0</v>
      </c>
      <c r="H116" s="8">
        <v>50.0</v>
      </c>
      <c r="I116" s="5">
        <v>0.029027777777777777</v>
      </c>
    </row>
    <row r="117">
      <c r="A117" s="3">
        <v>116.0</v>
      </c>
      <c r="B117" s="5">
        <v>0.02917824074074074</v>
      </c>
      <c r="C117" s="7" t="s">
        <v>195</v>
      </c>
      <c r="D117" s="8" t="s">
        <v>12</v>
      </c>
      <c r="E117" s="8" t="s">
        <v>39</v>
      </c>
      <c r="F117" s="10" t="s">
        <v>45</v>
      </c>
      <c r="G117" s="8">
        <v>101.0</v>
      </c>
      <c r="H117" s="8">
        <v>7.0</v>
      </c>
      <c r="I117" s="5">
        <v>0.029050925925925924</v>
      </c>
    </row>
    <row r="118">
      <c r="A118" s="3">
        <v>117.0</v>
      </c>
      <c r="B118" s="5">
        <v>0.029236111111111112</v>
      </c>
      <c r="C118" s="7" t="s">
        <v>196</v>
      </c>
      <c r="D118" s="8" t="s">
        <v>12</v>
      </c>
      <c r="E118" s="8" t="s">
        <v>49</v>
      </c>
      <c r="F118" s="10" t="s">
        <v>110</v>
      </c>
      <c r="G118" s="8">
        <v>102.0</v>
      </c>
      <c r="H118" s="8">
        <v>15.0</v>
      </c>
      <c r="I118" s="5">
        <v>0.02914351851851852</v>
      </c>
    </row>
    <row r="119">
      <c r="A119" s="3">
        <v>118.0</v>
      </c>
      <c r="B119" s="5">
        <v>0.02939814814814815</v>
      </c>
      <c r="C119" s="7" t="s">
        <v>197</v>
      </c>
      <c r="D119" s="8" t="s">
        <v>80</v>
      </c>
      <c r="E119" s="8" t="s">
        <v>198</v>
      </c>
      <c r="F119" s="10" t="s">
        <v>132</v>
      </c>
      <c r="G119" s="8">
        <v>16.0</v>
      </c>
      <c r="H119" s="8">
        <v>1.0</v>
      </c>
      <c r="I119" s="5">
        <v>0.029328703703703704</v>
      </c>
    </row>
    <row r="120">
      <c r="A120" s="3">
        <v>119.0</v>
      </c>
      <c r="B120" s="5">
        <v>0.029421296296296296</v>
      </c>
      <c r="C120" s="7" t="s">
        <v>46</v>
      </c>
      <c r="D120" s="8" t="s">
        <v>12</v>
      </c>
      <c r="E120" s="8" t="s">
        <v>83</v>
      </c>
      <c r="F120" s="12" t="s">
        <v>21</v>
      </c>
      <c r="G120" s="8">
        <v>103.0</v>
      </c>
      <c r="H120" s="8">
        <v>15.0</v>
      </c>
      <c r="I120" s="5">
        <v>0.02931712962962963</v>
      </c>
    </row>
    <row r="121">
      <c r="A121" s="3">
        <v>120.0</v>
      </c>
      <c r="B121" s="5">
        <v>0.029444444444444443</v>
      </c>
      <c r="C121" s="7" t="s">
        <v>199</v>
      </c>
      <c r="D121" s="8" t="s">
        <v>12</v>
      </c>
      <c r="E121" s="8" t="s">
        <v>95</v>
      </c>
      <c r="F121" s="10" t="s">
        <v>57</v>
      </c>
      <c r="G121" s="8">
        <v>104.0</v>
      </c>
      <c r="H121" s="8">
        <v>11.0</v>
      </c>
      <c r="I121" s="5">
        <v>0.02935185185185185</v>
      </c>
    </row>
    <row r="122">
      <c r="A122" s="3">
        <v>121.0</v>
      </c>
      <c r="B122" s="5">
        <v>0.029513888888888888</v>
      </c>
      <c r="C122" s="7" t="s">
        <v>200</v>
      </c>
      <c r="D122" s="8" t="s">
        <v>12</v>
      </c>
      <c r="E122" s="8" t="s">
        <v>14</v>
      </c>
      <c r="F122" s="10" t="s">
        <v>53</v>
      </c>
      <c r="G122" s="8">
        <v>105.0</v>
      </c>
      <c r="H122" s="8">
        <v>51.0</v>
      </c>
      <c r="I122" s="5">
        <v>0.02943287037037037</v>
      </c>
    </row>
    <row r="123">
      <c r="A123" s="3">
        <v>122.0</v>
      </c>
      <c r="B123" s="5">
        <v>0.029560185185185186</v>
      </c>
      <c r="C123" s="7" t="s">
        <v>201</v>
      </c>
      <c r="D123" s="8" t="s">
        <v>12</v>
      </c>
      <c r="E123" s="8" t="s">
        <v>14</v>
      </c>
      <c r="F123" s="10" t="s">
        <v>166</v>
      </c>
      <c r="G123" s="8">
        <v>106.0</v>
      </c>
      <c r="H123" s="8">
        <v>52.0</v>
      </c>
      <c r="I123" s="5">
        <v>0.029479166666666667</v>
      </c>
    </row>
    <row r="124">
      <c r="A124" s="3">
        <v>123.0</v>
      </c>
      <c r="B124" s="5">
        <v>0.029583333333333333</v>
      </c>
      <c r="C124" s="7" t="s">
        <v>202</v>
      </c>
      <c r="D124" s="8" t="s">
        <v>12</v>
      </c>
      <c r="E124" s="8" t="s">
        <v>49</v>
      </c>
      <c r="F124" s="10" t="s">
        <v>101</v>
      </c>
      <c r="G124" s="8">
        <v>107.0</v>
      </c>
      <c r="H124" s="8">
        <v>16.0</v>
      </c>
      <c r="I124" s="5">
        <v>0.029444444444444443</v>
      </c>
    </row>
    <row r="125">
      <c r="A125" s="3">
        <v>124.0</v>
      </c>
      <c r="B125" s="5">
        <v>0.029641203703703704</v>
      </c>
      <c r="C125" s="7" t="s">
        <v>203</v>
      </c>
      <c r="D125" s="8" t="s">
        <v>12</v>
      </c>
      <c r="E125" s="8" t="s">
        <v>122</v>
      </c>
      <c r="F125" s="10" t="s">
        <v>129</v>
      </c>
      <c r="G125" s="8">
        <v>108.0</v>
      </c>
      <c r="H125" s="8">
        <v>5.0</v>
      </c>
      <c r="I125" s="5">
        <v>0.02953703703703704</v>
      </c>
    </row>
    <row r="126">
      <c r="A126" s="3">
        <v>125.0</v>
      </c>
      <c r="B126" s="5">
        <v>0.02966435185185185</v>
      </c>
      <c r="C126" s="7" t="s">
        <v>204</v>
      </c>
      <c r="D126" s="8" t="s">
        <v>12</v>
      </c>
      <c r="E126" s="8" t="s">
        <v>95</v>
      </c>
      <c r="F126" s="10" t="s">
        <v>40</v>
      </c>
      <c r="G126" s="8">
        <v>109.0</v>
      </c>
      <c r="H126" s="8">
        <v>12.0</v>
      </c>
      <c r="I126" s="5">
        <v>0.029548611111111112</v>
      </c>
    </row>
    <row r="127">
      <c r="A127" s="3">
        <v>126.0</v>
      </c>
      <c r="B127" s="5">
        <v>0.02966435185185185</v>
      </c>
      <c r="C127" s="7" t="s">
        <v>205</v>
      </c>
      <c r="D127" s="8" t="s">
        <v>12</v>
      </c>
      <c r="E127" s="8" t="s">
        <v>39</v>
      </c>
      <c r="F127" s="10" t="s">
        <v>132</v>
      </c>
      <c r="G127" s="8">
        <v>110.0</v>
      </c>
      <c r="H127" s="8">
        <v>8.0</v>
      </c>
      <c r="I127" s="5">
        <v>0.029594907407407407</v>
      </c>
    </row>
    <row r="128">
      <c r="A128" s="3">
        <v>127.0</v>
      </c>
      <c r="B128" s="5">
        <v>0.029699074074074076</v>
      </c>
      <c r="C128" s="7" t="s">
        <v>206</v>
      </c>
      <c r="D128" s="8" t="s">
        <v>12</v>
      </c>
      <c r="E128" s="8" t="s">
        <v>95</v>
      </c>
      <c r="F128" s="10" t="s">
        <v>31</v>
      </c>
      <c r="G128" s="8">
        <v>111.0</v>
      </c>
      <c r="H128" s="8">
        <v>13.0</v>
      </c>
      <c r="I128" s="5">
        <v>0.029641203703703704</v>
      </c>
    </row>
    <row r="129">
      <c r="A129" s="3">
        <v>128.0</v>
      </c>
      <c r="B129" s="5">
        <v>0.029722222222222223</v>
      </c>
      <c r="C129" s="7" t="s">
        <v>208</v>
      </c>
      <c r="D129" s="8" t="s">
        <v>80</v>
      </c>
      <c r="E129" s="8" t="s">
        <v>81</v>
      </c>
      <c r="F129" s="10" t="s">
        <v>110</v>
      </c>
      <c r="G129" s="8">
        <v>17.0</v>
      </c>
      <c r="H129" s="8">
        <v>13.0</v>
      </c>
      <c r="I129" s="5">
        <v>0.02966435185185185</v>
      </c>
    </row>
    <row r="130">
      <c r="A130" s="3">
        <v>129.0</v>
      </c>
      <c r="B130" s="5">
        <v>0.029756944444444444</v>
      </c>
      <c r="C130" s="7" t="s">
        <v>210</v>
      </c>
      <c r="D130" s="8" t="s">
        <v>12</v>
      </c>
      <c r="E130" s="8" t="s">
        <v>95</v>
      </c>
      <c r="F130" s="10" t="s">
        <v>31</v>
      </c>
      <c r="G130" s="8">
        <v>112.0</v>
      </c>
      <c r="H130" s="8">
        <v>14.0</v>
      </c>
      <c r="I130" s="5">
        <v>0.029652777777777778</v>
      </c>
    </row>
    <row r="131">
      <c r="A131" s="3">
        <v>130.0</v>
      </c>
      <c r="B131" s="5">
        <v>0.029780092592592594</v>
      </c>
      <c r="C131" s="7" t="s">
        <v>211</v>
      </c>
      <c r="D131" s="8" t="s">
        <v>12</v>
      </c>
      <c r="E131" s="8" t="s">
        <v>95</v>
      </c>
      <c r="F131" s="10" t="s">
        <v>132</v>
      </c>
      <c r="G131" s="8">
        <v>113.0</v>
      </c>
      <c r="H131" s="8">
        <v>15.0</v>
      </c>
      <c r="I131" s="5">
        <v>0.029699074074074076</v>
      </c>
    </row>
    <row r="132">
      <c r="A132" s="3">
        <v>131.0</v>
      </c>
      <c r="B132" s="5">
        <v>0.02982638888888889</v>
      </c>
      <c r="C132" s="7" t="s">
        <v>212</v>
      </c>
      <c r="D132" s="8" t="s">
        <v>12</v>
      </c>
      <c r="E132" s="8" t="s">
        <v>14</v>
      </c>
      <c r="F132" s="12" t="s">
        <v>21</v>
      </c>
      <c r="G132" s="8">
        <v>114.0</v>
      </c>
      <c r="H132" s="8">
        <v>53.0</v>
      </c>
      <c r="I132" s="5">
        <v>0.029699074074074076</v>
      </c>
    </row>
    <row r="133">
      <c r="A133" s="3">
        <v>132.0</v>
      </c>
      <c r="B133" s="5">
        <v>0.029895833333333333</v>
      </c>
      <c r="C133" s="7" t="s">
        <v>213</v>
      </c>
      <c r="D133" s="8" t="s">
        <v>12</v>
      </c>
      <c r="E133" s="8" t="s">
        <v>14</v>
      </c>
      <c r="F133" s="10" t="s">
        <v>99</v>
      </c>
      <c r="G133" s="8">
        <v>115.0</v>
      </c>
      <c r="H133" s="8">
        <v>54.0</v>
      </c>
      <c r="I133" s="5">
        <v>0.029814814814814815</v>
      </c>
    </row>
    <row r="134">
      <c r="A134" s="3">
        <v>133.0</v>
      </c>
      <c r="B134" s="5">
        <v>0.029976851851851852</v>
      </c>
      <c r="C134" s="7" t="s">
        <v>214</v>
      </c>
      <c r="D134" s="8" t="s">
        <v>12</v>
      </c>
      <c r="E134" s="8" t="s">
        <v>14</v>
      </c>
      <c r="F134" s="10" t="s">
        <v>15</v>
      </c>
      <c r="G134" s="8">
        <v>116.0</v>
      </c>
      <c r="H134" s="8">
        <v>55.0</v>
      </c>
      <c r="I134" s="5">
        <v>0.02988425925925926</v>
      </c>
    </row>
    <row r="135">
      <c r="A135" s="3">
        <v>134.0</v>
      </c>
      <c r="B135" s="5">
        <v>0.03005787037037037</v>
      </c>
      <c r="C135" s="7" t="s">
        <v>215</v>
      </c>
      <c r="D135" s="8" t="s">
        <v>12</v>
      </c>
      <c r="E135" s="8" t="s">
        <v>49</v>
      </c>
      <c r="F135" s="10" t="s">
        <v>139</v>
      </c>
      <c r="G135" s="8">
        <v>117.0</v>
      </c>
      <c r="H135" s="8">
        <v>17.0</v>
      </c>
      <c r="I135" s="5">
        <v>0.029965277777777778</v>
      </c>
    </row>
    <row r="136">
      <c r="A136" s="3">
        <v>135.0</v>
      </c>
      <c r="B136" s="5">
        <v>0.030127314814814815</v>
      </c>
      <c r="C136" s="7" t="s">
        <v>50</v>
      </c>
      <c r="D136" s="8" t="s">
        <v>12</v>
      </c>
      <c r="E136" s="8" t="s">
        <v>83</v>
      </c>
      <c r="F136" s="12" t="s">
        <v>21</v>
      </c>
      <c r="G136" s="8">
        <v>118.0</v>
      </c>
      <c r="H136" s="8">
        <v>16.0</v>
      </c>
      <c r="I136" s="5">
        <v>0.029976851851851852</v>
      </c>
    </row>
    <row r="137">
      <c r="A137" s="3">
        <v>136.0</v>
      </c>
      <c r="B137" s="5">
        <v>0.030150462962962962</v>
      </c>
      <c r="C137" s="7" t="s">
        <v>216</v>
      </c>
      <c r="D137" s="8" t="s">
        <v>12</v>
      </c>
      <c r="E137" s="8" t="s">
        <v>14</v>
      </c>
      <c r="F137" s="10" t="s">
        <v>45</v>
      </c>
      <c r="G137" s="8">
        <v>119.0</v>
      </c>
      <c r="H137" s="8">
        <v>56.0</v>
      </c>
      <c r="I137" s="5">
        <v>0.029976851851851852</v>
      </c>
    </row>
    <row r="138">
      <c r="A138" s="3">
        <v>137.0</v>
      </c>
      <c r="B138" s="5">
        <v>0.030150462962962962</v>
      </c>
      <c r="C138" s="7" t="s">
        <v>217</v>
      </c>
      <c r="D138" s="8" t="s">
        <v>12</v>
      </c>
      <c r="E138" s="8" t="s">
        <v>95</v>
      </c>
      <c r="F138" s="10" t="s">
        <v>129</v>
      </c>
      <c r="G138" s="8">
        <v>120.0</v>
      </c>
      <c r="H138" s="8">
        <v>16.0</v>
      </c>
      <c r="I138" s="5">
        <v>0.030034722222222223</v>
      </c>
    </row>
    <row r="139">
      <c r="A139" s="3">
        <v>138.0</v>
      </c>
      <c r="B139" s="5">
        <v>0.03017361111111111</v>
      </c>
      <c r="C139" s="7" t="s">
        <v>218</v>
      </c>
      <c r="D139" s="8" t="s">
        <v>12</v>
      </c>
      <c r="E139" s="8" t="s">
        <v>14</v>
      </c>
      <c r="F139" s="10" t="s">
        <v>57</v>
      </c>
      <c r="G139" s="8">
        <v>121.0</v>
      </c>
      <c r="H139" s="8">
        <v>57.0</v>
      </c>
      <c r="I139" s="5">
        <v>0.030104166666666668</v>
      </c>
    </row>
    <row r="140">
      <c r="A140" s="3">
        <v>139.0</v>
      </c>
      <c r="B140" s="5">
        <v>0.030219907407407407</v>
      </c>
      <c r="C140" s="7" t="s">
        <v>219</v>
      </c>
      <c r="D140" s="8" t="s">
        <v>12</v>
      </c>
      <c r="E140" s="8" t="s">
        <v>115</v>
      </c>
      <c r="F140" s="10" t="s">
        <v>220</v>
      </c>
      <c r="G140" s="8">
        <v>122.0</v>
      </c>
      <c r="H140" s="8">
        <v>3.0</v>
      </c>
      <c r="I140" s="5">
        <v>0.030069444444444444</v>
      </c>
    </row>
    <row r="141">
      <c r="A141" s="3">
        <v>140.0</v>
      </c>
      <c r="B141" s="5">
        <v>0.03025462962962963</v>
      </c>
      <c r="C141" s="7" t="s">
        <v>221</v>
      </c>
      <c r="D141" s="8" t="s">
        <v>80</v>
      </c>
      <c r="E141" s="8" t="s">
        <v>81</v>
      </c>
      <c r="F141" s="10" t="s">
        <v>53</v>
      </c>
      <c r="G141" s="8">
        <v>18.0</v>
      </c>
      <c r="H141" s="8">
        <v>14.0</v>
      </c>
      <c r="I141" s="5">
        <v>0.03013888888888889</v>
      </c>
    </row>
    <row r="142">
      <c r="A142" s="3">
        <v>141.0</v>
      </c>
      <c r="B142" s="5">
        <v>0.03027777777777778</v>
      </c>
      <c r="C142" s="7" t="s">
        <v>222</v>
      </c>
      <c r="D142" s="8" t="s">
        <v>80</v>
      </c>
      <c r="E142" s="8" t="s">
        <v>81</v>
      </c>
      <c r="F142" s="10" t="s">
        <v>53</v>
      </c>
      <c r="G142" s="8">
        <v>19.0</v>
      </c>
      <c r="H142" s="8">
        <v>15.0</v>
      </c>
      <c r="I142" s="5">
        <v>0.030162037037037036</v>
      </c>
    </row>
    <row r="143">
      <c r="A143" s="3">
        <v>142.0</v>
      </c>
      <c r="B143" s="5">
        <v>0.030300925925925926</v>
      </c>
      <c r="C143" s="7" t="s">
        <v>223</v>
      </c>
      <c r="D143" s="8" t="s">
        <v>12</v>
      </c>
      <c r="E143" s="8" t="s">
        <v>14</v>
      </c>
      <c r="F143" s="10" t="s">
        <v>161</v>
      </c>
      <c r="G143" s="8">
        <v>123.0</v>
      </c>
      <c r="H143" s="8">
        <v>58.0</v>
      </c>
      <c r="I143" s="5">
        <v>0.030127314814814815</v>
      </c>
    </row>
    <row r="144">
      <c r="A144" s="3">
        <v>143.0</v>
      </c>
      <c r="B144" s="5">
        <v>0.030300925925925926</v>
      </c>
      <c r="C144" s="7" t="s">
        <v>224</v>
      </c>
      <c r="D144" s="8" t="s">
        <v>12</v>
      </c>
      <c r="E144" s="8" t="s">
        <v>115</v>
      </c>
      <c r="F144" s="10" t="s">
        <v>166</v>
      </c>
      <c r="G144" s="8">
        <v>124.0</v>
      </c>
      <c r="H144" s="8">
        <v>4.0</v>
      </c>
      <c r="I144" s="5">
        <v>0.03027777777777778</v>
      </c>
    </row>
    <row r="145">
      <c r="A145" s="3">
        <v>144.0</v>
      </c>
      <c r="B145" s="5">
        <v>0.030347222222222223</v>
      </c>
      <c r="C145" s="7" t="s">
        <v>225</v>
      </c>
      <c r="D145" s="8" t="s">
        <v>12</v>
      </c>
      <c r="E145" s="8" t="s">
        <v>14</v>
      </c>
      <c r="F145" s="10" t="s">
        <v>129</v>
      </c>
      <c r="G145" s="8">
        <v>125.0</v>
      </c>
      <c r="H145" s="8">
        <v>59.0</v>
      </c>
      <c r="I145" s="5">
        <v>0.030219907407407407</v>
      </c>
    </row>
    <row r="146">
      <c r="A146" s="3">
        <v>145.0</v>
      </c>
      <c r="B146" s="5">
        <v>0.030358796296296297</v>
      </c>
      <c r="C146" s="7" t="s">
        <v>226</v>
      </c>
      <c r="D146" s="8" t="s">
        <v>12</v>
      </c>
      <c r="E146" s="8" t="s">
        <v>14</v>
      </c>
      <c r="F146" s="10" t="s">
        <v>59</v>
      </c>
      <c r="G146" s="8">
        <v>126.0</v>
      </c>
      <c r="H146" s="8">
        <v>60.0</v>
      </c>
      <c r="I146" s="5">
        <v>0.03009259259259259</v>
      </c>
    </row>
    <row r="147">
      <c r="A147" s="3">
        <v>146.0</v>
      </c>
      <c r="B147" s="5">
        <v>0.030381944444444444</v>
      </c>
      <c r="C147" s="7" t="s">
        <v>227</v>
      </c>
      <c r="D147" s="8" t="s">
        <v>80</v>
      </c>
      <c r="E147" s="8" t="s">
        <v>228</v>
      </c>
      <c r="F147" s="10" t="s">
        <v>110</v>
      </c>
      <c r="G147" s="8">
        <v>20.0</v>
      </c>
      <c r="H147" s="8">
        <v>1.0</v>
      </c>
      <c r="I147" s="5">
        <v>0.030300925925925926</v>
      </c>
    </row>
    <row r="148">
      <c r="A148" s="3">
        <v>147.0</v>
      </c>
      <c r="B148" s="5">
        <v>0.030381944444444444</v>
      </c>
      <c r="C148" s="7" t="s">
        <v>229</v>
      </c>
      <c r="D148" s="8" t="s">
        <v>12</v>
      </c>
      <c r="E148" s="8" t="s">
        <v>122</v>
      </c>
      <c r="F148" s="10" t="s">
        <v>166</v>
      </c>
      <c r="G148" s="8">
        <v>127.0</v>
      </c>
      <c r="H148" s="8">
        <v>6.0</v>
      </c>
      <c r="I148" s="5">
        <v>0.030289351851851852</v>
      </c>
    </row>
    <row r="149">
      <c r="A149" s="3">
        <v>148.0</v>
      </c>
      <c r="B149" s="5">
        <v>0.030381944444444444</v>
      </c>
      <c r="C149" s="7" t="s">
        <v>230</v>
      </c>
      <c r="D149" s="8" t="s">
        <v>12</v>
      </c>
      <c r="E149" s="8" t="s">
        <v>95</v>
      </c>
      <c r="F149" s="10" t="s">
        <v>45</v>
      </c>
      <c r="G149" s="8">
        <v>128.0</v>
      </c>
      <c r="H149" s="8">
        <v>17.0</v>
      </c>
      <c r="I149" s="5">
        <v>0.03017361111111111</v>
      </c>
    </row>
    <row r="150">
      <c r="A150" s="3">
        <v>149.0</v>
      </c>
      <c r="B150" s="5">
        <v>0.030381944444444444</v>
      </c>
      <c r="C150" s="7" t="s">
        <v>231</v>
      </c>
      <c r="D150" s="8" t="s">
        <v>12</v>
      </c>
      <c r="E150" s="8" t="s">
        <v>95</v>
      </c>
      <c r="F150" s="10" t="s">
        <v>99</v>
      </c>
      <c r="G150" s="8">
        <v>129.0</v>
      </c>
      <c r="H150" s="8">
        <v>18.0</v>
      </c>
      <c r="I150" s="5">
        <v>0.0303125</v>
      </c>
    </row>
    <row r="151">
      <c r="A151" s="3">
        <v>150.0</v>
      </c>
      <c r="B151" s="5">
        <v>0.030393518518518518</v>
      </c>
      <c r="C151" s="7" t="s">
        <v>232</v>
      </c>
      <c r="D151" s="8" t="s">
        <v>12</v>
      </c>
      <c r="E151" s="8" t="s">
        <v>115</v>
      </c>
      <c r="F151" s="10" t="s">
        <v>175</v>
      </c>
      <c r="G151" s="8">
        <v>130.0</v>
      </c>
      <c r="H151" s="8">
        <v>5.0</v>
      </c>
      <c r="I151" s="5">
        <v>0.030300925925925926</v>
      </c>
    </row>
    <row r="152">
      <c r="A152" s="3">
        <v>151.0</v>
      </c>
      <c r="B152" s="5">
        <v>0.030439814814814815</v>
      </c>
      <c r="C152" s="7" t="s">
        <v>233</v>
      </c>
      <c r="D152" s="8" t="s">
        <v>12</v>
      </c>
      <c r="E152" s="8" t="s">
        <v>14</v>
      </c>
      <c r="F152" s="10" t="s">
        <v>129</v>
      </c>
      <c r="G152" s="8">
        <v>131.0</v>
      </c>
      <c r="H152" s="8">
        <v>61.0</v>
      </c>
      <c r="I152" s="5">
        <v>0.030324074074074073</v>
      </c>
    </row>
    <row r="153">
      <c r="A153" s="3">
        <v>152.0</v>
      </c>
      <c r="B153" s="5">
        <v>0.030462962962962963</v>
      </c>
      <c r="C153" s="7" t="s">
        <v>234</v>
      </c>
      <c r="D153" s="8" t="s">
        <v>12</v>
      </c>
      <c r="E153" s="8" t="s">
        <v>14</v>
      </c>
      <c r="F153" s="10" t="s">
        <v>40</v>
      </c>
      <c r="G153" s="8">
        <v>132.0</v>
      </c>
      <c r="H153" s="8">
        <v>62.0</v>
      </c>
      <c r="I153" s="5">
        <v>0.030393518518518518</v>
      </c>
    </row>
    <row r="154">
      <c r="A154" s="3">
        <v>153.0</v>
      </c>
      <c r="B154" s="5">
        <v>0.030601851851851852</v>
      </c>
      <c r="C154" s="7" t="s">
        <v>235</v>
      </c>
      <c r="D154" s="8" t="s">
        <v>12</v>
      </c>
      <c r="E154" s="8" t="s">
        <v>83</v>
      </c>
      <c r="F154" s="10" t="s">
        <v>23</v>
      </c>
      <c r="G154" s="8">
        <v>133.0</v>
      </c>
      <c r="H154" s="8">
        <v>17.0</v>
      </c>
      <c r="I154" s="5">
        <v>0.03050925925925926</v>
      </c>
    </row>
    <row r="155">
      <c r="A155" s="3">
        <v>154.0</v>
      </c>
      <c r="B155" s="5">
        <v>0.030613425925925926</v>
      </c>
      <c r="C155" s="7" t="s">
        <v>236</v>
      </c>
      <c r="D155" s="8" t="s">
        <v>12</v>
      </c>
      <c r="E155" s="8" t="s">
        <v>237</v>
      </c>
      <c r="F155" s="10" t="s">
        <v>78</v>
      </c>
      <c r="G155" s="8">
        <v>134.0</v>
      </c>
      <c r="H155" s="8">
        <v>1.0</v>
      </c>
      <c r="I155" s="5">
        <v>0.030497685185185187</v>
      </c>
    </row>
    <row r="156">
      <c r="A156" s="3">
        <v>155.0</v>
      </c>
      <c r="B156" s="5">
        <v>0.030636574074074073</v>
      </c>
      <c r="C156" s="7" t="s">
        <v>238</v>
      </c>
      <c r="D156" s="8" t="s">
        <v>80</v>
      </c>
      <c r="E156" s="8" t="s">
        <v>239</v>
      </c>
      <c r="F156" s="10" t="s">
        <v>45</v>
      </c>
      <c r="G156" s="8">
        <v>21.0</v>
      </c>
      <c r="H156" s="8">
        <v>1.0</v>
      </c>
      <c r="I156" s="5">
        <v>0.03054398148148148</v>
      </c>
    </row>
    <row r="157">
      <c r="A157" s="3">
        <v>156.0</v>
      </c>
      <c r="B157" s="5">
        <v>0.03076388888888889</v>
      </c>
      <c r="C157" s="7" t="s">
        <v>240</v>
      </c>
      <c r="D157" s="8" t="s">
        <v>12</v>
      </c>
      <c r="E157" s="8" t="s">
        <v>83</v>
      </c>
      <c r="F157" s="10" t="s">
        <v>129</v>
      </c>
      <c r="G157" s="8">
        <v>135.0</v>
      </c>
      <c r="H157" s="8">
        <v>18.0</v>
      </c>
      <c r="I157" s="5">
        <v>0.030625</v>
      </c>
    </row>
    <row r="158">
      <c r="A158" s="3">
        <v>157.0</v>
      </c>
      <c r="B158" s="5">
        <v>0.030810185185185184</v>
      </c>
      <c r="C158" s="7" t="s">
        <v>241</v>
      </c>
      <c r="D158" s="8" t="s">
        <v>12</v>
      </c>
      <c r="E158" s="8" t="s">
        <v>115</v>
      </c>
      <c r="F158" s="10" t="s">
        <v>112</v>
      </c>
      <c r="G158" s="8">
        <v>136.0</v>
      </c>
      <c r="H158" s="8">
        <v>6.0</v>
      </c>
      <c r="I158" s="5">
        <v>0.03068287037037037</v>
      </c>
    </row>
    <row r="159">
      <c r="A159" s="3">
        <v>158.0</v>
      </c>
      <c r="B159" s="5">
        <v>0.030810185185185184</v>
      </c>
      <c r="C159" s="7" t="s">
        <v>242</v>
      </c>
      <c r="D159" s="8" t="s">
        <v>12</v>
      </c>
      <c r="E159" s="8" t="s">
        <v>14</v>
      </c>
      <c r="F159" s="10" t="s">
        <v>42</v>
      </c>
      <c r="G159" s="8">
        <v>137.0</v>
      </c>
      <c r="H159" s="8">
        <v>63.0</v>
      </c>
      <c r="I159" s="5">
        <v>0.030671296296296297</v>
      </c>
    </row>
    <row r="160">
      <c r="A160" s="3">
        <v>159.0</v>
      </c>
      <c r="B160" s="5">
        <v>0.030844907407407408</v>
      </c>
      <c r="C160" s="7" t="s">
        <v>243</v>
      </c>
      <c r="D160" s="8" t="s">
        <v>80</v>
      </c>
      <c r="E160" s="8" t="s">
        <v>81</v>
      </c>
      <c r="F160" s="10" t="s">
        <v>23</v>
      </c>
      <c r="G160" s="8">
        <v>22.0</v>
      </c>
      <c r="H160" s="8">
        <v>16.0</v>
      </c>
      <c r="I160" s="5">
        <v>0.030775462962962963</v>
      </c>
    </row>
    <row r="161">
      <c r="A161" s="3">
        <v>160.0</v>
      </c>
      <c r="B161" s="5">
        <v>0.030914351851851853</v>
      </c>
      <c r="C161" s="7" t="s">
        <v>244</v>
      </c>
      <c r="D161" s="8" t="s">
        <v>12</v>
      </c>
      <c r="E161" s="8" t="s">
        <v>49</v>
      </c>
      <c r="F161" s="10" t="s">
        <v>139</v>
      </c>
      <c r="G161" s="8">
        <v>138.0</v>
      </c>
      <c r="H161" s="8">
        <v>18.0</v>
      </c>
      <c r="I161" s="5">
        <v>0.03082175925925926</v>
      </c>
    </row>
    <row r="162">
      <c r="A162" s="3">
        <v>161.0</v>
      </c>
      <c r="B162" s="5">
        <v>0.031006944444444445</v>
      </c>
      <c r="C162" s="7" t="s">
        <v>245</v>
      </c>
      <c r="D162" s="8" t="s">
        <v>12</v>
      </c>
      <c r="E162" s="8" t="s">
        <v>122</v>
      </c>
      <c r="F162" s="10" t="s">
        <v>53</v>
      </c>
      <c r="G162" s="8">
        <v>139.0</v>
      </c>
      <c r="H162" s="8">
        <v>7.0</v>
      </c>
      <c r="I162" s="5">
        <v>0.030868055555555555</v>
      </c>
    </row>
    <row r="163">
      <c r="A163" s="3">
        <v>162.0</v>
      </c>
      <c r="B163" s="5">
        <v>0.031030092592592592</v>
      </c>
      <c r="C163" s="7" t="s">
        <v>246</v>
      </c>
      <c r="D163" s="8" t="s">
        <v>80</v>
      </c>
      <c r="E163" s="8" t="s">
        <v>247</v>
      </c>
      <c r="F163" s="10" t="s">
        <v>40</v>
      </c>
      <c r="G163" s="8">
        <v>23.0</v>
      </c>
      <c r="H163" s="8">
        <v>1.0</v>
      </c>
      <c r="I163" s="5">
        <v>0.030868055555555555</v>
      </c>
    </row>
    <row r="164">
      <c r="A164" s="3">
        <v>163.0</v>
      </c>
      <c r="B164" s="5">
        <v>0.031030092592592592</v>
      </c>
      <c r="C164" s="7" t="s">
        <v>248</v>
      </c>
      <c r="D164" s="8" t="s">
        <v>80</v>
      </c>
      <c r="E164" s="8" t="s">
        <v>239</v>
      </c>
      <c r="F164" s="10" t="s">
        <v>139</v>
      </c>
      <c r="G164" s="8">
        <v>24.0</v>
      </c>
      <c r="H164" s="8">
        <v>2.0</v>
      </c>
      <c r="I164" s="5">
        <v>0.030891203703703702</v>
      </c>
    </row>
    <row r="165">
      <c r="A165" s="3">
        <v>164.0</v>
      </c>
      <c r="B165" s="5">
        <v>0.031041666666666665</v>
      </c>
      <c r="C165" s="7" t="s">
        <v>249</v>
      </c>
      <c r="D165" s="8" t="s">
        <v>80</v>
      </c>
      <c r="E165" s="8" t="s">
        <v>239</v>
      </c>
      <c r="F165" s="10" t="s">
        <v>15</v>
      </c>
      <c r="G165" s="8">
        <v>25.0</v>
      </c>
      <c r="H165" s="8">
        <v>3.0</v>
      </c>
      <c r="I165" s="5">
        <v>0.030972222222222224</v>
      </c>
    </row>
    <row r="166">
      <c r="A166" s="3">
        <v>165.0</v>
      </c>
      <c r="B166" s="5">
        <v>0.03107638888888889</v>
      </c>
      <c r="C166" s="7" t="s">
        <v>250</v>
      </c>
      <c r="D166" s="8" t="s">
        <v>12</v>
      </c>
      <c r="E166" s="8" t="s">
        <v>49</v>
      </c>
      <c r="F166" s="10" t="s">
        <v>110</v>
      </c>
      <c r="G166" s="8">
        <v>140.0</v>
      </c>
      <c r="H166" s="8">
        <v>19.0</v>
      </c>
      <c r="I166" s="5">
        <v>0.030960648148148147</v>
      </c>
    </row>
    <row r="167">
      <c r="A167" s="3">
        <v>166.0</v>
      </c>
      <c r="B167" s="5">
        <v>0.031157407407407408</v>
      </c>
      <c r="C167" s="7" t="s">
        <v>251</v>
      </c>
      <c r="D167" s="8" t="s">
        <v>12</v>
      </c>
      <c r="E167" s="8" t="s">
        <v>95</v>
      </c>
      <c r="F167" s="10" t="s">
        <v>31</v>
      </c>
      <c r="G167" s="8">
        <v>141.0</v>
      </c>
      <c r="H167" s="8">
        <v>19.0</v>
      </c>
      <c r="I167" s="5">
        <v>0.030972222222222224</v>
      </c>
    </row>
    <row r="168">
      <c r="A168" s="3">
        <v>167.0</v>
      </c>
      <c r="B168" s="5">
        <v>0.03116898148148148</v>
      </c>
      <c r="C168" s="7" t="s">
        <v>252</v>
      </c>
      <c r="D168" s="8" t="s">
        <v>12</v>
      </c>
      <c r="E168" s="8" t="s">
        <v>14</v>
      </c>
      <c r="F168" s="10" t="s">
        <v>110</v>
      </c>
      <c r="G168" s="8">
        <v>142.0</v>
      </c>
      <c r="H168" s="8">
        <v>64.0</v>
      </c>
      <c r="I168" s="5">
        <v>0.031053240740740742</v>
      </c>
    </row>
    <row r="169">
      <c r="A169" s="3">
        <v>168.0</v>
      </c>
      <c r="B169" s="5">
        <v>0.031180555555555555</v>
      </c>
      <c r="C169" s="7" t="s">
        <v>253</v>
      </c>
      <c r="D169" s="8" t="s">
        <v>12</v>
      </c>
      <c r="E169" s="8" t="s">
        <v>95</v>
      </c>
      <c r="F169" s="12" t="s">
        <v>21</v>
      </c>
      <c r="G169" s="8">
        <v>143.0</v>
      </c>
      <c r="H169" s="8">
        <v>20.0</v>
      </c>
      <c r="I169" s="5">
        <v>0.030972222222222224</v>
      </c>
    </row>
    <row r="170">
      <c r="A170" s="3">
        <v>169.0</v>
      </c>
      <c r="B170" s="5">
        <v>0.031203703703703702</v>
      </c>
      <c r="C170" s="7" t="s">
        <v>254</v>
      </c>
      <c r="D170" s="8" t="s">
        <v>12</v>
      </c>
      <c r="E170" s="8" t="s">
        <v>83</v>
      </c>
      <c r="F170" s="10" t="s">
        <v>40</v>
      </c>
      <c r="G170" s="8">
        <v>144.0</v>
      </c>
      <c r="H170" s="8">
        <v>19.0</v>
      </c>
      <c r="I170" s="5">
        <v>0.03107638888888889</v>
      </c>
    </row>
    <row r="171">
      <c r="A171" s="3">
        <v>170.0</v>
      </c>
      <c r="B171" s="5">
        <v>0.031203703703703702</v>
      </c>
      <c r="C171" s="7" t="s">
        <v>255</v>
      </c>
      <c r="D171" s="8" t="s">
        <v>12</v>
      </c>
      <c r="E171" s="8" t="s">
        <v>95</v>
      </c>
      <c r="F171" s="10" t="s">
        <v>23</v>
      </c>
      <c r="G171" s="8">
        <v>145.0</v>
      </c>
      <c r="H171" s="8">
        <v>21.0</v>
      </c>
      <c r="I171" s="5">
        <v>0.031030092592592592</v>
      </c>
    </row>
    <row r="172">
      <c r="A172" s="3">
        <v>171.0</v>
      </c>
      <c r="B172" s="5">
        <v>0.031238425925925926</v>
      </c>
      <c r="C172" s="7" t="s">
        <v>256</v>
      </c>
      <c r="D172" s="8" t="s">
        <v>12</v>
      </c>
      <c r="E172" s="8" t="s">
        <v>122</v>
      </c>
      <c r="F172" s="10" t="s">
        <v>40</v>
      </c>
      <c r="G172" s="8">
        <v>146.0</v>
      </c>
      <c r="H172" s="8">
        <v>8.0</v>
      </c>
      <c r="I172" s="5">
        <v>0.031122685185185184</v>
      </c>
    </row>
    <row r="173">
      <c r="A173" s="3">
        <v>172.0</v>
      </c>
      <c r="B173" s="5">
        <v>0.03125</v>
      </c>
      <c r="C173" s="7" t="s">
        <v>257</v>
      </c>
      <c r="D173" s="8" t="s">
        <v>80</v>
      </c>
      <c r="E173" s="8" t="s">
        <v>239</v>
      </c>
      <c r="F173" s="10" t="s">
        <v>139</v>
      </c>
      <c r="G173" s="8">
        <v>26.0</v>
      </c>
      <c r="H173" s="8">
        <v>4.0</v>
      </c>
      <c r="I173" s="5">
        <v>0.03111111111111111</v>
      </c>
    </row>
    <row r="174">
      <c r="A174" s="3">
        <v>173.0</v>
      </c>
      <c r="B174" s="5">
        <v>0.03125</v>
      </c>
      <c r="C174" s="7" t="s">
        <v>258</v>
      </c>
      <c r="D174" s="8" t="s">
        <v>12</v>
      </c>
      <c r="E174" s="8" t="s">
        <v>83</v>
      </c>
      <c r="F174" s="10" t="s">
        <v>166</v>
      </c>
      <c r="G174" s="8">
        <v>147.0</v>
      </c>
      <c r="H174" s="8">
        <v>20.0</v>
      </c>
      <c r="I174" s="5">
        <v>0.030983796296296297</v>
      </c>
    </row>
    <row r="175">
      <c r="A175" s="3">
        <v>174.0</v>
      </c>
      <c r="B175" s="5">
        <v>0.031261574074074074</v>
      </c>
      <c r="C175" s="7" t="s">
        <v>259</v>
      </c>
      <c r="D175" s="8" t="s">
        <v>12</v>
      </c>
      <c r="E175" s="8" t="s">
        <v>83</v>
      </c>
      <c r="F175" s="10" t="s">
        <v>129</v>
      </c>
      <c r="G175" s="8">
        <v>148.0</v>
      </c>
      <c r="H175" s="8">
        <v>21.0</v>
      </c>
      <c r="I175" s="5">
        <v>0.031122685185185184</v>
      </c>
    </row>
    <row r="176">
      <c r="A176" s="3">
        <v>175.0</v>
      </c>
      <c r="B176" s="5">
        <v>0.03127314814814815</v>
      </c>
      <c r="C176" s="7" t="s">
        <v>260</v>
      </c>
      <c r="D176" s="8" t="s">
        <v>80</v>
      </c>
      <c r="E176" s="8" t="s">
        <v>247</v>
      </c>
      <c r="F176" s="10" t="s">
        <v>59</v>
      </c>
      <c r="G176" s="8">
        <v>27.0</v>
      </c>
      <c r="H176" s="8">
        <v>2.0</v>
      </c>
      <c r="I176" s="5">
        <v>0.03107638888888889</v>
      </c>
    </row>
    <row r="177">
      <c r="A177" s="3">
        <v>176.0</v>
      </c>
      <c r="B177" s="5">
        <v>0.03130787037037037</v>
      </c>
      <c r="C177" s="7" t="s">
        <v>261</v>
      </c>
      <c r="D177" s="8" t="s">
        <v>12</v>
      </c>
      <c r="E177" s="8" t="s">
        <v>122</v>
      </c>
      <c r="F177" s="10" t="s">
        <v>129</v>
      </c>
      <c r="G177" s="8">
        <v>149.0</v>
      </c>
      <c r="H177" s="8">
        <v>9.0</v>
      </c>
      <c r="I177" s="5">
        <v>0.03119212962962963</v>
      </c>
    </row>
    <row r="178">
      <c r="A178" s="3">
        <v>177.0</v>
      </c>
      <c r="B178" s="5">
        <v>0.031377314814814816</v>
      </c>
      <c r="C178" s="7" t="s">
        <v>262</v>
      </c>
      <c r="D178" s="8" t="s">
        <v>12</v>
      </c>
      <c r="E178" s="8" t="s">
        <v>95</v>
      </c>
      <c r="F178" s="10" t="s">
        <v>112</v>
      </c>
      <c r="G178" s="8">
        <v>150.0</v>
      </c>
      <c r="H178" s="8">
        <v>22.0</v>
      </c>
      <c r="I178" s="5">
        <v>0.03133101851851852</v>
      </c>
    </row>
    <row r="179">
      <c r="A179" s="3">
        <v>178.0</v>
      </c>
      <c r="B179" s="5">
        <v>0.03150462962962963</v>
      </c>
      <c r="C179" s="7" t="s">
        <v>263</v>
      </c>
      <c r="D179" s="8" t="s">
        <v>12</v>
      </c>
      <c r="E179" s="8" t="s">
        <v>39</v>
      </c>
      <c r="F179" s="10" t="s">
        <v>15</v>
      </c>
      <c r="G179" s="8">
        <v>151.0</v>
      </c>
      <c r="H179" s="8">
        <v>9.0</v>
      </c>
      <c r="I179" s="5">
        <v>0.03145833333333333</v>
      </c>
    </row>
    <row r="180">
      <c r="A180" s="3">
        <v>179.0</v>
      </c>
      <c r="B180" s="5">
        <v>0.031516203703703706</v>
      </c>
      <c r="C180" s="7" t="s">
        <v>264</v>
      </c>
      <c r="D180" s="8" t="s">
        <v>12</v>
      </c>
      <c r="E180" s="8" t="s">
        <v>122</v>
      </c>
      <c r="F180" s="10" t="s">
        <v>99</v>
      </c>
      <c r="G180" s="8">
        <v>152.0</v>
      </c>
      <c r="H180" s="8">
        <v>10.0</v>
      </c>
      <c r="I180" s="5">
        <v>0.031342592592592596</v>
      </c>
    </row>
    <row r="181">
      <c r="A181" s="3">
        <v>180.0</v>
      </c>
      <c r="B181" s="5">
        <v>0.03155092592592593</v>
      </c>
      <c r="C181" s="7" t="s">
        <v>265</v>
      </c>
      <c r="D181" s="8" t="s">
        <v>12</v>
      </c>
      <c r="E181" s="8" t="s">
        <v>14</v>
      </c>
      <c r="F181" s="10" t="s">
        <v>57</v>
      </c>
      <c r="G181" s="8">
        <v>153.0</v>
      </c>
      <c r="H181" s="8">
        <v>65.0</v>
      </c>
      <c r="I181" s="5">
        <v>0.031469907407407405</v>
      </c>
    </row>
    <row r="182">
      <c r="A182" s="3">
        <v>181.0</v>
      </c>
      <c r="B182" s="5">
        <v>0.03163194444444444</v>
      </c>
      <c r="C182" s="7" t="s">
        <v>266</v>
      </c>
      <c r="D182" s="8" t="s">
        <v>12</v>
      </c>
      <c r="E182" s="8" t="s">
        <v>14</v>
      </c>
      <c r="F182" s="12" t="s">
        <v>21</v>
      </c>
      <c r="G182" s="8">
        <v>154.0</v>
      </c>
      <c r="H182" s="8">
        <v>66.0</v>
      </c>
      <c r="I182" s="5">
        <v>0.03136574074074074</v>
      </c>
    </row>
    <row r="183">
      <c r="A183" s="3">
        <v>182.0</v>
      </c>
      <c r="B183" s="5">
        <v>0.03166666666666667</v>
      </c>
      <c r="C183" s="7" t="s">
        <v>267</v>
      </c>
      <c r="D183" s="8" t="s">
        <v>80</v>
      </c>
      <c r="E183" s="8" t="s">
        <v>198</v>
      </c>
      <c r="F183" s="10" t="s">
        <v>53</v>
      </c>
      <c r="G183" s="8">
        <v>28.0</v>
      </c>
      <c r="H183" s="8">
        <v>2.0</v>
      </c>
      <c r="I183" s="5">
        <v>0.031226851851851853</v>
      </c>
    </row>
    <row r="184">
      <c r="A184" s="3">
        <v>183.0</v>
      </c>
      <c r="B184" s="5">
        <v>0.03167824074074074</v>
      </c>
      <c r="C184" s="7" t="s">
        <v>268</v>
      </c>
      <c r="D184" s="8" t="s">
        <v>12</v>
      </c>
      <c r="E184" s="8" t="s">
        <v>95</v>
      </c>
      <c r="F184" s="10" t="s">
        <v>53</v>
      </c>
      <c r="G184" s="8">
        <v>155.0</v>
      </c>
      <c r="H184" s="8">
        <v>23.0</v>
      </c>
      <c r="I184" s="5">
        <v>0.031516203703703706</v>
      </c>
    </row>
    <row r="185">
      <c r="A185" s="3">
        <v>184.0</v>
      </c>
      <c r="B185" s="5">
        <v>0.03173611111111111</v>
      </c>
      <c r="C185" s="7" t="s">
        <v>269</v>
      </c>
      <c r="D185" s="8" t="s">
        <v>80</v>
      </c>
      <c r="E185" s="8" t="s">
        <v>247</v>
      </c>
      <c r="F185" s="10" t="s">
        <v>175</v>
      </c>
      <c r="G185" s="8">
        <v>29.0</v>
      </c>
      <c r="H185" s="8">
        <v>3.0</v>
      </c>
      <c r="I185" s="5">
        <v>0.03153935185185185</v>
      </c>
    </row>
    <row r="186">
      <c r="A186" s="3">
        <v>185.0</v>
      </c>
      <c r="B186" s="5">
        <v>0.03177083333333333</v>
      </c>
      <c r="C186" s="7" t="s">
        <v>270</v>
      </c>
      <c r="D186" s="8" t="s">
        <v>12</v>
      </c>
      <c r="E186" s="8" t="s">
        <v>95</v>
      </c>
      <c r="F186" s="10" t="s">
        <v>42</v>
      </c>
      <c r="G186" s="8">
        <v>156.0</v>
      </c>
      <c r="H186" s="8">
        <v>24.0</v>
      </c>
      <c r="I186" s="5">
        <v>0.03162037037037037</v>
      </c>
    </row>
    <row r="187">
      <c r="A187" s="3">
        <v>186.0</v>
      </c>
      <c r="B187" s="5">
        <v>0.031828703703703706</v>
      </c>
      <c r="C187" s="7" t="s">
        <v>271</v>
      </c>
      <c r="D187" s="8" t="s">
        <v>12</v>
      </c>
      <c r="E187" s="8" t="s">
        <v>83</v>
      </c>
      <c r="F187" s="10" t="s">
        <v>129</v>
      </c>
      <c r="G187" s="8">
        <v>157.0</v>
      </c>
      <c r="H187" s="8">
        <v>22.0</v>
      </c>
      <c r="I187" s="5">
        <v>0.03170138888888889</v>
      </c>
    </row>
    <row r="188">
      <c r="A188" s="3">
        <v>187.0</v>
      </c>
      <c r="B188" s="5">
        <v>0.03185185185185185</v>
      </c>
      <c r="C188" s="7" t="s">
        <v>272</v>
      </c>
      <c r="D188" s="8" t="s">
        <v>80</v>
      </c>
      <c r="E188" s="8" t="s">
        <v>173</v>
      </c>
      <c r="F188" s="10" t="s">
        <v>53</v>
      </c>
      <c r="G188" s="8">
        <v>30.0</v>
      </c>
      <c r="H188" s="8">
        <v>2.0</v>
      </c>
      <c r="I188" s="5">
        <v>0.03172453703703704</v>
      </c>
    </row>
    <row r="189">
      <c r="A189" s="3">
        <v>188.0</v>
      </c>
      <c r="B189" s="5">
        <v>0.03186342592592593</v>
      </c>
      <c r="C189" s="7" t="s">
        <v>273</v>
      </c>
      <c r="D189" s="8" t="s">
        <v>12</v>
      </c>
      <c r="E189" s="8" t="s">
        <v>83</v>
      </c>
      <c r="F189" s="10" t="s">
        <v>112</v>
      </c>
      <c r="G189" s="8">
        <v>158.0</v>
      </c>
      <c r="H189" s="8">
        <v>23.0</v>
      </c>
      <c r="I189" s="5">
        <v>0.03179398148148148</v>
      </c>
    </row>
    <row r="190">
      <c r="A190" s="3">
        <v>189.0</v>
      </c>
      <c r="B190" s="5">
        <v>0.03190972222222222</v>
      </c>
      <c r="C190" s="7" t="s">
        <v>274</v>
      </c>
      <c r="D190" s="8" t="s">
        <v>80</v>
      </c>
      <c r="E190" s="8" t="s">
        <v>239</v>
      </c>
      <c r="F190" s="10" t="s">
        <v>99</v>
      </c>
      <c r="G190" s="8">
        <v>31.0</v>
      </c>
      <c r="H190" s="8">
        <v>5.0</v>
      </c>
      <c r="I190" s="5">
        <v>0.03166666666666667</v>
      </c>
    </row>
    <row r="191">
      <c r="A191" s="3">
        <v>190.0</v>
      </c>
      <c r="B191" s="5">
        <v>0.031921296296296295</v>
      </c>
      <c r="C191" s="7" t="s">
        <v>275</v>
      </c>
      <c r="D191" s="8" t="s">
        <v>12</v>
      </c>
      <c r="E191" s="8" t="s">
        <v>49</v>
      </c>
      <c r="F191" s="10" t="s">
        <v>57</v>
      </c>
      <c r="G191" s="8">
        <v>159.0</v>
      </c>
      <c r="H191" s="8">
        <v>20.0</v>
      </c>
      <c r="I191" s="5">
        <v>0.03170138888888889</v>
      </c>
    </row>
    <row r="192">
      <c r="A192" s="3">
        <v>191.0</v>
      </c>
      <c r="B192" s="5">
        <v>0.03193287037037037</v>
      </c>
      <c r="C192" s="7" t="s">
        <v>276</v>
      </c>
      <c r="D192" s="8" t="s">
        <v>12</v>
      </c>
      <c r="E192" s="8" t="s">
        <v>49</v>
      </c>
      <c r="F192" s="10" t="s">
        <v>53</v>
      </c>
      <c r="G192" s="8">
        <v>160.0</v>
      </c>
      <c r="H192" s="8">
        <v>21.0</v>
      </c>
      <c r="I192" s="5">
        <v>0.031782407407407405</v>
      </c>
    </row>
    <row r="193">
      <c r="A193" s="3">
        <v>192.0</v>
      </c>
      <c r="B193" s="5">
        <v>0.031956018518518516</v>
      </c>
      <c r="C193" s="7" t="s">
        <v>277</v>
      </c>
      <c r="D193" s="8" t="s">
        <v>12</v>
      </c>
      <c r="E193" s="8" t="s">
        <v>39</v>
      </c>
      <c r="F193" s="10" t="s">
        <v>132</v>
      </c>
      <c r="G193" s="8">
        <v>161.0</v>
      </c>
      <c r="H193" s="8">
        <v>10.0</v>
      </c>
      <c r="I193" s="5">
        <v>0.031886574074074074</v>
      </c>
    </row>
    <row r="194">
      <c r="A194" s="3">
        <v>193.0</v>
      </c>
      <c r="B194" s="5">
        <v>0.031956018518518516</v>
      </c>
      <c r="C194" s="7" t="s">
        <v>278</v>
      </c>
      <c r="D194" s="8" t="s">
        <v>12</v>
      </c>
      <c r="E194" s="8" t="s">
        <v>95</v>
      </c>
      <c r="F194" s="10" t="s">
        <v>40</v>
      </c>
      <c r="G194" s="8">
        <v>162.0</v>
      </c>
      <c r="H194" s="8">
        <v>25.0</v>
      </c>
      <c r="I194" s="5">
        <v>0.03179398148148148</v>
      </c>
    </row>
    <row r="195">
      <c r="A195" s="3">
        <v>194.0</v>
      </c>
      <c r="B195" s="5">
        <v>0.031967592592592596</v>
      </c>
      <c r="C195" s="7" t="s">
        <v>279</v>
      </c>
      <c r="D195" s="8" t="s">
        <v>80</v>
      </c>
      <c r="E195" s="8" t="s">
        <v>239</v>
      </c>
      <c r="F195" s="10" t="s">
        <v>40</v>
      </c>
      <c r="G195" s="8">
        <v>32.0</v>
      </c>
      <c r="H195" s="8">
        <v>6.0</v>
      </c>
      <c r="I195" s="5">
        <v>0.03177083333333333</v>
      </c>
    </row>
    <row r="196">
      <c r="A196" s="3">
        <v>195.0</v>
      </c>
      <c r="B196" s="5">
        <v>0.03197916666666667</v>
      </c>
      <c r="C196" s="7" t="s">
        <v>280</v>
      </c>
      <c r="D196" s="8" t="s">
        <v>12</v>
      </c>
      <c r="E196" s="8" t="s">
        <v>14</v>
      </c>
      <c r="F196" s="10" t="s">
        <v>104</v>
      </c>
      <c r="G196" s="8">
        <v>163.0</v>
      </c>
      <c r="H196" s="8">
        <v>67.0</v>
      </c>
      <c r="I196" s="5">
        <v>0.031469907407407405</v>
      </c>
    </row>
    <row r="197">
      <c r="A197" s="3">
        <v>196.0</v>
      </c>
      <c r="B197" s="5">
        <v>0.03200231481481482</v>
      </c>
      <c r="C197" s="7" t="s">
        <v>249</v>
      </c>
      <c r="D197" s="8" t="s">
        <v>80</v>
      </c>
      <c r="E197" s="8" t="s">
        <v>198</v>
      </c>
      <c r="F197" s="10" t="s">
        <v>40</v>
      </c>
      <c r="G197" s="8">
        <v>33.0</v>
      </c>
      <c r="H197" s="8">
        <v>3.0</v>
      </c>
      <c r="I197" s="5">
        <v>0.03181712962962963</v>
      </c>
    </row>
    <row r="198">
      <c r="A198" s="3">
        <v>197.0</v>
      </c>
      <c r="B198" s="5">
        <v>0.032060185185185185</v>
      </c>
      <c r="C198" s="7" t="s">
        <v>281</v>
      </c>
      <c r="D198" s="8" t="s">
        <v>12</v>
      </c>
      <c r="E198" s="8" t="s">
        <v>237</v>
      </c>
      <c r="F198" s="10" t="s">
        <v>53</v>
      </c>
      <c r="G198" s="8">
        <v>164.0</v>
      </c>
      <c r="H198" s="8">
        <v>2.0</v>
      </c>
      <c r="I198" s="5">
        <v>0.031886574074074074</v>
      </c>
    </row>
    <row r="199">
      <c r="A199" s="3">
        <v>198.0</v>
      </c>
      <c r="B199" s="5">
        <v>0.03214120370370371</v>
      </c>
      <c r="C199" s="7" t="s">
        <v>52</v>
      </c>
      <c r="D199" s="8" t="s">
        <v>12</v>
      </c>
      <c r="E199" s="8" t="s">
        <v>49</v>
      </c>
      <c r="F199" s="12" t="s">
        <v>21</v>
      </c>
      <c r="G199" s="8">
        <v>165.0</v>
      </c>
      <c r="H199" s="8">
        <v>22.0</v>
      </c>
      <c r="I199" s="5">
        <v>0.03189814814814815</v>
      </c>
    </row>
    <row r="200">
      <c r="A200" s="3">
        <v>199.0</v>
      </c>
      <c r="B200" s="5">
        <v>0.032164351851851854</v>
      </c>
      <c r="C200" s="7" t="s">
        <v>282</v>
      </c>
      <c r="D200" s="8" t="s">
        <v>12</v>
      </c>
      <c r="E200" s="8" t="s">
        <v>83</v>
      </c>
      <c r="F200" s="10" t="s">
        <v>53</v>
      </c>
      <c r="G200" s="8">
        <v>166.0</v>
      </c>
      <c r="H200" s="8">
        <v>24.0</v>
      </c>
      <c r="I200" s="5">
        <v>0.03200231481481482</v>
      </c>
    </row>
    <row r="201">
      <c r="A201" s="3">
        <v>200.0</v>
      </c>
      <c r="B201" s="5">
        <v>0.03217592592592593</v>
      </c>
      <c r="C201" s="7" t="s">
        <v>283</v>
      </c>
      <c r="D201" s="8" t="s">
        <v>12</v>
      </c>
      <c r="E201" s="8" t="s">
        <v>237</v>
      </c>
      <c r="F201" s="10" t="s">
        <v>40</v>
      </c>
      <c r="G201" s="8">
        <v>167.0</v>
      </c>
      <c r="H201" s="8">
        <v>3.0</v>
      </c>
      <c r="I201" s="5">
        <v>0.032025462962962964</v>
      </c>
    </row>
    <row r="202">
      <c r="A202" s="3">
        <v>201.0</v>
      </c>
      <c r="B202" s="5">
        <v>0.03217592592592593</v>
      </c>
      <c r="C202" s="7" t="s">
        <v>60</v>
      </c>
      <c r="D202" s="8" t="s">
        <v>80</v>
      </c>
      <c r="E202" s="8" t="s">
        <v>81</v>
      </c>
      <c r="F202" s="12" t="s">
        <v>21</v>
      </c>
      <c r="G202" s="8">
        <v>34.0</v>
      </c>
      <c r="H202" s="8">
        <v>17.0</v>
      </c>
      <c r="I202" s="5">
        <v>0.03197916666666667</v>
      </c>
    </row>
    <row r="203">
      <c r="A203" s="3">
        <v>202.0</v>
      </c>
      <c r="B203" s="5">
        <v>0.0321875</v>
      </c>
      <c r="C203" s="7" t="s">
        <v>284</v>
      </c>
      <c r="D203" s="8" t="s">
        <v>12</v>
      </c>
      <c r="E203" s="8" t="s">
        <v>115</v>
      </c>
      <c r="F203" s="10" t="s">
        <v>101</v>
      </c>
      <c r="G203" s="8">
        <v>168.0</v>
      </c>
      <c r="H203" s="8">
        <v>7.0</v>
      </c>
      <c r="I203" s="5">
        <v>0.031956018518518516</v>
      </c>
    </row>
    <row r="204">
      <c r="A204" s="3">
        <v>203.0</v>
      </c>
      <c r="B204" s="5">
        <v>0.03221064814814815</v>
      </c>
      <c r="C204" s="7" t="s">
        <v>285</v>
      </c>
      <c r="D204" s="8" t="s">
        <v>80</v>
      </c>
      <c r="E204" s="8" t="s">
        <v>198</v>
      </c>
      <c r="F204" s="10" t="s">
        <v>129</v>
      </c>
      <c r="G204" s="8">
        <v>35.0</v>
      </c>
      <c r="H204" s="8">
        <v>4.0</v>
      </c>
      <c r="I204" s="5">
        <v>0.03208333333333333</v>
      </c>
    </row>
    <row r="205">
      <c r="A205" s="3">
        <v>204.0</v>
      </c>
      <c r="B205" s="5">
        <v>0.03225694444444444</v>
      </c>
      <c r="C205" s="7" t="s">
        <v>286</v>
      </c>
      <c r="D205" s="8" t="s">
        <v>80</v>
      </c>
      <c r="E205" s="8" t="s">
        <v>119</v>
      </c>
      <c r="F205" s="10" t="s">
        <v>132</v>
      </c>
      <c r="G205" s="8">
        <v>36.0</v>
      </c>
      <c r="H205" s="8">
        <v>3.0</v>
      </c>
      <c r="I205" s="5">
        <v>0.032199074074074074</v>
      </c>
    </row>
    <row r="206">
      <c r="A206" s="3">
        <v>205.0</v>
      </c>
      <c r="B206" s="5">
        <v>0.03225694444444444</v>
      </c>
      <c r="C206" s="7" t="s">
        <v>287</v>
      </c>
      <c r="D206" s="8" t="s">
        <v>12</v>
      </c>
      <c r="E206" s="8" t="s">
        <v>14</v>
      </c>
      <c r="F206" s="10" t="s">
        <v>15</v>
      </c>
      <c r="G206" s="8">
        <v>169.0</v>
      </c>
      <c r="H206" s="8">
        <v>68.0</v>
      </c>
      <c r="I206" s="5">
        <v>0.032025462962962964</v>
      </c>
    </row>
    <row r="207">
      <c r="A207" s="3">
        <v>206.0</v>
      </c>
      <c r="B207" s="5">
        <v>0.03228009259259259</v>
      </c>
      <c r="C207" s="7" t="s">
        <v>288</v>
      </c>
      <c r="D207" s="8" t="s">
        <v>12</v>
      </c>
      <c r="E207" s="8" t="s">
        <v>115</v>
      </c>
      <c r="F207" s="10" t="s">
        <v>15</v>
      </c>
      <c r="G207" s="8">
        <v>170.0</v>
      </c>
      <c r="H207" s="8">
        <v>8.0</v>
      </c>
      <c r="I207" s="5">
        <v>0.032164351851851854</v>
      </c>
    </row>
    <row r="208">
      <c r="A208" s="3">
        <v>207.0</v>
      </c>
      <c r="B208" s="5">
        <v>0.032303240740740743</v>
      </c>
      <c r="C208" s="7" t="s">
        <v>289</v>
      </c>
      <c r="D208" s="8" t="s">
        <v>12</v>
      </c>
      <c r="E208" s="8" t="s">
        <v>14</v>
      </c>
      <c r="F208" s="10" t="s">
        <v>112</v>
      </c>
      <c r="G208" s="8">
        <v>171.0</v>
      </c>
      <c r="H208" s="8">
        <v>69.0</v>
      </c>
      <c r="I208" s="5">
        <v>0.0321875</v>
      </c>
    </row>
    <row r="209">
      <c r="A209" s="3">
        <v>208.0</v>
      </c>
      <c r="B209" s="5">
        <v>0.03231481481481482</v>
      </c>
      <c r="C209" s="7" t="s">
        <v>290</v>
      </c>
      <c r="D209" s="8" t="s">
        <v>12</v>
      </c>
      <c r="E209" s="8" t="s">
        <v>122</v>
      </c>
      <c r="F209" s="10" t="s">
        <v>129</v>
      </c>
      <c r="G209" s="8">
        <v>172.0</v>
      </c>
      <c r="H209" s="8">
        <v>11.0</v>
      </c>
      <c r="I209" s="5">
        <v>0.0321875</v>
      </c>
    </row>
    <row r="210">
      <c r="A210" s="3">
        <v>209.0</v>
      </c>
      <c r="B210" s="5">
        <v>0.03241898148148148</v>
      </c>
      <c r="C210" s="7" t="s">
        <v>291</v>
      </c>
      <c r="D210" s="8" t="s">
        <v>80</v>
      </c>
      <c r="E210" s="8" t="s">
        <v>198</v>
      </c>
      <c r="F210" s="10" t="s">
        <v>110</v>
      </c>
      <c r="G210" s="8">
        <v>37.0</v>
      </c>
      <c r="H210" s="8">
        <v>5.0</v>
      </c>
      <c r="I210" s="5">
        <v>0.03236111111111111</v>
      </c>
    </row>
    <row r="211">
      <c r="A211" s="3">
        <v>210.0</v>
      </c>
      <c r="B211" s="5">
        <v>0.032511574074074075</v>
      </c>
      <c r="C211" s="7" t="s">
        <v>292</v>
      </c>
      <c r="D211" s="8" t="s">
        <v>12</v>
      </c>
      <c r="E211" s="8" t="s">
        <v>49</v>
      </c>
      <c r="F211" s="10" t="s">
        <v>57</v>
      </c>
      <c r="G211" s="8">
        <v>173.0</v>
      </c>
      <c r="H211" s="8">
        <v>23.0</v>
      </c>
      <c r="I211" s="5">
        <v>0.03245370370370371</v>
      </c>
    </row>
    <row r="212">
      <c r="A212" s="3">
        <v>211.0</v>
      </c>
      <c r="B212" s="5">
        <v>0.032546296296296295</v>
      </c>
      <c r="C212" s="7" t="s">
        <v>293</v>
      </c>
      <c r="D212" s="8" t="s">
        <v>80</v>
      </c>
      <c r="E212" s="8" t="s">
        <v>81</v>
      </c>
      <c r="F212" s="10" t="s">
        <v>53</v>
      </c>
      <c r="G212" s="8">
        <v>38.0</v>
      </c>
      <c r="H212" s="8">
        <v>18.0</v>
      </c>
      <c r="I212" s="5">
        <v>0.03241898148148148</v>
      </c>
    </row>
    <row r="213">
      <c r="A213" s="3">
        <v>212.0</v>
      </c>
      <c r="B213" s="5">
        <v>0.03256944444444444</v>
      </c>
      <c r="C213" s="7" t="s">
        <v>294</v>
      </c>
      <c r="D213" s="8" t="s">
        <v>12</v>
      </c>
      <c r="E213" s="8" t="s">
        <v>14</v>
      </c>
      <c r="F213" s="10" t="s">
        <v>31</v>
      </c>
      <c r="G213" s="8">
        <v>174.0</v>
      </c>
      <c r="H213" s="8">
        <v>70.0</v>
      </c>
      <c r="I213" s="5">
        <v>0.03236111111111111</v>
      </c>
    </row>
    <row r="214">
      <c r="A214" s="3">
        <v>213.0</v>
      </c>
      <c r="B214" s="5">
        <v>0.03267361111111111</v>
      </c>
      <c r="C214" s="7" t="s">
        <v>295</v>
      </c>
      <c r="D214" s="8" t="s">
        <v>12</v>
      </c>
      <c r="E214" s="8" t="s">
        <v>122</v>
      </c>
      <c r="F214" s="10" t="s">
        <v>175</v>
      </c>
      <c r="G214" s="8">
        <v>175.0</v>
      </c>
      <c r="H214" s="8">
        <v>12.0</v>
      </c>
      <c r="I214" s="5">
        <v>0.032581018518518516</v>
      </c>
    </row>
    <row r="215">
      <c r="A215" s="3">
        <v>214.0</v>
      </c>
      <c r="B215" s="5">
        <v>0.032685185185185185</v>
      </c>
      <c r="C215" s="7" t="s">
        <v>296</v>
      </c>
      <c r="D215" s="8" t="s">
        <v>12</v>
      </c>
      <c r="E215" s="8" t="s">
        <v>14</v>
      </c>
      <c r="F215" s="10" t="s">
        <v>112</v>
      </c>
      <c r="G215" s="8">
        <v>176.0</v>
      </c>
      <c r="H215" s="8">
        <v>71.0</v>
      </c>
      <c r="I215" s="5">
        <v>0.03256944444444444</v>
      </c>
    </row>
    <row r="216">
      <c r="A216" s="3">
        <v>215.0</v>
      </c>
      <c r="B216" s="5">
        <v>0.03269675925925926</v>
      </c>
      <c r="C216" s="7" t="s">
        <v>297</v>
      </c>
      <c r="D216" s="8" t="s">
        <v>12</v>
      </c>
      <c r="E216" s="8" t="s">
        <v>115</v>
      </c>
      <c r="F216" s="10" t="s">
        <v>129</v>
      </c>
      <c r="G216" s="8">
        <v>177.0</v>
      </c>
      <c r="H216" s="8">
        <v>9.0</v>
      </c>
      <c r="I216" s="5">
        <v>0.032511574074074075</v>
      </c>
    </row>
    <row r="217">
      <c r="A217" s="3">
        <v>216.0</v>
      </c>
      <c r="B217" s="5">
        <v>0.03269675925925926</v>
      </c>
      <c r="C217" s="7" t="s">
        <v>298</v>
      </c>
      <c r="D217" s="8" t="s">
        <v>80</v>
      </c>
      <c r="E217" s="8" t="s">
        <v>239</v>
      </c>
      <c r="F217" s="10" t="s">
        <v>175</v>
      </c>
      <c r="G217" s="8">
        <v>39.0</v>
      </c>
      <c r="H217" s="8">
        <v>7.0</v>
      </c>
      <c r="I217" s="5">
        <v>0.03248842592592593</v>
      </c>
    </row>
    <row r="218">
      <c r="A218" s="3">
        <v>217.0</v>
      </c>
      <c r="B218" s="5">
        <v>0.03275462962962963</v>
      </c>
      <c r="C218" s="7" t="s">
        <v>299</v>
      </c>
      <c r="D218" s="8" t="s">
        <v>12</v>
      </c>
      <c r="E218" s="8" t="s">
        <v>49</v>
      </c>
      <c r="F218" s="10" t="s">
        <v>110</v>
      </c>
      <c r="G218" s="8">
        <v>178.0</v>
      </c>
      <c r="H218" s="8">
        <v>24.0</v>
      </c>
      <c r="I218" s="5">
        <v>0.03266203703703704</v>
      </c>
    </row>
    <row r="219">
      <c r="A219" s="3">
        <v>218.0</v>
      </c>
      <c r="B219" s="5">
        <v>0.03276620370370371</v>
      </c>
      <c r="C219" s="7" t="s">
        <v>300</v>
      </c>
      <c r="D219" s="8" t="s">
        <v>12</v>
      </c>
      <c r="E219" s="8" t="s">
        <v>14</v>
      </c>
      <c r="F219" s="10" t="s">
        <v>112</v>
      </c>
      <c r="G219" s="8">
        <v>179.0</v>
      </c>
      <c r="H219" s="8">
        <v>72.0</v>
      </c>
      <c r="I219" s="5">
        <v>0.03255787037037037</v>
      </c>
    </row>
    <row r="220">
      <c r="A220" s="3">
        <v>219.0</v>
      </c>
      <c r="B220" s="5">
        <v>0.03277777777777778</v>
      </c>
      <c r="C220" s="7" t="s">
        <v>301</v>
      </c>
      <c r="D220" s="8" t="s">
        <v>12</v>
      </c>
      <c r="E220" s="8" t="s">
        <v>49</v>
      </c>
      <c r="F220" s="12" t="s">
        <v>21</v>
      </c>
      <c r="G220" s="8">
        <v>180.0</v>
      </c>
      <c r="H220" s="8">
        <v>25.0</v>
      </c>
      <c r="I220" s="5">
        <v>0.03262731481481482</v>
      </c>
    </row>
    <row r="221">
      <c r="A221" s="3">
        <v>220.0</v>
      </c>
      <c r="B221" s="5">
        <v>0.032824074074074075</v>
      </c>
      <c r="C221" s="7" t="s">
        <v>302</v>
      </c>
      <c r="D221" s="8" t="s">
        <v>12</v>
      </c>
      <c r="E221" s="8" t="s">
        <v>49</v>
      </c>
      <c r="F221" s="10" t="s">
        <v>45</v>
      </c>
      <c r="G221" s="8">
        <v>181.0</v>
      </c>
      <c r="H221" s="8">
        <v>26.0</v>
      </c>
      <c r="I221" s="5">
        <v>0.03256944444444444</v>
      </c>
    </row>
    <row r="222">
      <c r="A222" s="3">
        <v>221.0</v>
      </c>
      <c r="B222" s="5">
        <v>0.03284722222222222</v>
      </c>
      <c r="C222" s="7" t="s">
        <v>303</v>
      </c>
      <c r="D222" s="8" t="s">
        <v>12</v>
      </c>
      <c r="E222" s="8" t="s">
        <v>95</v>
      </c>
      <c r="F222" s="10" t="s">
        <v>15</v>
      </c>
      <c r="G222" s="8">
        <v>182.0</v>
      </c>
      <c r="H222" s="8">
        <v>26.0</v>
      </c>
      <c r="I222" s="5">
        <v>0.03269675925925926</v>
      </c>
    </row>
    <row r="223">
      <c r="A223" s="3">
        <v>222.0</v>
      </c>
      <c r="B223" s="5">
        <v>0.032858796296296296</v>
      </c>
      <c r="C223" s="7" t="s">
        <v>304</v>
      </c>
      <c r="D223" s="8" t="s">
        <v>12</v>
      </c>
      <c r="E223" s="8" t="s">
        <v>122</v>
      </c>
      <c r="F223" s="10" t="s">
        <v>112</v>
      </c>
      <c r="G223" s="8">
        <v>183.0</v>
      </c>
      <c r="H223" s="8">
        <v>13.0</v>
      </c>
      <c r="I223" s="5">
        <v>0.03274305555555555</v>
      </c>
    </row>
    <row r="224">
      <c r="A224" s="3">
        <v>223.0</v>
      </c>
      <c r="B224" s="5">
        <v>0.03287037037037037</v>
      </c>
      <c r="C224" s="7" t="s">
        <v>305</v>
      </c>
      <c r="D224" s="8" t="s">
        <v>12</v>
      </c>
      <c r="E224" s="8" t="s">
        <v>95</v>
      </c>
      <c r="F224" s="10" t="s">
        <v>40</v>
      </c>
      <c r="G224" s="8">
        <v>184.0</v>
      </c>
      <c r="H224" s="8">
        <v>27.0</v>
      </c>
      <c r="I224" s="5">
        <v>0.03259259259259259</v>
      </c>
    </row>
    <row r="225">
      <c r="A225" s="3">
        <v>224.0</v>
      </c>
      <c r="B225" s="5">
        <v>0.032928240740740744</v>
      </c>
      <c r="C225" s="7" t="s">
        <v>306</v>
      </c>
      <c r="D225" s="8" t="s">
        <v>12</v>
      </c>
      <c r="E225" s="8" t="s">
        <v>95</v>
      </c>
      <c r="F225" s="10" t="s">
        <v>307</v>
      </c>
      <c r="G225" s="8">
        <v>185.0</v>
      </c>
      <c r="H225" s="8">
        <v>28.0</v>
      </c>
      <c r="I225" s="5">
        <v>0.03275462962962963</v>
      </c>
    </row>
    <row r="226">
      <c r="A226" s="3">
        <v>225.0</v>
      </c>
      <c r="B226" s="5">
        <v>0.03293981481481482</v>
      </c>
      <c r="C226" s="7" t="s">
        <v>308</v>
      </c>
      <c r="D226" s="8" t="s">
        <v>12</v>
      </c>
      <c r="E226" s="8" t="s">
        <v>122</v>
      </c>
      <c r="F226" s="10" t="s">
        <v>78</v>
      </c>
      <c r="G226" s="8">
        <v>186.0</v>
      </c>
      <c r="H226" s="8">
        <v>14.0</v>
      </c>
      <c r="I226" s="5">
        <v>0.032546296296296295</v>
      </c>
    </row>
    <row r="227">
      <c r="A227" s="3">
        <v>226.0</v>
      </c>
      <c r="B227" s="5">
        <v>0.032997685185185185</v>
      </c>
      <c r="C227" s="7" t="s">
        <v>309</v>
      </c>
      <c r="D227" s="8" t="s">
        <v>80</v>
      </c>
      <c r="E227" s="8" t="s">
        <v>173</v>
      </c>
      <c r="F227" s="10" t="s">
        <v>129</v>
      </c>
      <c r="G227" s="8">
        <v>40.0</v>
      </c>
      <c r="H227" s="8">
        <v>3.0</v>
      </c>
      <c r="I227" s="5">
        <v>0.032858796296296296</v>
      </c>
    </row>
    <row r="228">
      <c r="A228" s="3">
        <v>227.0</v>
      </c>
      <c r="B228" s="5">
        <v>0.033032407407407406</v>
      </c>
      <c r="C228" s="7" t="s">
        <v>310</v>
      </c>
      <c r="D228" s="8" t="s">
        <v>12</v>
      </c>
      <c r="E228" s="8" t="s">
        <v>95</v>
      </c>
      <c r="F228" s="10" t="s">
        <v>45</v>
      </c>
      <c r="G228" s="8">
        <v>187.0</v>
      </c>
      <c r="H228" s="8">
        <v>29.0</v>
      </c>
      <c r="I228" s="5">
        <v>0.032824074074074075</v>
      </c>
    </row>
    <row r="229">
      <c r="A229" s="3">
        <v>228.0</v>
      </c>
      <c r="B229" s="5">
        <v>0.03304398148148148</v>
      </c>
      <c r="C229" s="7" t="s">
        <v>311</v>
      </c>
      <c r="D229" s="8" t="s">
        <v>80</v>
      </c>
      <c r="E229" s="8" t="s">
        <v>173</v>
      </c>
      <c r="F229" s="10" t="s">
        <v>15</v>
      </c>
      <c r="G229" s="8">
        <v>41.0</v>
      </c>
      <c r="H229" s="8">
        <v>4.0</v>
      </c>
      <c r="I229" s="5">
        <v>0.03290509259259259</v>
      </c>
    </row>
    <row r="230">
      <c r="A230" s="3">
        <v>229.0</v>
      </c>
      <c r="B230" s="5">
        <v>0.0330787037037037</v>
      </c>
      <c r="C230" s="7" t="s">
        <v>312</v>
      </c>
      <c r="D230" s="8" t="s">
        <v>12</v>
      </c>
      <c r="E230" s="8" t="s">
        <v>237</v>
      </c>
      <c r="F230" s="10" t="s">
        <v>110</v>
      </c>
      <c r="G230" s="8">
        <v>188.0</v>
      </c>
      <c r="H230" s="8">
        <v>4.0</v>
      </c>
      <c r="I230" s="5">
        <v>0.03295138888888889</v>
      </c>
    </row>
    <row r="231">
      <c r="A231" s="3">
        <v>230.0</v>
      </c>
      <c r="B231" s="5">
        <v>0.03309027777777778</v>
      </c>
      <c r="C231" s="7" t="s">
        <v>313</v>
      </c>
      <c r="D231" s="8" t="s">
        <v>80</v>
      </c>
      <c r="E231" s="8" t="s">
        <v>247</v>
      </c>
      <c r="F231" s="10" t="s">
        <v>53</v>
      </c>
      <c r="G231" s="8">
        <v>42.0</v>
      </c>
      <c r="H231" s="8">
        <v>4.0</v>
      </c>
      <c r="I231" s="5">
        <v>0.03293981481481482</v>
      </c>
    </row>
    <row r="232">
      <c r="A232" s="3">
        <v>231.0</v>
      </c>
      <c r="B232" s="5">
        <v>0.033125</v>
      </c>
      <c r="C232" s="7" t="s">
        <v>314</v>
      </c>
      <c r="D232" s="8" t="s">
        <v>80</v>
      </c>
      <c r="E232" s="8" t="s">
        <v>247</v>
      </c>
      <c r="F232" s="10" t="s">
        <v>110</v>
      </c>
      <c r="G232" s="8">
        <v>43.0</v>
      </c>
      <c r="H232" s="8">
        <v>5.0</v>
      </c>
      <c r="I232" s="5">
        <v>0.03302083333333333</v>
      </c>
    </row>
    <row r="233">
      <c r="A233" s="3">
        <v>232.0</v>
      </c>
      <c r="B233" s="5">
        <v>0.033125</v>
      </c>
      <c r="C233" s="7" t="s">
        <v>315</v>
      </c>
      <c r="D233" s="8" t="s">
        <v>80</v>
      </c>
      <c r="E233" s="8" t="s">
        <v>247</v>
      </c>
      <c r="F233" s="10" t="s">
        <v>15</v>
      </c>
      <c r="G233" s="8">
        <v>44.0</v>
      </c>
      <c r="H233" s="8">
        <v>6.0</v>
      </c>
      <c r="I233" s="5">
        <v>0.03297453703703704</v>
      </c>
    </row>
    <row r="234">
      <c r="A234" s="3">
        <v>233.0</v>
      </c>
      <c r="B234" s="5">
        <v>0.03314814814814815</v>
      </c>
      <c r="C234" s="7" t="s">
        <v>316</v>
      </c>
      <c r="D234" s="8" t="s">
        <v>12</v>
      </c>
      <c r="E234" s="8" t="s">
        <v>122</v>
      </c>
      <c r="F234" s="10" t="s">
        <v>110</v>
      </c>
      <c r="G234" s="8">
        <v>189.0</v>
      </c>
      <c r="H234" s="8">
        <v>15.0</v>
      </c>
      <c r="I234" s="5">
        <v>0.032962962962962965</v>
      </c>
    </row>
    <row r="235">
      <c r="A235" s="3">
        <v>234.0</v>
      </c>
      <c r="B235" s="5">
        <v>0.03314814814814815</v>
      </c>
      <c r="C235" s="7" t="s">
        <v>317</v>
      </c>
      <c r="D235" s="8" t="s">
        <v>12</v>
      </c>
      <c r="E235" s="8" t="s">
        <v>49</v>
      </c>
      <c r="F235" s="10" t="s">
        <v>15</v>
      </c>
      <c r="G235" s="8">
        <v>190.0</v>
      </c>
      <c r="H235" s="8">
        <v>27.0</v>
      </c>
      <c r="I235" s="5">
        <v>0.032928240740740744</v>
      </c>
    </row>
    <row r="236">
      <c r="A236" s="3">
        <v>235.0</v>
      </c>
      <c r="B236" s="5">
        <v>0.033171296296296296</v>
      </c>
      <c r="C236" s="7" t="s">
        <v>318</v>
      </c>
      <c r="D236" s="8" t="s">
        <v>12</v>
      </c>
      <c r="E236" s="8" t="s">
        <v>95</v>
      </c>
      <c r="F236" s="10" t="s">
        <v>59</v>
      </c>
      <c r="G236" s="8">
        <v>191.0</v>
      </c>
      <c r="H236" s="8">
        <v>30.0</v>
      </c>
      <c r="I236" s="5">
        <v>0.032789351851851854</v>
      </c>
    </row>
    <row r="237">
      <c r="A237" s="3">
        <v>236.0</v>
      </c>
      <c r="B237" s="5">
        <v>0.03318287037037037</v>
      </c>
      <c r="C237" s="7" t="s">
        <v>319</v>
      </c>
      <c r="D237" s="8" t="s">
        <v>12</v>
      </c>
      <c r="E237" s="8" t="s">
        <v>14</v>
      </c>
      <c r="F237" s="12" t="s">
        <v>21</v>
      </c>
      <c r="G237" s="8">
        <v>192.0</v>
      </c>
      <c r="H237" s="8">
        <v>73.0</v>
      </c>
      <c r="I237" s="5">
        <v>0.033032407407407406</v>
      </c>
    </row>
    <row r="238">
      <c r="A238" s="3">
        <v>237.0</v>
      </c>
      <c r="B238" s="5">
        <v>0.03319444444444444</v>
      </c>
      <c r="C238" s="7" t="s">
        <v>320</v>
      </c>
      <c r="D238" s="8" t="s">
        <v>80</v>
      </c>
      <c r="E238" s="8" t="s">
        <v>81</v>
      </c>
      <c r="F238" s="10" t="s">
        <v>139</v>
      </c>
      <c r="G238" s="8">
        <v>45.0</v>
      </c>
      <c r="H238" s="8">
        <v>19.0</v>
      </c>
      <c r="I238" s="5">
        <v>0.03304398148148148</v>
      </c>
    </row>
    <row r="239">
      <c r="A239" s="3">
        <v>238.0</v>
      </c>
      <c r="B239" s="5">
        <v>0.03326388888888889</v>
      </c>
      <c r="C239" s="7" t="s">
        <v>321</v>
      </c>
      <c r="D239" s="8" t="s">
        <v>12</v>
      </c>
      <c r="E239" s="8" t="s">
        <v>322</v>
      </c>
      <c r="F239" s="10" t="s">
        <v>112</v>
      </c>
      <c r="G239" s="8">
        <v>193.0</v>
      </c>
      <c r="H239" s="8">
        <v>1.0</v>
      </c>
      <c r="I239" s="5">
        <v>0.03305555555555555</v>
      </c>
    </row>
    <row r="240">
      <c r="A240" s="3">
        <v>239.0</v>
      </c>
      <c r="B240" s="5">
        <v>0.033275462962962965</v>
      </c>
      <c r="C240" s="7" t="s">
        <v>323</v>
      </c>
      <c r="D240" s="8" t="s">
        <v>12</v>
      </c>
      <c r="E240" s="8" t="s">
        <v>14</v>
      </c>
      <c r="F240" s="10" t="s">
        <v>110</v>
      </c>
      <c r="G240" s="8">
        <v>194.0</v>
      </c>
      <c r="H240" s="8">
        <v>74.0</v>
      </c>
      <c r="I240" s="5">
        <v>0.033101851851851855</v>
      </c>
    </row>
    <row r="241">
      <c r="A241" s="3">
        <v>240.0</v>
      </c>
      <c r="B241" s="5">
        <v>0.033275462962962965</v>
      </c>
      <c r="C241" s="7" t="s">
        <v>324</v>
      </c>
      <c r="D241" s="8" t="s">
        <v>80</v>
      </c>
      <c r="E241" s="8" t="s">
        <v>239</v>
      </c>
      <c r="F241" s="10" t="s">
        <v>175</v>
      </c>
      <c r="G241" s="8">
        <v>46.0</v>
      </c>
      <c r="H241" s="8">
        <v>8.0</v>
      </c>
      <c r="I241" s="5">
        <v>0.033032407407407406</v>
      </c>
    </row>
    <row r="242">
      <c r="A242" s="3">
        <v>241.0</v>
      </c>
      <c r="B242" s="5">
        <v>0.033344907407407406</v>
      </c>
      <c r="C242" s="7" t="s">
        <v>325</v>
      </c>
      <c r="D242" s="8" t="s">
        <v>80</v>
      </c>
      <c r="E242" s="8" t="s">
        <v>173</v>
      </c>
      <c r="F242" s="10" t="s">
        <v>15</v>
      </c>
      <c r="G242" s="8">
        <v>47.0</v>
      </c>
      <c r="H242" s="8">
        <v>5.0</v>
      </c>
      <c r="I242" s="5">
        <v>0.033229166666666664</v>
      </c>
    </row>
    <row r="243">
      <c r="A243" s="3">
        <v>242.0</v>
      </c>
      <c r="B243" s="5">
        <v>0.03337962962962963</v>
      </c>
      <c r="C243" s="7" t="s">
        <v>326</v>
      </c>
      <c r="D243" s="8" t="s">
        <v>12</v>
      </c>
      <c r="E243" s="8" t="s">
        <v>49</v>
      </c>
      <c r="F243" s="10" t="s">
        <v>99</v>
      </c>
      <c r="G243" s="8">
        <v>195.0</v>
      </c>
      <c r="H243" s="8">
        <v>28.0</v>
      </c>
      <c r="I243" s="5">
        <v>0.033125</v>
      </c>
    </row>
    <row r="244">
      <c r="A244" s="3">
        <v>243.0</v>
      </c>
      <c r="B244" s="5">
        <v>0.03342592592592593</v>
      </c>
      <c r="C244" s="7" t="s">
        <v>327</v>
      </c>
      <c r="D244" s="8" t="s">
        <v>12</v>
      </c>
      <c r="E244" s="8" t="s">
        <v>14</v>
      </c>
      <c r="F244" s="10" t="s">
        <v>53</v>
      </c>
      <c r="G244" s="8">
        <v>196.0</v>
      </c>
      <c r="H244" s="8">
        <v>75.0</v>
      </c>
      <c r="I244" s="5">
        <v>0.03333333333333333</v>
      </c>
    </row>
    <row r="245">
      <c r="A245" s="3">
        <v>244.0</v>
      </c>
      <c r="B245" s="5">
        <v>0.0334375</v>
      </c>
      <c r="C245" s="7" t="s">
        <v>328</v>
      </c>
      <c r="D245" s="8" t="s">
        <v>12</v>
      </c>
      <c r="E245" s="8" t="s">
        <v>83</v>
      </c>
      <c r="F245" s="10" t="s">
        <v>166</v>
      </c>
      <c r="G245" s="8">
        <v>197.0</v>
      </c>
      <c r="H245" s="8">
        <v>25.0</v>
      </c>
      <c r="I245" s="5">
        <v>0.033310185185185186</v>
      </c>
    </row>
    <row r="246">
      <c r="A246" s="3">
        <v>245.0</v>
      </c>
      <c r="B246" s="5">
        <v>0.03346064814814815</v>
      </c>
      <c r="C246" s="7" t="s">
        <v>55</v>
      </c>
      <c r="D246" s="8" t="s">
        <v>12</v>
      </c>
      <c r="E246" s="8" t="s">
        <v>122</v>
      </c>
      <c r="F246" s="12" t="s">
        <v>21</v>
      </c>
      <c r="G246" s="8">
        <v>198.0</v>
      </c>
      <c r="H246" s="8">
        <v>16.0</v>
      </c>
      <c r="I246" s="5">
        <v>0.033229166666666664</v>
      </c>
    </row>
    <row r="247">
      <c r="A247" s="3">
        <v>246.0</v>
      </c>
      <c r="B247" s="5">
        <v>0.033483796296296296</v>
      </c>
      <c r="C247" s="7" t="s">
        <v>329</v>
      </c>
      <c r="D247" s="8" t="s">
        <v>12</v>
      </c>
      <c r="E247" s="8" t="s">
        <v>95</v>
      </c>
      <c r="F247" s="10" t="s">
        <v>99</v>
      </c>
      <c r="G247" s="8">
        <v>199.0</v>
      </c>
      <c r="H247" s="8">
        <v>31.0</v>
      </c>
      <c r="I247" s="5">
        <v>0.033275462962962965</v>
      </c>
    </row>
    <row r="248">
      <c r="A248" s="3">
        <v>247.0</v>
      </c>
      <c r="B248" s="5">
        <v>0.03350694444444444</v>
      </c>
      <c r="C248" s="7" t="s">
        <v>330</v>
      </c>
      <c r="D248" s="8" t="s">
        <v>12</v>
      </c>
      <c r="E248" s="8" t="s">
        <v>122</v>
      </c>
      <c r="F248" s="10" t="s">
        <v>110</v>
      </c>
      <c r="G248" s="8">
        <v>200.0</v>
      </c>
      <c r="H248" s="8">
        <v>17.0</v>
      </c>
      <c r="I248" s="5">
        <v>0.033310185185185186</v>
      </c>
    </row>
    <row r="249">
      <c r="A249" s="3">
        <v>248.0</v>
      </c>
      <c r="B249" s="5">
        <v>0.03356481481481482</v>
      </c>
      <c r="C249" s="7" t="s">
        <v>331</v>
      </c>
      <c r="D249" s="8" t="s">
        <v>12</v>
      </c>
      <c r="E249" s="8" t="s">
        <v>83</v>
      </c>
      <c r="F249" s="10" t="s">
        <v>23</v>
      </c>
      <c r="G249" s="8">
        <v>201.0</v>
      </c>
      <c r="H249" s="8">
        <v>26.0</v>
      </c>
      <c r="I249" s="5">
        <v>0.03321759259259259</v>
      </c>
    </row>
    <row r="250">
      <c r="A250" s="3">
        <v>249.0</v>
      </c>
      <c r="B250" s="5">
        <v>0.033587962962962965</v>
      </c>
      <c r="C250" s="7" t="s">
        <v>332</v>
      </c>
      <c r="D250" s="8" t="s">
        <v>80</v>
      </c>
      <c r="E250" s="8" t="s">
        <v>198</v>
      </c>
      <c r="F250" s="10" t="s">
        <v>31</v>
      </c>
      <c r="G250" s="8">
        <v>48.0</v>
      </c>
      <c r="H250" s="8">
        <v>6.0</v>
      </c>
      <c r="I250" s="5">
        <v>0.033414351851851855</v>
      </c>
    </row>
    <row r="251">
      <c r="A251" s="3">
        <v>250.0</v>
      </c>
      <c r="B251" s="5">
        <v>0.03359953703703704</v>
      </c>
      <c r="C251" s="7" t="s">
        <v>333</v>
      </c>
      <c r="D251" s="8" t="s">
        <v>80</v>
      </c>
      <c r="E251" s="8" t="s">
        <v>239</v>
      </c>
      <c r="F251" s="10" t="s">
        <v>31</v>
      </c>
      <c r="G251" s="8">
        <v>49.0</v>
      </c>
      <c r="H251" s="8">
        <v>9.0</v>
      </c>
      <c r="I251" s="5">
        <v>0.03332175925925926</v>
      </c>
    </row>
    <row r="252">
      <c r="A252" s="3">
        <v>251.0</v>
      </c>
      <c r="B252" s="5">
        <v>0.03365740740740741</v>
      </c>
      <c r="C252" s="7" t="s">
        <v>334</v>
      </c>
      <c r="D252" s="8" t="s">
        <v>12</v>
      </c>
      <c r="E252" s="8" t="s">
        <v>14</v>
      </c>
      <c r="F252" s="10" t="s">
        <v>110</v>
      </c>
      <c r="G252" s="8">
        <v>202.0</v>
      </c>
      <c r="H252" s="8">
        <v>76.0</v>
      </c>
      <c r="I252" s="5">
        <v>0.03347222222222222</v>
      </c>
    </row>
    <row r="253">
      <c r="A253" s="3">
        <v>252.0</v>
      </c>
      <c r="B253" s="5">
        <v>0.033715277777777775</v>
      </c>
      <c r="C253" s="7" t="s">
        <v>335</v>
      </c>
      <c r="D253" s="8" t="s">
        <v>12</v>
      </c>
      <c r="E253" s="8" t="s">
        <v>14</v>
      </c>
      <c r="F253" s="10" t="s">
        <v>110</v>
      </c>
      <c r="G253" s="8">
        <v>203.0</v>
      </c>
      <c r="H253" s="8">
        <v>77.0</v>
      </c>
      <c r="I253" s="5">
        <v>0.03355324074074074</v>
      </c>
    </row>
    <row r="254">
      <c r="A254" s="3">
        <v>253.0</v>
      </c>
      <c r="B254" s="5">
        <v>0.033726851851851855</v>
      </c>
      <c r="C254" s="7" t="s">
        <v>336</v>
      </c>
      <c r="D254" s="8" t="s">
        <v>80</v>
      </c>
      <c r="E254" s="8" t="s">
        <v>119</v>
      </c>
      <c r="F254" s="10" t="s">
        <v>42</v>
      </c>
      <c r="G254" s="8">
        <v>50.0</v>
      </c>
      <c r="H254" s="8">
        <v>4.0</v>
      </c>
      <c r="I254" s="5">
        <v>0.03353009259259259</v>
      </c>
    </row>
    <row r="255">
      <c r="A255" s="3">
        <v>254.0</v>
      </c>
      <c r="B255" s="5">
        <v>0.03373842592592593</v>
      </c>
      <c r="C255" s="7" t="s">
        <v>337</v>
      </c>
      <c r="D255" s="8" t="s">
        <v>80</v>
      </c>
      <c r="E255" s="8" t="s">
        <v>81</v>
      </c>
      <c r="F255" s="10" t="s">
        <v>110</v>
      </c>
      <c r="G255" s="8">
        <v>51.0</v>
      </c>
      <c r="H255" s="8">
        <v>20.0</v>
      </c>
      <c r="I255" s="5">
        <v>0.03363425925925926</v>
      </c>
    </row>
    <row r="256">
      <c r="A256" s="3">
        <v>255.0</v>
      </c>
      <c r="B256" s="5">
        <v>0.03378472222222222</v>
      </c>
      <c r="C256" s="7" t="s">
        <v>338</v>
      </c>
      <c r="D256" s="8" t="s">
        <v>12</v>
      </c>
      <c r="E256" s="8" t="s">
        <v>14</v>
      </c>
      <c r="F256" s="10" t="s">
        <v>45</v>
      </c>
      <c r="G256" s="8">
        <v>204.0</v>
      </c>
      <c r="H256" s="8">
        <v>78.0</v>
      </c>
      <c r="I256" s="5">
        <v>0.03357638888888889</v>
      </c>
    </row>
    <row r="257">
      <c r="A257" s="3">
        <v>256.0</v>
      </c>
      <c r="B257" s="5">
        <v>0.033796296296296297</v>
      </c>
      <c r="C257" s="7" t="s">
        <v>339</v>
      </c>
      <c r="D257" s="8" t="s">
        <v>12</v>
      </c>
      <c r="E257" s="8" t="s">
        <v>95</v>
      </c>
      <c r="F257" s="10" t="s">
        <v>112</v>
      </c>
      <c r="G257" s="8">
        <v>205.0</v>
      </c>
      <c r="H257" s="8">
        <v>32.0</v>
      </c>
      <c r="I257" s="5">
        <v>0.033587962962962965</v>
      </c>
    </row>
    <row r="258">
      <c r="A258" s="3">
        <v>257.0</v>
      </c>
      <c r="B258" s="5">
        <v>0.033854166666666664</v>
      </c>
      <c r="C258" s="7" t="s">
        <v>340</v>
      </c>
      <c r="D258" s="8" t="s">
        <v>12</v>
      </c>
      <c r="E258" s="8" t="s">
        <v>95</v>
      </c>
      <c r="F258" s="10" t="s">
        <v>40</v>
      </c>
      <c r="G258" s="8">
        <v>206.0</v>
      </c>
      <c r="H258" s="8">
        <v>33.0</v>
      </c>
      <c r="I258" s="5">
        <v>0.033680555555555554</v>
      </c>
    </row>
    <row r="259">
      <c r="A259" s="3">
        <v>258.0</v>
      </c>
      <c r="B259" s="5">
        <v>0.03386574074074074</v>
      </c>
      <c r="C259" s="7" t="s">
        <v>341</v>
      </c>
      <c r="D259" s="8" t="s">
        <v>12</v>
      </c>
      <c r="E259" s="8" t="s">
        <v>95</v>
      </c>
      <c r="F259" s="10" t="s">
        <v>53</v>
      </c>
      <c r="G259" s="8">
        <v>207.0</v>
      </c>
      <c r="H259" s="8">
        <v>34.0</v>
      </c>
      <c r="I259" s="5">
        <v>0.03340277777777778</v>
      </c>
    </row>
    <row r="260">
      <c r="A260" s="3">
        <v>259.0</v>
      </c>
      <c r="B260" s="5">
        <v>0.03388888888888889</v>
      </c>
      <c r="C260" s="7" t="s">
        <v>342</v>
      </c>
      <c r="D260" s="8" t="s">
        <v>12</v>
      </c>
      <c r="E260" s="8" t="s">
        <v>83</v>
      </c>
      <c r="F260" s="10" t="s">
        <v>110</v>
      </c>
      <c r="G260" s="8">
        <v>208.0</v>
      </c>
      <c r="H260" s="8">
        <v>27.0</v>
      </c>
      <c r="I260" s="5">
        <v>0.03378472222222222</v>
      </c>
    </row>
    <row r="261">
      <c r="A261" s="3">
        <v>260.0</v>
      </c>
      <c r="B261" s="5">
        <v>0.033900462962962966</v>
      </c>
      <c r="C261" s="7" t="s">
        <v>343</v>
      </c>
      <c r="D261" s="8" t="s">
        <v>80</v>
      </c>
      <c r="E261" s="8" t="s">
        <v>198</v>
      </c>
      <c r="F261" s="10" t="s">
        <v>110</v>
      </c>
      <c r="G261" s="8">
        <v>52.0</v>
      </c>
      <c r="H261" s="8">
        <v>7.0</v>
      </c>
      <c r="I261" s="5">
        <v>0.03380787037037037</v>
      </c>
    </row>
    <row r="262">
      <c r="A262" s="3">
        <v>261.0</v>
      </c>
      <c r="B262" s="5">
        <v>0.03391203703703704</v>
      </c>
      <c r="C262" s="7" t="s">
        <v>344</v>
      </c>
      <c r="D262" s="8" t="s">
        <v>80</v>
      </c>
      <c r="E262" s="8" t="s">
        <v>173</v>
      </c>
      <c r="F262" s="10" t="s">
        <v>139</v>
      </c>
      <c r="G262" s="8">
        <v>53.0</v>
      </c>
      <c r="H262" s="8">
        <v>6.0</v>
      </c>
      <c r="I262" s="5">
        <v>0.03378472222222222</v>
      </c>
    </row>
    <row r="263">
      <c r="A263" s="3">
        <v>262.0</v>
      </c>
      <c r="B263" s="5">
        <v>0.033993055555555554</v>
      </c>
      <c r="C263" s="7" t="s">
        <v>345</v>
      </c>
      <c r="D263" s="8" t="s">
        <v>80</v>
      </c>
      <c r="E263" s="8" t="s">
        <v>228</v>
      </c>
      <c r="F263" s="10" t="s">
        <v>40</v>
      </c>
      <c r="G263" s="8">
        <v>54.0</v>
      </c>
      <c r="H263" s="8">
        <v>2.0</v>
      </c>
      <c r="I263" s="5">
        <v>0.03380787037037037</v>
      </c>
    </row>
    <row r="264">
      <c r="A264" s="3">
        <v>263.0</v>
      </c>
      <c r="B264" s="5">
        <v>0.03400462962962963</v>
      </c>
      <c r="C264" s="7" t="s">
        <v>346</v>
      </c>
      <c r="D264" s="8" t="s">
        <v>80</v>
      </c>
      <c r="E264" s="8" t="s">
        <v>198</v>
      </c>
      <c r="F264" s="10" t="s">
        <v>132</v>
      </c>
      <c r="G264" s="8">
        <v>55.0</v>
      </c>
      <c r="H264" s="8">
        <v>8.0</v>
      </c>
      <c r="I264" s="5">
        <v>0.03383101851851852</v>
      </c>
    </row>
    <row r="265">
      <c r="A265" s="3">
        <v>264.0</v>
      </c>
      <c r="B265" s="5">
        <v>0.03403935185185185</v>
      </c>
      <c r="C265" s="7" t="s">
        <v>347</v>
      </c>
      <c r="D265" s="8" t="s">
        <v>80</v>
      </c>
      <c r="E265" s="8" t="s">
        <v>198</v>
      </c>
      <c r="F265" s="10" t="s">
        <v>53</v>
      </c>
      <c r="G265" s="8">
        <v>56.0</v>
      </c>
      <c r="H265" s="8">
        <v>9.0</v>
      </c>
      <c r="I265" s="5">
        <v>0.033854166666666664</v>
      </c>
    </row>
    <row r="266">
      <c r="A266" s="3">
        <v>265.0</v>
      </c>
      <c r="B266" s="5">
        <v>0.0340625</v>
      </c>
      <c r="C266" s="7" t="s">
        <v>62</v>
      </c>
      <c r="D266" s="8" t="s">
        <v>80</v>
      </c>
      <c r="E266" s="8" t="s">
        <v>198</v>
      </c>
      <c r="F266" s="12" t="s">
        <v>21</v>
      </c>
      <c r="G266" s="8">
        <v>57.0</v>
      </c>
      <c r="H266" s="8">
        <v>10.0</v>
      </c>
      <c r="I266" s="5">
        <v>0.03383101851851852</v>
      </c>
    </row>
    <row r="267">
      <c r="A267" s="3">
        <v>266.0</v>
      </c>
      <c r="B267" s="5">
        <v>0.03408564814814815</v>
      </c>
      <c r="C267" s="7" t="s">
        <v>348</v>
      </c>
      <c r="D267" s="8" t="s">
        <v>12</v>
      </c>
      <c r="E267" s="8" t="s">
        <v>122</v>
      </c>
      <c r="F267" s="10" t="s">
        <v>15</v>
      </c>
      <c r="G267" s="8">
        <v>209.0</v>
      </c>
      <c r="H267" s="8">
        <v>18.0</v>
      </c>
      <c r="I267" s="5">
        <v>0.033900462962962966</v>
      </c>
    </row>
    <row r="268">
      <c r="A268" s="3">
        <v>267.0</v>
      </c>
      <c r="B268" s="5">
        <v>0.03417824074074074</v>
      </c>
      <c r="C268" s="7" t="s">
        <v>349</v>
      </c>
      <c r="D268" s="8" t="s">
        <v>12</v>
      </c>
      <c r="E268" s="8" t="s">
        <v>83</v>
      </c>
      <c r="F268" s="10" t="s">
        <v>57</v>
      </c>
      <c r="G268" s="8">
        <v>210.0</v>
      </c>
      <c r="H268" s="8">
        <v>28.0</v>
      </c>
      <c r="I268" s="5">
        <v>0.03396990740740741</v>
      </c>
    </row>
    <row r="269">
      <c r="A269" s="3">
        <v>268.0</v>
      </c>
      <c r="B269" s="5">
        <v>0.03425925925925926</v>
      </c>
      <c r="C269" s="7" t="s">
        <v>350</v>
      </c>
      <c r="D269" s="8" t="s">
        <v>12</v>
      </c>
      <c r="E269" s="8" t="s">
        <v>122</v>
      </c>
      <c r="F269" s="10" t="s">
        <v>59</v>
      </c>
      <c r="G269" s="8">
        <v>211.0</v>
      </c>
      <c r="H269" s="8">
        <v>19.0</v>
      </c>
      <c r="I269" s="5">
        <v>0.0340625</v>
      </c>
    </row>
    <row r="270">
      <c r="A270" s="3">
        <v>269.0</v>
      </c>
      <c r="B270" s="5">
        <v>0.03431712962962963</v>
      </c>
      <c r="C270" s="7" t="s">
        <v>351</v>
      </c>
      <c r="D270" s="8" t="s">
        <v>12</v>
      </c>
      <c r="E270" s="8" t="s">
        <v>83</v>
      </c>
      <c r="F270" s="10" t="s">
        <v>129</v>
      </c>
      <c r="G270" s="8">
        <v>212.0</v>
      </c>
      <c r="H270" s="8">
        <v>29.0</v>
      </c>
      <c r="I270" s="5">
        <v>0.034166666666666665</v>
      </c>
    </row>
    <row r="271">
      <c r="A271" s="3">
        <v>270.0</v>
      </c>
      <c r="B271" s="5">
        <v>0.034340277777777775</v>
      </c>
      <c r="C271" s="7" t="s">
        <v>352</v>
      </c>
      <c r="D271" s="8" t="s">
        <v>12</v>
      </c>
      <c r="E271" s="8" t="s">
        <v>95</v>
      </c>
      <c r="F271" s="10" t="s">
        <v>57</v>
      </c>
      <c r="G271" s="8">
        <v>213.0</v>
      </c>
      <c r="H271" s="8">
        <v>35.0</v>
      </c>
      <c r="I271" s="5">
        <v>0.03428240740740741</v>
      </c>
    </row>
    <row r="272">
      <c r="A272" s="3">
        <v>271.0</v>
      </c>
      <c r="B272" s="5">
        <v>0.03435185185185185</v>
      </c>
      <c r="C272" s="7" t="s">
        <v>353</v>
      </c>
      <c r="D272" s="8" t="s">
        <v>12</v>
      </c>
      <c r="E272" s="8" t="s">
        <v>14</v>
      </c>
      <c r="F272" s="10" t="s">
        <v>15</v>
      </c>
      <c r="G272" s="8">
        <v>214.0</v>
      </c>
      <c r="H272" s="8">
        <v>79.0</v>
      </c>
      <c r="I272" s="5">
        <v>0.03418981481481481</v>
      </c>
    </row>
    <row r="273">
      <c r="A273" s="3">
        <v>272.0</v>
      </c>
      <c r="B273" s="5">
        <v>0.03436342592592593</v>
      </c>
      <c r="C273" s="7" t="s">
        <v>354</v>
      </c>
      <c r="D273" s="8" t="s">
        <v>12</v>
      </c>
      <c r="E273" s="8" t="s">
        <v>95</v>
      </c>
      <c r="F273" s="10" t="s">
        <v>110</v>
      </c>
      <c r="G273" s="8">
        <v>215.0</v>
      </c>
      <c r="H273" s="8">
        <v>36.0</v>
      </c>
      <c r="I273" s="5">
        <v>0.03418981481481481</v>
      </c>
    </row>
    <row r="274">
      <c r="A274" s="3">
        <v>273.0</v>
      </c>
      <c r="B274" s="5">
        <v>0.034409722222222223</v>
      </c>
      <c r="C274" s="7" t="s">
        <v>355</v>
      </c>
      <c r="D274" s="8" t="s">
        <v>80</v>
      </c>
      <c r="E274" s="8" t="s">
        <v>173</v>
      </c>
      <c r="F274" s="10" t="s">
        <v>15</v>
      </c>
      <c r="G274" s="8">
        <v>58.0</v>
      </c>
      <c r="H274" s="8">
        <v>7.0</v>
      </c>
      <c r="I274" s="5">
        <v>0.03425925925925926</v>
      </c>
    </row>
    <row r="275">
      <c r="A275" s="3">
        <v>274.0</v>
      </c>
      <c r="B275" s="5">
        <v>0.034479166666666665</v>
      </c>
      <c r="C275" s="7" t="s">
        <v>356</v>
      </c>
      <c r="D275" s="8" t="s">
        <v>80</v>
      </c>
      <c r="E275" s="8" t="s">
        <v>228</v>
      </c>
      <c r="F275" s="10" t="s">
        <v>175</v>
      </c>
      <c r="G275" s="8">
        <v>59.0</v>
      </c>
      <c r="H275" s="8">
        <v>3.0</v>
      </c>
      <c r="I275" s="5">
        <v>0.03423611111111111</v>
      </c>
    </row>
    <row r="276">
      <c r="A276" s="3">
        <v>275.0</v>
      </c>
      <c r="B276" s="5">
        <v>0.03450231481481481</v>
      </c>
      <c r="C276" s="7" t="s">
        <v>357</v>
      </c>
      <c r="D276" s="8" t="s">
        <v>80</v>
      </c>
      <c r="E276" s="8" t="s">
        <v>173</v>
      </c>
      <c r="F276" s="10" t="s">
        <v>139</v>
      </c>
      <c r="G276" s="8">
        <v>60.0</v>
      </c>
      <c r="H276" s="8">
        <v>8.0</v>
      </c>
      <c r="I276" s="5">
        <v>0.03429398148148148</v>
      </c>
    </row>
    <row r="277">
      <c r="A277" s="3">
        <v>276.0</v>
      </c>
      <c r="B277" s="5">
        <v>0.034513888888888886</v>
      </c>
      <c r="C277" s="7" t="s">
        <v>358</v>
      </c>
      <c r="D277" s="8" t="s">
        <v>80</v>
      </c>
      <c r="E277" s="8" t="s">
        <v>247</v>
      </c>
      <c r="F277" s="10" t="s">
        <v>57</v>
      </c>
      <c r="G277" s="8">
        <v>61.0</v>
      </c>
      <c r="H277" s="8">
        <v>7.0</v>
      </c>
      <c r="I277" s="5">
        <v>0.03428240740740741</v>
      </c>
    </row>
    <row r="278">
      <c r="A278" s="3">
        <v>277.0</v>
      </c>
      <c r="B278" s="5">
        <v>0.03466435185185185</v>
      </c>
      <c r="C278" s="7" t="s">
        <v>359</v>
      </c>
      <c r="D278" s="8" t="s">
        <v>12</v>
      </c>
      <c r="E278" s="8" t="s">
        <v>83</v>
      </c>
      <c r="F278" s="10" t="s">
        <v>99</v>
      </c>
      <c r="G278" s="8">
        <v>216.0</v>
      </c>
      <c r="H278" s="8">
        <v>30.0</v>
      </c>
      <c r="I278" s="5">
        <v>0.03439814814814815</v>
      </c>
    </row>
    <row r="279">
      <c r="A279" s="3">
        <v>278.0</v>
      </c>
      <c r="B279" s="5">
        <v>0.03466435185185185</v>
      </c>
      <c r="C279" s="7" t="s">
        <v>360</v>
      </c>
      <c r="D279" s="8" t="s">
        <v>12</v>
      </c>
      <c r="E279" s="8" t="s">
        <v>83</v>
      </c>
      <c r="F279" s="10" t="s">
        <v>57</v>
      </c>
      <c r="G279" s="8">
        <v>217.0</v>
      </c>
      <c r="H279" s="8">
        <v>31.0</v>
      </c>
      <c r="I279" s="5">
        <v>0.03443287037037037</v>
      </c>
    </row>
    <row r="280">
      <c r="A280" s="3">
        <v>279.0</v>
      </c>
      <c r="B280" s="5">
        <v>0.03467592592592592</v>
      </c>
      <c r="C280" s="7" t="s">
        <v>361</v>
      </c>
      <c r="D280" s="8" t="s">
        <v>12</v>
      </c>
      <c r="E280" s="8" t="s">
        <v>49</v>
      </c>
      <c r="F280" s="10" t="s">
        <v>139</v>
      </c>
      <c r="G280" s="8">
        <v>218.0</v>
      </c>
      <c r="H280" s="8">
        <v>29.0</v>
      </c>
      <c r="I280" s="5">
        <v>0.034583333333333334</v>
      </c>
    </row>
    <row r="281">
      <c r="A281" s="3">
        <v>280.0</v>
      </c>
      <c r="B281" s="5">
        <v>0.03474537037037037</v>
      </c>
      <c r="C281" s="7" t="s">
        <v>362</v>
      </c>
      <c r="D281" s="8" t="s">
        <v>80</v>
      </c>
      <c r="E281" s="8" t="s">
        <v>239</v>
      </c>
      <c r="F281" s="10" t="s">
        <v>175</v>
      </c>
      <c r="G281" s="8">
        <v>62.0</v>
      </c>
      <c r="H281" s="8">
        <v>10.0</v>
      </c>
      <c r="I281" s="5">
        <v>0.03453703703703704</v>
      </c>
    </row>
    <row r="282">
      <c r="A282" s="3">
        <v>281.0</v>
      </c>
      <c r="B282" s="5">
        <v>0.034791666666666665</v>
      </c>
      <c r="C282" s="7" t="s">
        <v>363</v>
      </c>
      <c r="D282" s="8" t="s">
        <v>12</v>
      </c>
      <c r="E282" s="8" t="s">
        <v>83</v>
      </c>
      <c r="F282" s="10" t="s">
        <v>45</v>
      </c>
      <c r="G282" s="8">
        <v>219.0</v>
      </c>
      <c r="H282" s="8">
        <v>32.0</v>
      </c>
      <c r="I282" s="5">
        <v>0.03454861111111111</v>
      </c>
    </row>
    <row r="283">
      <c r="A283" s="3">
        <v>282.0</v>
      </c>
      <c r="B283" s="5">
        <v>0.034837962962962966</v>
      </c>
      <c r="C283" s="7" t="s">
        <v>364</v>
      </c>
      <c r="D283" s="8" t="s">
        <v>80</v>
      </c>
      <c r="E283" s="8" t="s">
        <v>81</v>
      </c>
      <c r="F283" s="10" t="s">
        <v>99</v>
      </c>
      <c r="G283" s="8">
        <v>63.0</v>
      </c>
      <c r="H283" s="8">
        <v>21.0</v>
      </c>
      <c r="I283" s="5">
        <v>0.034583333333333334</v>
      </c>
    </row>
    <row r="284">
      <c r="A284" s="3">
        <v>283.0</v>
      </c>
      <c r="B284" s="5">
        <v>0.034861111111111114</v>
      </c>
      <c r="C284" s="7" t="s">
        <v>365</v>
      </c>
      <c r="D284" s="8" t="s">
        <v>80</v>
      </c>
      <c r="E284" s="8" t="s">
        <v>198</v>
      </c>
      <c r="F284" s="10" t="s">
        <v>53</v>
      </c>
      <c r="G284" s="8">
        <v>64.0</v>
      </c>
      <c r="H284" s="8">
        <v>11.0</v>
      </c>
      <c r="I284" s="5">
        <v>0.0346875</v>
      </c>
    </row>
    <row r="285">
      <c r="A285" s="3">
        <v>284.0</v>
      </c>
      <c r="B285" s="5">
        <v>0.034895833333333334</v>
      </c>
      <c r="C285" s="7" t="s">
        <v>366</v>
      </c>
      <c r="D285" s="8" t="s">
        <v>12</v>
      </c>
      <c r="E285" s="8" t="s">
        <v>122</v>
      </c>
      <c r="F285" s="10" t="s">
        <v>104</v>
      </c>
      <c r="G285" s="8">
        <v>220.0</v>
      </c>
      <c r="H285" s="8">
        <v>20.0</v>
      </c>
      <c r="I285" s="5">
        <v>0.034722222222222224</v>
      </c>
    </row>
    <row r="286">
      <c r="A286" s="3">
        <v>285.0</v>
      </c>
      <c r="B286" s="5">
        <v>0.03490740740740741</v>
      </c>
      <c r="C286" s="7" t="s">
        <v>367</v>
      </c>
      <c r="D286" s="8" t="s">
        <v>80</v>
      </c>
      <c r="E286" s="8" t="s">
        <v>198</v>
      </c>
      <c r="F286" s="10" t="s">
        <v>175</v>
      </c>
      <c r="G286" s="8">
        <v>65.0</v>
      </c>
      <c r="H286" s="8">
        <v>12.0</v>
      </c>
      <c r="I286" s="5">
        <v>0.03466435185185185</v>
      </c>
    </row>
    <row r="287">
      <c r="A287" s="3">
        <v>286.0</v>
      </c>
      <c r="B287" s="5">
        <v>0.03497685185185185</v>
      </c>
      <c r="C287" s="7" t="s">
        <v>368</v>
      </c>
      <c r="D287" s="8" t="s">
        <v>80</v>
      </c>
      <c r="E287" s="8" t="s">
        <v>369</v>
      </c>
      <c r="F287" s="10" t="s">
        <v>99</v>
      </c>
      <c r="G287" s="8">
        <v>66.0</v>
      </c>
      <c r="H287" s="8">
        <v>1.0</v>
      </c>
      <c r="I287" s="5">
        <v>0.034722222222222224</v>
      </c>
    </row>
    <row r="288">
      <c r="A288" s="3">
        <v>287.0</v>
      </c>
      <c r="B288" s="5">
        <v>0.03497685185185185</v>
      </c>
      <c r="C288" s="7" t="s">
        <v>370</v>
      </c>
      <c r="D288" s="8" t="s">
        <v>12</v>
      </c>
      <c r="E288" s="8" t="s">
        <v>83</v>
      </c>
      <c r="F288" s="10" t="s">
        <v>45</v>
      </c>
      <c r="G288" s="8">
        <v>221.0</v>
      </c>
      <c r="H288" s="8">
        <v>33.0</v>
      </c>
      <c r="I288" s="5">
        <v>0.034722222222222224</v>
      </c>
    </row>
    <row r="289">
      <c r="A289" s="3">
        <v>288.0</v>
      </c>
      <c r="B289" s="5">
        <v>0.03498842592592592</v>
      </c>
      <c r="C289" s="7" t="s">
        <v>371</v>
      </c>
      <c r="D289" s="8" t="s">
        <v>12</v>
      </c>
      <c r="E289" s="8" t="s">
        <v>122</v>
      </c>
      <c r="F289" s="10" t="s">
        <v>15</v>
      </c>
      <c r="G289" s="8">
        <v>222.0</v>
      </c>
      <c r="H289" s="8">
        <v>21.0</v>
      </c>
      <c r="I289" s="5">
        <v>0.034756944444444444</v>
      </c>
    </row>
    <row r="290">
      <c r="A290" s="3">
        <v>289.0</v>
      </c>
      <c r="B290" s="5">
        <v>0.035</v>
      </c>
      <c r="C290" s="7" t="s">
        <v>372</v>
      </c>
      <c r="D290" s="8" t="s">
        <v>12</v>
      </c>
      <c r="E290" s="8" t="s">
        <v>14</v>
      </c>
      <c r="F290" s="10" t="s">
        <v>53</v>
      </c>
      <c r="G290" s="8">
        <v>223.0</v>
      </c>
      <c r="H290" s="8">
        <v>80.0</v>
      </c>
      <c r="I290" s="5">
        <v>0.034826388888888886</v>
      </c>
    </row>
    <row r="291">
      <c r="A291" s="3">
        <v>290.0</v>
      </c>
      <c r="B291" s="5">
        <v>0.03505787037037037</v>
      </c>
      <c r="C291" s="7" t="s">
        <v>373</v>
      </c>
      <c r="D291" s="8" t="s">
        <v>12</v>
      </c>
      <c r="E291" s="8" t="s">
        <v>14</v>
      </c>
      <c r="F291" s="10" t="s">
        <v>99</v>
      </c>
      <c r="G291" s="8">
        <v>224.0</v>
      </c>
      <c r="H291" s="8">
        <v>81.0</v>
      </c>
      <c r="I291" s="5">
        <v>0.03478009259259259</v>
      </c>
    </row>
    <row r="292">
      <c r="A292" s="3">
        <v>291.0</v>
      </c>
      <c r="B292" s="5">
        <v>0.035069444444444445</v>
      </c>
      <c r="C292" s="7" t="s">
        <v>374</v>
      </c>
      <c r="D292" s="8" t="s">
        <v>12</v>
      </c>
      <c r="E292" s="8" t="s">
        <v>14</v>
      </c>
      <c r="F292" s="10" t="s">
        <v>57</v>
      </c>
      <c r="G292" s="8">
        <v>225.0</v>
      </c>
      <c r="H292" s="8">
        <v>82.0</v>
      </c>
      <c r="I292" s="5">
        <v>0.0346412037037037</v>
      </c>
    </row>
    <row r="293">
      <c r="A293" s="3">
        <v>292.0</v>
      </c>
      <c r="B293" s="5">
        <v>0.03511574074074074</v>
      </c>
      <c r="C293" s="7" t="s">
        <v>375</v>
      </c>
      <c r="D293" s="8" t="s">
        <v>12</v>
      </c>
      <c r="E293" s="8" t="s">
        <v>122</v>
      </c>
      <c r="F293" s="10" t="s">
        <v>129</v>
      </c>
      <c r="G293" s="8">
        <v>226.0</v>
      </c>
      <c r="H293" s="8">
        <v>22.0</v>
      </c>
      <c r="I293" s="5">
        <v>0.034965277777777776</v>
      </c>
    </row>
    <row r="294">
      <c r="A294" s="3">
        <v>293.0</v>
      </c>
      <c r="B294" s="5">
        <v>0.03515046296296296</v>
      </c>
      <c r="C294" s="7" t="s">
        <v>376</v>
      </c>
      <c r="D294" s="8" t="s">
        <v>80</v>
      </c>
      <c r="E294" s="8" t="s">
        <v>81</v>
      </c>
      <c r="F294" s="10" t="s">
        <v>42</v>
      </c>
      <c r="G294" s="8">
        <v>67.0</v>
      </c>
      <c r="H294" s="8">
        <v>22.0</v>
      </c>
      <c r="I294" s="5">
        <v>0.03491898148148148</v>
      </c>
    </row>
    <row r="295">
      <c r="A295" s="3">
        <v>294.0</v>
      </c>
      <c r="B295" s="5">
        <v>0.03519675925925926</v>
      </c>
      <c r="C295" s="7" t="s">
        <v>377</v>
      </c>
      <c r="D295" s="8" t="s">
        <v>12</v>
      </c>
      <c r="E295" s="8" t="s">
        <v>237</v>
      </c>
      <c r="F295" s="10" t="s">
        <v>110</v>
      </c>
      <c r="G295" s="8">
        <v>227.0</v>
      </c>
      <c r="H295" s="8">
        <v>5.0</v>
      </c>
      <c r="I295" s="5">
        <v>0.035</v>
      </c>
    </row>
    <row r="296">
      <c r="A296" s="3">
        <v>295.0</v>
      </c>
      <c r="B296" s="5">
        <v>0.03530092592592592</v>
      </c>
      <c r="C296" s="7" t="s">
        <v>378</v>
      </c>
      <c r="D296" s="8" t="s">
        <v>12</v>
      </c>
      <c r="E296" s="8" t="s">
        <v>14</v>
      </c>
      <c r="F296" s="10" t="s">
        <v>31</v>
      </c>
      <c r="G296" s="8">
        <v>228.0</v>
      </c>
      <c r="H296" s="8">
        <v>83.0</v>
      </c>
      <c r="I296" s="5">
        <v>0.03519675925925926</v>
      </c>
    </row>
    <row r="297">
      <c r="A297" s="3">
        <v>296.0</v>
      </c>
      <c r="B297" s="5">
        <v>0.03532407407407408</v>
      </c>
      <c r="C297" s="7" t="s">
        <v>379</v>
      </c>
      <c r="D297" s="8" t="s">
        <v>12</v>
      </c>
      <c r="E297" s="8" t="s">
        <v>14</v>
      </c>
      <c r="F297" s="10" t="s">
        <v>59</v>
      </c>
      <c r="G297" s="8">
        <v>229.0</v>
      </c>
      <c r="H297" s="8">
        <v>84.0</v>
      </c>
      <c r="I297" s="5">
        <v>0.035034722222222224</v>
      </c>
    </row>
    <row r="298">
      <c r="A298" s="3">
        <v>297.0</v>
      </c>
      <c r="B298" s="5">
        <v>0.03532407407407408</v>
      </c>
      <c r="C298" s="7" t="s">
        <v>380</v>
      </c>
      <c r="D298" s="8" t="s">
        <v>80</v>
      </c>
      <c r="E298" s="8" t="s">
        <v>81</v>
      </c>
      <c r="F298" s="10" t="s">
        <v>129</v>
      </c>
      <c r="G298" s="8">
        <v>68.0</v>
      </c>
      <c r="H298" s="8">
        <v>23.0</v>
      </c>
      <c r="I298" s="5">
        <v>0.035173611111111114</v>
      </c>
    </row>
    <row r="299">
      <c r="A299" s="3">
        <v>298.0</v>
      </c>
      <c r="B299" s="5">
        <v>0.035347222222222224</v>
      </c>
      <c r="C299" s="7" t="s">
        <v>381</v>
      </c>
      <c r="D299" s="8" t="s">
        <v>12</v>
      </c>
      <c r="E299" s="8" t="s">
        <v>122</v>
      </c>
      <c r="F299" s="10" t="s">
        <v>31</v>
      </c>
      <c r="G299" s="8">
        <v>230.0</v>
      </c>
      <c r="H299" s="8">
        <v>23.0</v>
      </c>
      <c r="I299" s="5">
        <v>0.035069444444444445</v>
      </c>
    </row>
    <row r="300">
      <c r="A300" s="3">
        <v>299.0</v>
      </c>
      <c r="B300" s="5">
        <v>0.03537037037037037</v>
      </c>
      <c r="C300" s="7" t="s">
        <v>382</v>
      </c>
      <c r="D300" s="8" t="s">
        <v>80</v>
      </c>
      <c r="E300" s="8" t="s">
        <v>173</v>
      </c>
      <c r="F300" s="10" t="s">
        <v>175</v>
      </c>
      <c r="G300" s="8">
        <v>69.0</v>
      </c>
      <c r="H300" s="8">
        <v>9.0</v>
      </c>
      <c r="I300" s="5">
        <v>0.035104166666666665</v>
      </c>
    </row>
    <row r="301">
      <c r="A301" s="3">
        <v>300.0</v>
      </c>
      <c r="B301" s="5">
        <v>0.03539351851851852</v>
      </c>
      <c r="C301" s="7" t="s">
        <v>383</v>
      </c>
      <c r="D301" s="8" t="s">
        <v>80</v>
      </c>
      <c r="E301" s="8" t="s">
        <v>198</v>
      </c>
      <c r="F301" s="10" t="s">
        <v>99</v>
      </c>
      <c r="G301" s="8">
        <v>70.0</v>
      </c>
      <c r="H301" s="8">
        <v>13.0</v>
      </c>
      <c r="I301" s="5">
        <v>0.03516203703703704</v>
      </c>
    </row>
    <row r="302">
      <c r="A302" s="3">
        <v>301.0</v>
      </c>
      <c r="B302" s="5">
        <v>0.03540509259259259</v>
      </c>
      <c r="C302" s="7" t="s">
        <v>384</v>
      </c>
      <c r="D302" s="8" t="s">
        <v>12</v>
      </c>
      <c r="E302" s="8" t="s">
        <v>115</v>
      </c>
      <c r="F302" s="12" t="s">
        <v>21</v>
      </c>
      <c r="G302" s="8">
        <v>231.0</v>
      </c>
      <c r="H302" s="8">
        <v>10.0</v>
      </c>
      <c r="I302" s="5">
        <v>0.035104166666666665</v>
      </c>
    </row>
    <row r="303">
      <c r="A303" s="3">
        <v>302.0</v>
      </c>
      <c r="B303" s="5">
        <v>0.03540509259259259</v>
      </c>
      <c r="C303" s="7" t="s">
        <v>385</v>
      </c>
      <c r="D303" s="8" t="s">
        <v>12</v>
      </c>
      <c r="E303" s="8" t="s">
        <v>322</v>
      </c>
      <c r="F303" s="12" t="s">
        <v>21</v>
      </c>
      <c r="G303" s="8">
        <v>232.0</v>
      </c>
      <c r="H303" s="8">
        <v>2.0</v>
      </c>
      <c r="I303" s="5">
        <v>0.03511574074074074</v>
      </c>
    </row>
    <row r="304">
      <c r="A304" s="3">
        <v>303.0</v>
      </c>
      <c r="B304" s="5">
        <v>0.035520833333333335</v>
      </c>
      <c r="C304" s="7" t="s">
        <v>386</v>
      </c>
      <c r="D304" s="8" t="s">
        <v>12</v>
      </c>
      <c r="E304" s="8" t="s">
        <v>122</v>
      </c>
      <c r="F304" s="10" t="s">
        <v>53</v>
      </c>
      <c r="G304" s="8">
        <v>233.0</v>
      </c>
      <c r="H304" s="8">
        <v>24.0</v>
      </c>
      <c r="I304" s="5">
        <v>0.035069444444444445</v>
      </c>
    </row>
    <row r="305">
      <c r="A305" s="3">
        <v>304.0</v>
      </c>
      <c r="B305" s="5">
        <v>0.0355787037037037</v>
      </c>
      <c r="C305" s="7" t="s">
        <v>387</v>
      </c>
      <c r="D305" s="8" t="s">
        <v>12</v>
      </c>
      <c r="E305" s="8" t="s">
        <v>115</v>
      </c>
      <c r="F305" s="10" t="s">
        <v>139</v>
      </c>
      <c r="G305" s="8">
        <v>234.0</v>
      </c>
      <c r="H305" s="8">
        <v>11.0</v>
      </c>
      <c r="I305" s="5">
        <v>0.035243055555555555</v>
      </c>
    </row>
    <row r="306">
      <c r="A306" s="3">
        <v>305.0</v>
      </c>
      <c r="B306" s="5">
        <v>0.03560185185185185</v>
      </c>
      <c r="C306" s="7" t="s">
        <v>388</v>
      </c>
      <c r="D306" s="8" t="s">
        <v>12</v>
      </c>
      <c r="E306" s="8" t="s">
        <v>237</v>
      </c>
      <c r="F306" s="10" t="s">
        <v>110</v>
      </c>
      <c r="G306" s="8">
        <v>235.0</v>
      </c>
      <c r="H306" s="8">
        <v>6.0</v>
      </c>
      <c r="I306" s="5">
        <v>0.03539351851851852</v>
      </c>
    </row>
    <row r="307">
      <c r="A307" s="3">
        <v>306.0</v>
      </c>
      <c r="B307" s="5">
        <v>0.03571759259259259</v>
      </c>
      <c r="C307" s="7" t="s">
        <v>389</v>
      </c>
      <c r="D307" s="8" t="s">
        <v>12</v>
      </c>
      <c r="E307" s="8" t="s">
        <v>49</v>
      </c>
      <c r="F307" s="10" t="s">
        <v>307</v>
      </c>
      <c r="G307" s="8">
        <v>236.0</v>
      </c>
      <c r="H307" s="8">
        <v>30.0</v>
      </c>
      <c r="I307" s="5">
        <v>0.035486111111111114</v>
      </c>
    </row>
    <row r="308">
      <c r="A308" s="3">
        <v>307.0</v>
      </c>
      <c r="B308" s="5">
        <v>0.03576388888888889</v>
      </c>
      <c r="C308" s="7" t="s">
        <v>390</v>
      </c>
      <c r="D308" s="8" t="s">
        <v>80</v>
      </c>
      <c r="E308" s="8" t="s">
        <v>369</v>
      </c>
      <c r="F308" s="10" t="s">
        <v>307</v>
      </c>
      <c r="G308" s="8">
        <v>71.0</v>
      </c>
      <c r="H308" s="8">
        <v>2.0</v>
      </c>
      <c r="I308" s="5">
        <v>0.03553240740740741</v>
      </c>
    </row>
    <row r="309">
      <c r="A309" s="3">
        <v>308.0</v>
      </c>
      <c r="B309" s="5">
        <v>0.03584490740740741</v>
      </c>
      <c r="C309" s="7" t="s">
        <v>391</v>
      </c>
      <c r="D309" s="8" t="s">
        <v>12</v>
      </c>
      <c r="E309" s="8" t="s">
        <v>115</v>
      </c>
      <c r="F309" s="10" t="s">
        <v>110</v>
      </c>
      <c r="G309" s="8">
        <v>237.0</v>
      </c>
      <c r="H309" s="8">
        <v>12.0</v>
      </c>
      <c r="I309" s="5">
        <v>0.03560185185185185</v>
      </c>
    </row>
    <row r="310">
      <c r="A310" s="3">
        <v>309.0</v>
      </c>
      <c r="B310" s="5">
        <v>0.03587962962962963</v>
      </c>
      <c r="C310" s="7" t="s">
        <v>392</v>
      </c>
      <c r="D310" s="8" t="s">
        <v>80</v>
      </c>
      <c r="E310" s="8" t="s">
        <v>81</v>
      </c>
      <c r="F310" s="10" t="s">
        <v>139</v>
      </c>
      <c r="G310" s="8">
        <v>72.0</v>
      </c>
      <c r="H310" s="8">
        <v>24.0</v>
      </c>
      <c r="I310" s="5">
        <v>0.03539351851851852</v>
      </c>
    </row>
    <row r="311">
      <c r="A311" s="3">
        <v>310.0</v>
      </c>
      <c r="B311" s="5">
        <v>0.03594907407407407</v>
      </c>
      <c r="C311" s="7" t="s">
        <v>393</v>
      </c>
      <c r="D311" s="8" t="s">
        <v>12</v>
      </c>
      <c r="E311" s="8" t="s">
        <v>115</v>
      </c>
      <c r="F311" s="10" t="s">
        <v>59</v>
      </c>
      <c r="G311" s="8">
        <v>238.0</v>
      </c>
      <c r="H311" s="8">
        <v>13.0</v>
      </c>
      <c r="I311" s="5">
        <v>0.03568287037037037</v>
      </c>
    </row>
    <row r="312">
      <c r="A312" s="3">
        <v>311.0</v>
      </c>
      <c r="B312" s="5">
        <v>0.03601851851851852</v>
      </c>
      <c r="C312" s="7" t="s">
        <v>394</v>
      </c>
      <c r="D312" s="8" t="s">
        <v>80</v>
      </c>
      <c r="E312" s="8" t="s">
        <v>247</v>
      </c>
      <c r="F312" s="10" t="s">
        <v>132</v>
      </c>
      <c r="G312" s="8">
        <v>73.0</v>
      </c>
      <c r="H312" s="8">
        <v>8.0</v>
      </c>
      <c r="I312" s="5">
        <v>0.03584490740740741</v>
      </c>
    </row>
    <row r="313">
      <c r="A313" s="3">
        <v>312.0</v>
      </c>
      <c r="B313" s="5">
        <v>0.03606481481481481</v>
      </c>
      <c r="C313" s="7" t="s">
        <v>395</v>
      </c>
      <c r="D313" s="8" t="s">
        <v>80</v>
      </c>
      <c r="E313" s="8" t="s">
        <v>247</v>
      </c>
      <c r="F313" s="10" t="s">
        <v>193</v>
      </c>
      <c r="G313" s="8">
        <v>74.0</v>
      </c>
      <c r="H313" s="8">
        <v>9.0</v>
      </c>
      <c r="I313" s="5">
        <v>0.035798611111111114</v>
      </c>
    </row>
    <row r="314">
      <c r="A314" s="3">
        <v>313.0</v>
      </c>
      <c r="B314" s="5">
        <v>0.036099537037037034</v>
      </c>
      <c r="C314" s="7" t="s">
        <v>396</v>
      </c>
      <c r="D314" s="8" t="s">
        <v>12</v>
      </c>
      <c r="E314" s="8" t="s">
        <v>115</v>
      </c>
      <c r="F314" s="10" t="s">
        <v>307</v>
      </c>
      <c r="G314" s="8">
        <v>239.0</v>
      </c>
      <c r="H314" s="8">
        <v>14.0</v>
      </c>
      <c r="I314" s="5">
        <v>0.035833333333333335</v>
      </c>
    </row>
    <row r="315">
      <c r="A315" s="3">
        <v>314.0</v>
      </c>
      <c r="B315" s="5">
        <v>0.03611111111111111</v>
      </c>
      <c r="C315" s="7" t="s">
        <v>397</v>
      </c>
      <c r="D315" s="8" t="s">
        <v>80</v>
      </c>
      <c r="E315" s="8" t="s">
        <v>239</v>
      </c>
      <c r="F315" s="10" t="s">
        <v>166</v>
      </c>
      <c r="G315" s="8">
        <v>75.0</v>
      </c>
      <c r="H315" s="8">
        <v>11.0</v>
      </c>
      <c r="I315" s="5">
        <v>0.03596064814814815</v>
      </c>
    </row>
    <row r="316">
      <c r="A316" s="3">
        <v>315.0</v>
      </c>
      <c r="B316" s="5">
        <v>0.036145833333333335</v>
      </c>
      <c r="C316" s="7" t="s">
        <v>398</v>
      </c>
      <c r="D316" s="8" t="s">
        <v>12</v>
      </c>
      <c r="E316" s="8" t="s">
        <v>122</v>
      </c>
      <c r="F316" s="10" t="s">
        <v>307</v>
      </c>
      <c r="G316" s="8">
        <v>240.0</v>
      </c>
      <c r="H316" s="8">
        <v>25.0</v>
      </c>
      <c r="I316" s="5">
        <v>0.035868055555555556</v>
      </c>
    </row>
    <row r="317">
      <c r="A317" s="3">
        <v>316.0</v>
      </c>
      <c r="B317" s="5">
        <v>0.03619212962962963</v>
      </c>
      <c r="C317" s="7" t="s">
        <v>399</v>
      </c>
      <c r="D317" s="8" t="s">
        <v>12</v>
      </c>
      <c r="E317" s="8" t="s">
        <v>95</v>
      </c>
      <c r="F317" s="10" t="s">
        <v>15</v>
      </c>
      <c r="G317" s="8">
        <v>241.0</v>
      </c>
      <c r="H317" s="8">
        <v>37.0</v>
      </c>
      <c r="I317" s="5">
        <v>0.03596064814814815</v>
      </c>
    </row>
    <row r="318">
      <c r="A318" s="3">
        <v>317.0</v>
      </c>
      <c r="B318" s="5">
        <v>0.0362037037037037</v>
      </c>
      <c r="C318" s="7" t="s">
        <v>400</v>
      </c>
      <c r="D318" s="8" t="s">
        <v>80</v>
      </c>
      <c r="E318" s="8" t="s">
        <v>247</v>
      </c>
      <c r="F318" s="10" t="s">
        <v>99</v>
      </c>
      <c r="G318" s="8">
        <v>76.0</v>
      </c>
      <c r="H318" s="8">
        <v>10.0</v>
      </c>
      <c r="I318" s="5">
        <v>0.03594907407407407</v>
      </c>
    </row>
    <row r="319">
      <c r="A319" s="3">
        <v>318.0</v>
      </c>
      <c r="B319" s="5">
        <v>0.0362037037037037</v>
      </c>
      <c r="C319" s="7" t="s">
        <v>401</v>
      </c>
      <c r="D319" s="8" t="s">
        <v>12</v>
      </c>
      <c r="E319" s="8" t="s">
        <v>237</v>
      </c>
      <c r="F319" s="10" t="s">
        <v>139</v>
      </c>
      <c r="G319" s="8">
        <v>242.0</v>
      </c>
      <c r="H319" s="8">
        <v>7.0</v>
      </c>
      <c r="I319" s="5">
        <v>0.0358912037037037</v>
      </c>
    </row>
    <row r="320">
      <c r="A320" s="3">
        <v>319.0</v>
      </c>
      <c r="B320" s="5">
        <v>0.03625</v>
      </c>
      <c r="C320" s="7" t="s">
        <v>402</v>
      </c>
      <c r="D320" s="8" t="s">
        <v>80</v>
      </c>
      <c r="E320" s="8" t="s">
        <v>81</v>
      </c>
      <c r="F320" s="10" t="s">
        <v>59</v>
      </c>
      <c r="G320" s="8">
        <v>77.0</v>
      </c>
      <c r="H320" s="8">
        <v>25.0</v>
      </c>
      <c r="I320" s="5">
        <v>0.03587962962962963</v>
      </c>
    </row>
    <row r="321">
      <c r="A321" s="3">
        <v>320.0</v>
      </c>
      <c r="B321" s="5">
        <v>0.036284722222222225</v>
      </c>
      <c r="C321" s="7" t="s">
        <v>403</v>
      </c>
      <c r="D321" s="8" t="s">
        <v>12</v>
      </c>
      <c r="E321" s="8" t="s">
        <v>95</v>
      </c>
      <c r="F321" s="10" t="s">
        <v>166</v>
      </c>
      <c r="G321" s="8">
        <v>243.0</v>
      </c>
      <c r="H321" s="8">
        <v>38.0</v>
      </c>
      <c r="I321" s="5">
        <v>0.03626157407407407</v>
      </c>
    </row>
    <row r="322">
      <c r="A322" s="3">
        <v>321.0</v>
      </c>
      <c r="B322" s="5">
        <v>0.036284722222222225</v>
      </c>
      <c r="C322" s="7" t="s">
        <v>404</v>
      </c>
      <c r="D322" s="8" t="s">
        <v>12</v>
      </c>
      <c r="E322" s="8" t="s">
        <v>95</v>
      </c>
      <c r="F322" s="10" t="s">
        <v>59</v>
      </c>
      <c r="G322" s="8">
        <v>244.0</v>
      </c>
      <c r="H322" s="8">
        <v>39.0</v>
      </c>
      <c r="I322" s="5">
        <v>0.03601851851851852</v>
      </c>
    </row>
    <row r="323">
      <c r="A323" s="3">
        <v>322.0</v>
      </c>
      <c r="B323" s="5">
        <v>0.0362962962962963</v>
      </c>
      <c r="C323" s="7" t="s">
        <v>405</v>
      </c>
      <c r="D323" s="8" t="s">
        <v>12</v>
      </c>
      <c r="E323" s="8" t="s">
        <v>95</v>
      </c>
      <c r="F323" s="10" t="s">
        <v>15</v>
      </c>
      <c r="G323" s="8">
        <v>245.0</v>
      </c>
      <c r="H323" s="8">
        <v>40.0</v>
      </c>
      <c r="I323" s="5">
        <v>0.03605324074074074</v>
      </c>
    </row>
    <row r="324">
      <c r="A324" s="3">
        <v>323.0</v>
      </c>
      <c r="B324" s="5">
        <v>0.03630787037037037</v>
      </c>
      <c r="C324" s="7" t="s">
        <v>406</v>
      </c>
      <c r="D324" s="8" t="s">
        <v>80</v>
      </c>
      <c r="E324" s="8" t="s">
        <v>198</v>
      </c>
      <c r="F324" s="10" t="s">
        <v>59</v>
      </c>
      <c r="G324" s="8">
        <v>78.0</v>
      </c>
      <c r="H324" s="8">
        <v>14.0</v>
      </c>
      <c r="I324" s="5">
        <v>0.035902777777777777</v>
      </c>
    </row>
    <row r="325">
      <c r="A325" s="3">
        <v>324.0</v>
      </c>
      <c r="B325" s="5">
        <v>0.03635416666666667</v>
      </c>
      <c r="C325" s="7" t="s">
        <v>407</v>
      </c>
      <c r="D325" s="8" t="s">
        <v>80</v>
      </c>
      <c r="E325" s="8" t="s">
        <v>228</v>
      </c>
      <c r="F325" s="10" t="s">
        <v>112</v>
      </c>
      <c r="G325" s="8">
        <v>79.0</v>
      </c>
      <c r="H325" s="8">
        <v>4.0</v>
      </c>
      <c r="I325" s="5">
        <v>0.03611111111111111</v>
      </c>
    </row>
    <row r="326">
      <c r="A326" s="3">
        <v>325.0</v>
      </c>
      <c r="B326" s="5">
        <v>0.03636574074074074</v>
      </c>
      <c r="C326" s="7" t="s">
        <v>408</v>
      </c>
      <c r="D326" s="8" t="s">
        <v>80</v>
      </c>
      <c r="E326" s="8" t="s">
        <v>247</v>
      </c>
      <c r="F326" s="10" t="s">
        <v>57</v>
      </c>
      <c r="G326" s="8">
        <v>80.0</v>
      </c>
      <c r="H326" s="8">
        <v>11.0</v>
      </c>
      <c r="I326" s="5">
        <v>0.036180555555555556</v>
      </c>
    </row>
    <row r="327">
      <c r="A327" s="3">
        <v>326.0</v>
      </c>
      <c r="B327" s="5">
        <v>0.03640046296296296</v>
      </c>
      <c r="C327" s="7" t="s">
        <v>409</v>
      </c>
      <c r="D327" s="8" t="s">
        <v>80</v>
      </c>
      <c r="E327" s="8" t="s">
        <v>239</v>
      </c>
      <c r="F327" s="10" t="s">
        <v>101</v>
      </c>
      <c r="G327" s="8">
        <v>81.0</v>
      </c>
      <c r="H327" s="8">
        <v>12.0</v>
      </c>
      <c r="I327" s="5">
        <v>0.03607638888888889</v>
      </c>
    </row>
    <row r="328">
      <c r="A328" s="3">
        <v>327.0</v>
      </c>
      <c r="B328" s="5">
        <v>0.036412037037037034</v>
      </c>
      <c r="C328" s="7" t="s">
        <v>410</v>
      </c>
      <c r="D328" s="8" t="s">
        <v>80</v>
      </c>
      <c r="E328" s="8" t="s">
        <v>239</v>
      </c>
      <c r="F328" s="10" t="s">
        <v>53</v>
      </c>
      <c r="G328" s="8">
        <v>82.0</v>
      </c>
      <c r="H328" s="8">
        <v>13.0</v>
      </c>
      <c r="I328" s="5">
        <v>0.03594907407407407</v>
      </c>
    </row>
    <row r="329">
      <c r="A329" s="3">
        <v>328.0</v>
      </c>
      <c r="B329" s="5">
        <v>0.03643518518518519</v>
      </c>
      <c r="C329" s="7" t="s">
        <v>411</v>
      </c>
      <c r="D329" s="8" t="s">
        <v>80</v>
      </c>
      <c r="E329" s="8" t="s">
        <v>239</v>
      </c>
      <c r="F329" s="10" t="s">
        <v>99</v>
      </c>
      <c r="G329" s="8">
        <v>83.0</v>
      </c>
      <c r="H329" s="8">
        <v>14.0</v>
      </c>
      <c r="I329" s="5">
        <v>0.036180555555555556</v>
      </c>
    </row>
    <row r="330">
      <c r="A330" s="3">
        <v>329.0</v>
      </c>
      <c r="B330" s="5">
        <v>0.03650462962962963</v>
      </c>
      <c r="C330" s="7" t="s">
        <v>412</v>
      </c>
      <c r="D330" s="8" t="s">
        <v>12</v>
      </c>
      <c r="E330" s="8" t="s">
        <v>95</v>
      </c>
      <c r="F330" s="10" t="s">
        <v>53</v>
      </c>
      <c r="G330" s="8">
        <v>246.0</v>
      </c>
      <c r="H330" s="8">
        <v>41.0</v>
      </c>
      <c r="I330" s="5">
        <v>0.03619212962962963</v>
      </c>
    </row>
    <row r="331">
      <c r="A331" s="3">
        <v>330.0</v>
      </c>
      <c r="B331" s="5">
        <v>0.036516203703703703</v>
      </c>
      <c r="C331" s="7" t="s">
        <v>413</v>
      </c>
      <c r="D331" s="8" t="s">
        <v>12</v>
      </c>
      <c r="E331" s="8" t="s">
        <v>39</v>
      </c>
      <c r="F331" s="10" t="s">
        <v>132</v>
      </c>
      <c r="G331" s="8">
        <v>247.0</v>
      </c>
      <c r="H331" s="8">
        <v>11.0</v>
      </c>
      <c r="I331" s="5">
        <v>0.03638888888888889</v>
      </c>
    </row>
    <row r="332">
      <c r="A332" s="3">
        <v>331.0</v>
      </c>
      <c r="B332" s="5">
        <v>0.03657407407407407</v>
      </c>
      <c r="C332" s="7" t="s">
        <v>414</v>
      </c>
      <c r="D332" s="8" t="s">
        <v>12</v>
      </c>
      <c r="E332" s="8" t="s">
        <v>115</v>
      </c>
      <c r="F332" s="10" t="s">
        <v>15</v>
      </c>
      <c r="G332" s="8">
        <v>248.0</v>
      </c>
      <c r="H332" s="8">
        <v>15.0</v>
      </c>
      <c r="I332" s="5">
        <v>0.03634259259259259</v>
      </c>
    </row>
    <row r="333">
      <c r="A333" s="3">
        <v>332.0</v>
      </c>
      <c r="B333" s="5">
        <v>0.03664351851851852</v>
      </c>
      <c r="C333" s="7" t="s">
        <v>415</v>
      </c>
      <c r="D333" s="8" t="s">
        <v>80</v>
      </c>
      <c r="E333" s="8" t="s">
        <v>198</v>
      </c>
      <c r="F333" s="10" t="s">
        <v>193</v>
      </c>
      <c r="G333" s="8">
        <v>84.0</v>
      </c>
      <c r="H333" s="8">
        <v>15.0</v>
      </c>
      <c r="I333" s="5">
        <v>0.036377314814814814</v>
      </c>
    </row>
    <row r="334">
      <c r="A334" s="3">
        <v>333.0</v>
      </c>
      <c r="B334" s="5">
        <v>0.03664351851851852</v>
      </c>
      <c r="C334" s="7" t="s">
        <v>416</v>
      </c>
      <c r="D334" s="8" t="s">
        <v>80</v>
      </c>
      <c r="E334" s="8" t="s">
        <v>173</v>
      </c>
      <c r="F334" s="10" t="s">
        <v>99</v>
      </c>
      <c r="G334" s="8">
        <v>85.0</v>
      </c>
      <c r="H334" s="8">
        <v>10.0</v>
      </c>
      <c r="I334" s="5">
        <v>0.03640046296296296</v>
      </c>
    </row>
    <row r="335">
      <c r="A335" s="3">
        <v>334.0</v>
      </c>
      <c r="B335" s="5">
        <v>0.03671296296296296</v>
      </c>
      <c r="C335" s="7" t="s">
        <v>417</v>
      </c>
      <c r="D335" s="8" t="s">
        <v>80</v>
      </c>
      <c r="E335" s="8" t="s">
        <v>81</v>
      </c>
      <c r="F335" s="10" t="s">
        <v>45</v>
      </c>
      <c r="G335" s="8">
        <v>86.0</v>
      </c>
      <c r="H335" s="8">
        <v>26.0</v>
      </c>
      <c r="I335" s="5">
        <v>0.03627314814814815</v>
      </c>
    </row>
    <row r="336">
      <c r="A336" s="3">
        <v>335.0</v>
      </c>
      <c r="B336" s="5">
        <v>0.036724537037037035</v>
      </c>
      <c r="C336" s="7" t="s">
        <v>418</v>
      </c>
      <c r="D336" s="8" t="s">
        <v>12</v>
      </c>
      <c r="E336" s="8" t="s">
        <v>115</v>
      </c>
      <c r="F336" s="10" t="s">
        <v>31</v>
      </c>
      <c r="G336" s="8">
        <v>249.0</v>
      </c>
      <c r="H336" s="8">
        <v>16.0</v>
      </c>
      <c r="I336" s="5">
        <v>0.036493055555555556</v>
      </c>
    </row>
    <row r="337">
      <c r="A337" s="3">
        <v>336.0</v>
      </c>
      <c r="B337" s="5">
        <v>0.03680555555555556</v>
      </c>
      <c r="C337" s="7" t="s">
        <v>419</v>
      </c>
      <c r="D337" s="8" t="s">
        <v>12</v>
      </c>
      <c r="E337" s="8" t="s">
        <v>122</v>
      </c>
      <c r="F337" s="10" t="s">
        <v>15</v>
      </c>
      <c r="G337" s="8">
        <v>250.0</v>
      </c>
      <c r="H337" s="8">
        <v>26.0</v>
      </c>
      <c r="I337" s="5">
        <v>0.0366087962962963</v>
      </c>
    </row>
    <row r="338">
      <c r="A338" s="3">
        <v>337.0</v>
      </c>
      <c r="B338" s="5">
        <v>0.03684027777777778</v>
      </c>
      <c r="C338" s="7" t="s">
        <v>420</v>
      </c>
      <c r="D338" s="8" t="s">
        <v>12</v>
      </c>
      <c r="E338" s="8" t="s">
        <v>83</v>
      </c>
      <c r="F338" s="10" t="s">
        <v>101</v>
      </c>
      <c r="G338" s="8">
        <v>251.0</v>
      </c>
      <c r="H338" s="8">
        <v>34.0</v>
      </c>
      <c r="I338" s="5">
        <v>0.03657407407407407</v>
      </c>
    </row>
    <row r="339">
      <c r="A339" s="3">
        <v>338.0</v>
      </c>
      <c r="B339" s="5">
        <v>0.03684027777777778</v>
      </c>
      <c r="C339" s="7" t="s">
        <v>63</v>
      </c>
      <c r="D339" s="8" t="s">
        <v>80</v>
      </c>
      <c r="E339" s="8" t="s">
        <v>239</v>
      </c>
      <c r="F339" s="12" t="s">
        <v>21</v>
      </c>
      <c r="G339" s="8">
        <v>87.0</v>
      </c>
      <c r="H339" s="8">
        <v>15.0</v>
      </c>
      <c r="I339" s="5">
        <v>0.03644675925925926</v>
      </c>
    </row>
    <row r="340">
      <c r="A340" s="3">
        <v>339.0</v>
      </c>
      <c r="B340" s="5">
        <v>0.036898148148148145</v>
      </c>
      <c r="C340" s="7" t="s">
        <v>65</v>
      </c>
      <c r="D340" s="8" t="s">
        <v>80</v>
      </c>
      <c r="E340" s="8" t="s">
        <v>173</v>
      </c>
      <c r="F340" s="12" t="s">
        <v>21</v>
      </c>
      <c r="G340" s="8">
        <v>88.0</v>
      </c>
      <c r="H340" s="8">
        <v>11.0</v>
      </c>
      <c r="I340" s="5">
        <v>0.03653935185185185</v>
      </c>
    </row>
    <row r="341">
      <c r="A341" s="3">
        <v>340.0</v>
      </c>
      <c r="B341" s="5">
        <v>0.03693287037037037</v>
      </c>
      <c r="C341" s="7" t="s">
        <v>421</v>
      </c>
      <c r="D341" s="8" t="s">
        <v>80</v>
      </c>
      <c r="E341" s="8" t="s">
        <v>81</v>
      </c>
      <c r="F341" s="10" t="s">
        <v>53</v>
      </c>
      <c r="G341" s="8">
        <v>89.0</v>
      </c>
      <c r="H341" s="8">
        <v>27.0</v>
      </c>
      <c r="I341" s="5">
        <v>0.036493055555555556</v>
      </c>
    </row>
    <row r="342">
      <c r="A342" s="3">
        <v>341.0</v>
      </c>
      <c r="B342" s="5">
        <v>0.03697916666666667</v>
      </c>
      <c r="C342" s="7" t="s">
        <v>422</v>
      </c>
      <c r="D342" s="8" t="s">
        <v>80</v>
      </c>
      <c r="E342" s="8" t="s">
        <v>173</v>
      </c>
      <c r="F342" s="10" t="s">
        <v>42</v>
      </c>
      <c r="G342" s="8">
        <v>90.0</v>
      </c>
      <c r="H342" s="8">
        <v>12.0</v>
      </c>
      <c r="I342" s="5">
        <v>0.036689814814814814</v>
      </c>
    </row>
    <row r="343">
      <c r="A343" s="3">
        <v>342.0</v>
      </c>
      <c r="B343" s="5">
        <v>0.03706018518518518</v>
      </c>
      <c r="C343" s="7" t="s">
        <v>423</v>
      </c>
      <c r="D343" s="8" t="s">
        <v>80</v>
      </c>
      <c r="E343" s="8" t="s">
        <v>228</v>
      </c>
      <c r="F343" s="10" t="s">
        <v>161</v>
      </c>
      <c r="G343" s="8">
        <v>91.0</v>
      </c>
      <c r="H343" s="8">
        <v>5.0</v>
      </c>
      <c r="I343" s="5">
        <v>0.03667824074074074</v>
      </c>
    </row>
    <row r="344">
      <c r="A344" s="3">
        <v>343.0</v>
      </c>
      <c r="B344" s="5">
        <v>0.03709490740740741</v>
      </c>
      <c r="C344" s="7" t="s">
        <v>424</v>
      </c>
      <c r="D344" s="8" t="s">
        <v>12</v>
      </c>
      <c r="E344" s="8" t="s">
        <v>95</v>
      </c>
      <c r="F344" s="10" t="s">
        <v>139</v>
      </c>
      <c r="G344" s="8">
        <v>252.0</v>
      </c>
      <c r="H344" s="8">
        <v>42.0</v>
      </c>
      <c r="I344" s="5">
        <v>0.03675925925925926</v>
      </c>
    </row>
    <row r="345">
      <c r="A345" s="3">
        <v>344.0</v>
      </c>
      <c r="B345" s="5">
        <v>0.03709490740740741</v>
      </c>
      <c r="C345" s="7" t="s">
        <v>69</v>
      </c>
      <c r="D345" s="8" t="s">
        <v>80</v>
      </c>
      <c r="E345" s="8" t="s">
        <v>198</v>
      </c>
      <c r="F345" s="12" t="s">
        <v>21</v>
      </c>
      <c r="G345" s="8">
        <v>92.0</v>
      </c>
      <c r="H345" s="8">
        <v>16.0</v>
      </c>
      <c r="I345" s="5">
        <v>0.03693287037037037</v>
      </c>
    </row>
    <row r="346">
      <c r="A346" s="3">
        <v>345.0</v>
      </c>
      <c r="B346" s="5">
        <v>0.03711805555555556</v>
      </c>
      <c r="C346" s="7" t="s">
        <v>425</v>
      </c>
      <c r="D346" s="8" t="s">
        <v>80</v>
      </c>
      <c r="E346" s="8" t="s">
        <v>198</v>
      </c>
      <c r="F346" s="10" t="s">
        <v>53</v>
      </c>
      <c r="G346" s="8">
        <v>93.0</v>
      </c>
      <c r="H346" s="8">
        <v>17.0</v>
      </c>
      <c r="I346" s="5">
        <v>0.03670138888888889</v>
      </c>
    </row>
    <row r="347">
      <c r="A347" s="3">
        <v>346.0</v>
      </c>
      <c r="B347" s="5">
        <v>0.03712962962962963</v>
      </c>
      <c r="C347" s="7" t="s">
        <v>426</v>
      </c>
      <c r="D347" s="8" t="s">
        <v>12</v>
      </c>
      <c r="E347" s="8" t="s">
        <v>95</v>
      </c>
      <c r="F347" s="10" t="s">
        <v>104</v>
      </c>
      <c r="G347" s="8">
        <v>253.0</v>
      </c>
      <c r="H347" s="8">
        <v>43.0</v>
      </c>
      <c r="I347" s="5">
        <v>0.036631944444444446</v>
      </c>
    </row>
    <row r="348">
      <c r="A348" s="3">
        <v>347.0</v>
      </c>
      <c r="B348" s="5">
        <v>0.037141203703703704</v>
      </c>
      <c r="C348" s="7" t="s">
        <v>427</v>
      </c>
      <c r="D348" s="8" t="s">
        <v>12</v>
      </c>
      <c r="E348" s="8" t="s">
        <v>122</v>
      </c>
      <c r="F348" s="10" t="s">
        <v>307</v>
      </c>
      <c r="G348" s="8">
        <v>254.0</v>
      </c>
      <c r="H348" s="8">
        <v>27.0</v>
      </c>
      <c r="I348" s="5">
        <v>0.03685185185185185</v>
      </c>
    </row>
    <row r="349">
      <c r="A349" s="3">
        <v>348.0</v>
      </c>
      <c r="B349" s="5">
        <v>0.0371875</v>
      </c>
      <c r="C349" s="7" t="s">
        <v>428</v>
      </c>
      <c r="D349" s="8" t="s">
        <v>12</v>
      </c>
      <c r="E349" s="8" t="s">
        <v>14</v>
      </c>
      <c r="F349" s="10" t="s">
        <v>31</v>
      </c>
      <c r="G349" s="8">
        <v>255.0</v>
      </c>
      <c r="H349" s="8">
        <v>85.0</v>
      </c>
      <c r="I349" s="5">
        <v>0.03706018518518518</v>
      </c>
    </row>
    <row r="350">
      <c r="A350" s="3">
        <v>349.0</v>
      </c>
      <c r="B350" s="5">
        <v>0.03719907407407407</v>
      </c>
      <c r="C350" s="7" t="s">
        <v>429</v>
      </c>
      <c r="D350" s="8" t="s">
        <v>80</v>
      </c>
      <c r="E350" s="8" t="s">
        <v>247</v>
      </c>
      <c r="F350" s="10" t="s">
        <v>57</v>
      </c>
      <c r="G350" s="8">
        <v>94.0</v>
      </c>
      <c r="H350" s="8">
        <v>12.0</v>
      </c>
      <c r="I350" s="5">
        <v>0.037002314814814814</v>
      </c>
    </row>
    <row r="351">
      <c r="A351" s="3">
        <v>350.0</v>
      </c>
      <c r="B351" s="5">
        <v>0.03722222222222222</v>
      </c>
      <c r="C351" s="7" t="s">
        <v>430</v>
      </c>
      <c r="D351" s="8" t="s">
        <v>12</v>
      </c>
      <c r="E351" s="8" t="s">
        <v>237</v>
      </c>
      <c r="F351" s="10" t="s">
        <v>166</v>
      </c>
      <c r="G351" s="8">
        <v>256.0</v>
      </c>
      <c r="H351" s="8">
        <v>8.0</v>
      </c>
      <c r="I351" s="5">
        <v>0.0369212962962963</v>
      </c>
    </row>
    <row r="352">
      <c r="A352" s="3">
        <v>351.0</v>
      </c>
      <c r="B352" s="5">
        <v>0.03724537037037037</v>
      </c>
      <c r="C352" s="7" t="s">
        <v>431</v>
      </c>
      <c r="D352" s="8" t="s">
        <v>80</v>
      </c>
      <c r="E352" s="8" t="s">
        <v>198</v>
      </c>
      <c r="F352" s="10" t="s">
        <v>112</v>
      </c>
      <c r="G352" s="8">
        <v>95.0</v>
      </c>
      <c r="H352" s="8">
        <v>18.0</v>
      </c>
      <c r="I352" s="5">
        <v>0.03685185185185185</v>
      </c>
    </row>
    <row r="353">
      <c r="A353" s="3">
        <v>352.0</v>
      </c>
      <c r="B353" s="5">
        <v>0.03724537037037037</v>
      </c>
      <c r="C353" s="7" t="s">
        <v>71</v>
      </c>
      <c r="D353" s="8" t="s">
        <v>80</v>
      </c>
      <c r="E353" s="8" t="s">
        <v>247</v>
      </c>
      <c r="F353" s="12" t="s">
        <v>21</v>
      </c>
      <c r="G353" s="8">
        <v>96.0</v>
      </c>
      <c r="H353" s="8">
        <v>13.0</v>
      </c>
      <c r="I353" s="5">
        <v>0.03678240740740741</v>
      </c>
    </row>
    <row r="354">
      <c r="A354" s="3">
        <v>353.0</v>
      </c>
      <c r="B354" s="5">
        <v>0.037314814814814815</v>
      </c>
      <c r="C354" s="7" t="s">
        <v>432</v>
      </c>
      <c r="D354" s="8" t="s">
        <v>12</v>
      </c>
      <c r="E354" s="8" t="s">
        <v>14</v>
      </c>
      <c r="F354" s="10" t="s">
        <v>57</v>
      </c>
      <c r="G354" s="8">
        <v>257.0</v>
      </c>
      <c r="H354" s="8">
        <v>86.0</v>
      </c>
      <c r="I354" s="5">
        <v>0.037083333333333336</v>
      </c>
    </row>
    <row r="355">
      <c r="A355" s="3">
        <v>354.0</v>
      </c>
      <c r="B355" s="5">
        <v>0.03743055555555556</v>
      </c>
      <c r="C355" s="7" t="s">
        <v>433</v>
      </c>
      <c r="D355" s="8" t="s">
        <v>80</v>
      </c>
      <c r="E355" s="8" t="s">
        <v>81</v>
      </c>
      <c r="F355" s="10" t="s">
        <v>57</v>
      </c>
      <c r="G355" s="8">
        <v>97.0</v>
      </c>
      <c r="H355" s="8">
        <v>28.0</v>
      </c>
      <c r="I355" s="5">
        <v>0.03724537037037037</v>
      </c>
    </row>
    <row r="356">
      <c r="A356" s="3">
        <v>355.0</v>
      </c>
      <c r="B356" s="5">
        <v>0.037453703703703704</v>
      </c>
      <c r="C356" s="7" t="s">
        <v>434</v>
      </c>
      <c r="D356" s="8" t="s">
        <v>12</v>
      </c>
      <c r="E356" s="8" t="s">
        <v>115</v>
      </c>
      <c r="F356" s="10" t="s">
        <v>139</v>
      </c>
      <c r="G356" s="8">
        <v>258.0</v>
      </c>
      <c r="H356" s="8">
        <v>17.0</v>
      </c>
      <c r="I356" s="5">
        <v>0.03709490740740741</v>
      </c>
    </row>
    <row r="357">
      <c r="A357" s="3">
        <v>356.0</v>
      </c>
      <c r="B357" s="5">
        <v>0.03747685185185185</v>
      </c>
      <c r="C357" s="7" t="s">
        <v>435</v>
      </c>
      <c r="D357" s="8" t="s">
        <v>12</v>
      </c>
      <c r="E357" s="8" t="s">
        <v>49</v>
      </c>
      <c r="F357" s="10" t="s">
        <v>112</v>
      </c>
      <c r="G357" s="8">
        <v>259.0</v>
      </c>
      <c r="H357" s="8">
        <v>31.0</v>
      </c>
      <c r="I357" s="5">
        <v>0.037141203703703704</v>
      </c>
    </row>
    <row r="358">
      <c r="A358" s="3">
        <v>357.0</v>
      </c>
      <c r="B358" s="5">
        <v>0.03747685185185185</v>
      </c>
      <c r="C358" s="7" t="s">
        <v>436</v>
      </c>
      <c r="D358" s="8" t="s">
        <v>12</v>
      </c>
      <c r="E358" s="8" t="s">
        <v>95</v>
      </c>
      <c r="F358" s="10" t="s">
        <v>110</v>
      </c>
      <c r="G358" s="8">
        <v>260.0</v>
      </c>
      <c r="H358" s="8">
        <v>44.0</v>
      </c>
      <c r="I358" s="5">
        <v>0.03736111111111111</v>
      </c>
    </row>
    <row r="359">
      <c r="A359" s="3">
        <v>358.0</v>
      </c>
      <c r="B359" s="5">
        <v>0.037523148148148146</v>
      </c>
      <c r="C359" s="7" t="s">
        <v>437</v>
      </c>
      <c r="D359" s="8" t="s">
        <v>12</v>
      </c>
      <c r="E359" s="8" t="s">
        <v>322</v>
      </c>
      <c r="F359" s="10" t="s">
        <v>42</v>
      </c>
      <c r="G359" s="8">
        <v>261.0</v>
      </c>
      <c r="H359" s="8">
        <v>3.0</v>
      </c>
      <c r="I359" s="5">
        <v>0.03719907407407407</v>
      </c>
    </row>
    <row r="360">
      <c r="A360" s="3">
        <v>359.0</v>
      </c>
      <c r="B360" s="5">
        <v>0.037523148148148146</v>
      </c>
      <c r="C360" s="7" t="s">
        <v>438</v>
      </c>
      <c r="D360" s="8" t="s">
        <v>80</v>
      </c>
      <c r="E360" s="8" t="s">
        <v>228</v>
      </c>
      <c r="F360" s="10" t="s">
        <v>59</v>
      </c>
      <c r="G360" s="8">
        <v>98.0</v>
      </c>
      <c r="H360" s="8">
        <v>6.0</v>
      </c>
      <c r="I360" s="5">
        <v>0.03715277777777778</v>
      </c>
    </row>
    <row r="361">
      <c r="A361" s="3">
        <v>360.0</v>
      </c>
      <c r="B361" s="5">
        <v>0.03753472222222222</v>
      </c>
      <c r="C361" s="7" t="s">
        <v>439</v>
      </c>
      <c r="D361" s="8" t="s">
        <v>80</v>
      </c>
      <c r="E361" s="8" t="s">
        <v>198</v>
      </c>
      <c r="F361" s="10" t="s">
        <v>175</v>
      </c>
      <c r="G361" s="8">
        <v>99.0</v>
      </c>
      <c r="H361" s="8">
        <v>19.0</v>
      </c>
      <c r="I361" s="5">
        <v>0.037280092592592594</v>
      </c>
    </row>
    <row r="362">
      <c r="A362" s="3">
        <v>361.0</v>
      </c>
      <c r="B362" s="5">
        <v>0.03758101851851852</v>
      </c>
      <c r="C362" s="7" t="s">
        <v>440</v>
      </c>
      <c r="D362" s="8" t="s">
        <v>12</v>
      </c>
      <c r="E362" s="8" t="s">
        <v>237</v>
      </c>
      <c r="F362" s="10" t="s">
        <v>45</v>
      </c>
      <c r="G362" s="8">
        <v>262.0</v>
      </c>
      <c r="H362" s="8">
        <v>9.0</v>
      </c>
      <c r="I362" s="5">
        <v>0.03722222222222222</v>
      </c>
    </row>
    <row r="363">
      <c r="A363" s="3">
        <v>362.0</v>
      </c>
      <c r="B363" s="5">
        <v>0.037627314814814815</v>
      </c>
      <c r="C363" s="7" t="s">
        <v>441</v>
      </c>
      <c r="D363" s="8" t="s">
        <v>80</v>
      </c>
      <c r="E363" s="8" t="s">
        <v>247</v>
      </c>
      <c r="F363" s="10" t="s">
        <v>57</v>
      </c>
      <c r="G363" s="8">
        <v>100.0</v>
      </c>
      <c r="H363" s="8">
        <v>14.0</v>
      </c>
      <c r="I363" s="5">
        <v>0.03744212962962963</v>
      </c>
    </row>
    <row r="364">
      <c r="A364" s="3">
        <v>363.0</v>
      </c>
      <c r="B364" s="5">
        <v>0.03763888888888889</v>
      </c>
      <c r="C364" s="7" t="s">
        <v>442</v>
      </c>
      <c r="D364" s="8" t="s">
        <v>80</v>
      </c>
      <c r="E364" s="8" t="s">
        <v>239</v>
      </c>
      <c r="F364" s="10" t="s">
        <v>112</v>
      </c>
      <c r="G364" s="8">
        <v>101.0</v>
      </c>
      <c r="H364" s="8">
        <v>16.0</v>
      </c>
      <c r="I364" s="5">
        <v>0.03724537037037037</v>
      </c>
    </row>
    <row r="365">
      <c r="A365" s="3">
        <v>364.0</v>
      </c>
      <c r="B365" s="5">
        <v>0.03770833333333334</v>
      </c>
      <c r="C365" s="7" t="s">
        <v>443</v>
      </c>
      <c r="D365" s="8" t="s">
        <v>80</v>
      </c>
      <c r="E365" s="8" t="s">
        <v>239</v>
      </c>
      <c r="F365" s="10" t="s">
        <v>99</v>
      </c>
      <c r="G365" s="8">
        <v>102.0</v>
      </c>
      <c r="H365" s="8">
        <v>17.0</v>
      </c>
      <c r="I365" s="5">
        <v>0.03744212962962963</v>
      </c>
    </row>
    <row r="366">
      <c r="A366" s="3">
        <v>365.0</v>
      </c>
      <c r="B366" s="5">
        <v>0.03774305555555556</v>
      </c>
      <c r="C366" s="7" t="s">
        <v>444</v>
      </c>
      <c r="D366" s="8" t="s">
        <v>12</v>
      </c>
      <c r="E366" s="8" t="s">
        <v>49</v>
      </c>
      <c r="F366" s="12" t="s">
        <v>21</v>
      </c>
      <c r="G366" s="8">
        <v>263.0</v>
      </c>
      <c r="H366" s="8">
        <v>32.0</v>
      </c>
      <c r="I366" s="5">
        <v>0.037349537037037035</v>
      </c>
    </row>
    <row r="367">
      <c r="A367" s="3">
        <v>366.0</v>
      </c>
      <c r="B367" s="5">
        <v>0.03775462962962963</v>
      </c>
      <c r="C367" s="7" t="s">
        <v>445</v>
      </c>
      <c r="D367" s="8" t="s">
        <v>80</v>
      </c>
      <c r="E367" s="8" t="s">
        <v>239</v>
      </c>
      <c r="F367" s="10" t="s">
        <v>40</v>
      </c>
      <c r="G367" s="8">
        <v>103.0</v>
      </c>
      <c r="H367" s="8">
        <v>18.0</v>
      </c>
      <c r="I367" s="5">
        <v>0.037418981481481484</v>
      </c>
    </row>
    <row r="368">
      <c r="A368" s="3">
        <v>367.0</v>
      </c>
      <c r="B368" s="5">
        <v>0.03775462962962963</v>
      </c>
      <c r="C368" s="7" t="s">
        <v>446</v>
      </c>
      <c r="D368" s="8" t="s">
        <v>12</v>
      </c>
      <c r="E368" s="8" t="s">
        <v>83</v>
      </c>
      <c r="F368" s="10" t="s">
        <v>110</v>
      </c>
      <c r="G368" s="8">
        <v>264.0</v>
      </c>
      <c r="H368" s="8">
        <v>35.0</v>
      </c>
      <c r="I368" s="5">
        <v>0.0375</v>
      </c>
    </row>
    <row r="369">
      <c r="A369" s="3">
        <v>368.0</v>
      </c>
      <c r="B369" s="5">
        <v>0.03777777777777778</v>
      </c>
      <c r="C369" s="7" t="s">
        <v>447</v>
      </c>
      <c r="D369" s="8" t="s">
        <v>12</v>
      </c>
      <c r="E369" s="8" t="s">
        <v>122</v>
      </c>
      <c r="F369" s="10" t="s">
        <v>59</v>
      </c>
      <c r="G369" s="8">
        <v>265.0</v>
      </c>
      <c r="H369" s="8">
        <v>28.0</v>
      </c>
      <c r="I369" s="5">
        <v>0.03737268518518518</v>
      </c>
    </row>
    <row r="370">
      <c r="A370" s="3">
        <v>369.0</v>
      </c>
      <c r="B370" s="5">
        <v>0.03777777777777778</v>
      </c>
      <c r="C370" s="7" t="s">
        <v>448</v>
      </c>
      <c r="D370" s="8" t="s">
        <v>80</v>
      </c>
      <c r="E370" s="8" t="s">
        <v>81</v>
      </c>
      <c r="F370" s="10" t="s">
        <v>57</v>
      </c>
      <c r="G370" s="8">
        <v>104.0</v>
      </c>
      <c r="H370" s="8">
        <v>29.0</v>
      </c>
      <c r="I370" s="5">
        <v>0.03754629629629629</v>
      </c>
    </row>
    <row r="371">
      <c r="A371" s="3">
        <v>370.0</v>
      </c>
      <c r="B371" s="5">
        <v>0.03778935185185185</v>
      </c>
      <c r="C371" s="7" t="s">
        <v>449</v>
      </c>
      <c r="D371" s="8" t="s">
        <v>12</v>
      </c>
      <c r="E371" s="8" t="s">
        <v>14</v>
      </c>
      <c r="F371" s="10" t="s">
        <v>53</v>
      </c>
      <c r="G371" s="8">
        <v>266.0</v>
      </c>
      <c r="H371" s="8">
        <v>87.0</v>
      </c>
      <c r="I371" s="5">
        <v>0.03736111111111111</v>
      </c>
    </row>
    <row r="372">
      <c r="A372" s="3">
        <v>371.0</v>
      </c>
      <c r="B372" s="5">
        <v>0.037905092592592594</v>
      </c>
      <c r="C372" s="7" t="s">
        <v>450</v>
      </c>
      <c r="D372" s="8" t="s">
        <v>12</v>
      </c>
      <c r="E372" s="8" t="s">
        <v>14</v>
      </c>
      <c r="F372" s="10" t="s">
        <v>112</v>
      </c>
      <c r="G372" s="8">
        <v>267.0</v>
      </c>
      <c r="H372" s="8">
        <v>88.0</v>
      </c>
      <c r="I372" s="5">
        <v>0.0375</v>
      </c>
    </row>
    <row r="373">
      <c r="A373" s="3">
        <v>372.0</v>
      </c>
      <c r="B373" s="5">
        <v>0.037905092592592594</v>
      </c>
      <c r="C373" s="7" t="s">
        <v>451</v>
      </c>
      <c r="D373" s="8" t="s">
        <v>12</v>
      </c>
      <c r="E373" s="8" t="s">
        <v>237</v>
      </c>
      <c r="F373" s="10" t="s">
        <v>112</v>
      </c>
      <c r="G373" s="8">
        <v>268.0</v>
      </c>
      <c r="H373" s="8">
        <v>10.0</v>
      </c>
      <c r="I373" s="5">
        <v>0.0375</v>
      </c>
    </row>
    <row r="374">
      <c r="A374" s="3">
        <v>373.0</v>
      </c>
      <c r="B374" s="5">
        <v>0.03792824074074074</v>
      </c>
      <c r="C374" s="7" t="s">
        <v>73</v>
      </c>
      <c r="D374" s="8" t="s">
        <v>80</v>
      </c>
      <c r="E374" s="8" t="s">
        <v>198</v>
      </c>
      <c r="F374" s="12" t="s">
        <v>21</v>
      </c>
      <c r="G374" s="8">
        <v>105.0</v>
      </c>
      <c r="H374" s="8">
        <v>20.0</v>
      </c>
      <c r="I374" s="5">
        <v>0.03756944444444445</v>
      </c>
    </row>
    <row r="375">
      <c r="A375" s="3">
        <v>374.0</v>
      </c>
      <c r="B375" s="5">
        <v>0.037974537037037036</v>
      </c>
      <c r="C375" s="7" t="s">
        <v>452</v>
      </c>
      <c r="D375" s="8" t="s">
        <v>80</v>
      </c>
      <c r="E375" s="8" t="s">
        <v>247</v>
      </c>
      <c r="F375" s="10" t="s">
        <v>307</v>
      </c>
      <c r="G375" s="8">
        <v>106.0</v>
      </c>
      <c r="H375" s="8">
        <v>15.0</v>
      </c>
      <c r="I375" s="5">
        <v>0.037731481481481484</v>
      </c>
    </row>
    <row r="376">
      <c r="A376" s="3">
        <v>375.0</v>
      </c>
      <c r="B376" s="5">
        <v>0.037974537037037036</v>
      </c>
      <c r="C376" s="7" t="s">
        <v>453</v>
      </c>
      <c r="D376" s="8" t="s">
        <v>80</v>
      </c>
      <c r="E376" s="8" t="s">
        <v>81</v>
      </c>
      <c r="F376" s="10" t="s">
        <v>104</v>
      </c>
      <c r="G376" s="8">
        <v>107.0</v>
      </c>
      <c r="H376" s="8">
        <v>30.0</v>
      </c>
      <c r="I376" s="5">
        <v>0.03751157407407407</v>
      </c>
    </row>
    <row r="377">
      <c r="A377" s="3">
        <v>376.0</v>
      </c>
      <c r="B377" s="5">
        <v>0.03809027777777778</v>
      </c>
      <c r="C377" s="7" t="s">
        <v>75</v>
      </c>
      <c r="D377" s="8" t="s">
        <v>80</v>
      </c>
      <c r="E377" s="8" t="s">
        <v>198</v>
      </c>
      <c r="F377" s="12" t="s">
        <v>21</v>
      </c>
      <c r="G377" s="8">
        <v>108.0</v>
      </c>
      <c r="H377" s="8">
        <v>21.0</v>
      </c>
      <c r="I377" s="5">
        <v>0.037731481481481484</v>
      </c>
    </row>
    <row r="378">
      <c r="A378" s="3">
        <v>377.0</v>
      </c>
      <c r="B378" s="5">
        <v>0.038125</v>
      </c>
      <c r="C378" s="7" t="s">
        <v>74</v>
      </c>
      <c r="D378" s="8" t="s">
        <v>80</v>
      </c>
      <c r="E378" s="8" t="s">
        <v>81</v>
      </c>
      <c r="F378" s="12" t="s">
        <v>21</v>
      </c>
      <c r="G378" s="8">
        <v>109.0</v>
      </c>
      <c r="H378" s="8">
        <v>31.0</v>
      </c>
      <c r="I378" s="5">
        <v>0.03789351851851852</v>
      </c>
    </row>
    <row r="379">
      <c r="A379" s="3">
        <v>378.0</v>
      </c>
      <c r="B379" s="5">
        <v>0.03813657407407407</v>
      </c>
      <c r="C379" s="7" t="s">
        <v>454</v>
      </c>
      <c r="D379" s="8" t="s">
        <v>80</v>
      </c>
      <c r="E379" s="8" t="s">
        <v>81</v>
      </c>
      <c r="F379" s="12" t="s">
        <v>21</v>
      </c>
      <c r="G379" s="8">
        <v>110.0</v>
      </c>
      <c r="H379" s="8">
        <v>32.0</v>
      </c>
      <c r="I379" s="5">
        <v>0.03777777777777778</v>
      </c>
    </row>
    <row r="380">
      <c r="A380" s="3">
        <v>379.0</v>
      </c>
      <c r="B380" s="5">
        <v>0.03819444444444445</v>
      </c>
      <c r="C380" s="7" t="s">
        <v>455</v>
      </c>
      <c r="D380" s="8" t="s">
        <v>80</v>
      </c>
      <c r="E380" s="8" t="s">
        <v>247</v>
      </c>
      <c r="F380" s="10" t="s">
        <v>110</v>
      </c>
      <c r="G380" s="8">
        <v>111.0</v>
      </c>
      <c r="H380" s="8">
        <v>16.0</v>
      </c>
      <c r="I380" s="5">
        <v>0.03809027777777778</v>
      </c>
    </row>
    <row r="381">
      <c r="A381" s="3">
        <v>380.0</v>
      </c>
      <c r="B381" s="5">
        <v>0.03819444444444445</v>
      </c>
      <c r="C381" s="7" t="s">
        <v>456</v>
      </c>
      <c r="D381" s="8" t="s">
        <v>12</v>
      </c>
      <c r="E381" s="8" t="s">
        <v>95</v>
      </c>
      <c r="F381" s="10" t="s">
        <v>110</v>
      </c>
      <c r="G381" s="8">
        <v>269.0</v>
      </c>
      <c r="H381" s="8">
        <v>45.0</v>
      </c>
      <c r="I381" s="5">
        <v>0.03803240740740741</v>
      </c>
    </row>
    <row r="382">
      <c r="A382" s="3">
        <v>381.0</v>
      </c>
      <c r="B382" s="5">
        <v>0.03820601851851852</v>
      </c>
      <c r="C382" s="7" t="s">
        <v>457</v>
      </c>
      <c r="D382" s="8" t="s">
        <v>80</v>
      </c>
      <c r="E382" s="8" t="s">
        <v>198</v>
      </c>
      <c r="F382" s="10" t="s">
        <v>129</v>
      </c>
      <c r="G382" s="8">
        <v>112.0</v>
      </c>
      <c r="H382" s="8">
        <v>22.0</v>
      </c>
      <c r="I382" s="5">
        <v>0.03803240740740741</v>
      </c>
    </row>
    <row r="383">
      <c r="A383" s="3">
        <v>382.0</v>
      </c>
      <c r="B383" s="5">
        <v>0.03826388888888889</v>
      </c>
      <c r="C383" s="7" t="s">
        <v>458</v>
      </c>
      <c r="D383" s="8" t="s">
        <v>80</v>
      </c>
      <c r="E383" s="8" t="s">
        <v>173</v>
      </c>
      <c r="F383" s="10" t="s">
        <v>53</v>
      </c>
      <c r="G383" s="8">
        <v>113.0</v>
      </c>
      <c r="H383" s="8">
        <v>13.0</v>
      </c>
      <c r="I383" s="5">
        <v>0.03777777777777778</v>
      </c>
    </row>
    <row r="384">
      <c r="A384" s="3">
        <v>383.0</v>
      </c>
      <c r="B384" s="5">
        <v>0.038287037037037036</v>
      </c>
      <c r="C384" s="7" t="s">
        <v>459</v>
      </c>
      <c r="D384" s="8" t="s">
        <v>80</v>
      </c>
      <c r="E384" s="8" t="s">
        <v>81</v>
      </c>
      <c r="F384" s="10" t="s">
        <v>57</v>
      </c>
      <c r="G384" s="8">
        <v>114.0</v>
      </c>
      <c r="H384" s="8">
        <v>33.0</v>
      </c>
      <c r="I384" s="5">
        <v>0.03805555555555556</v>
      </c>
    </row>
    <row r="385">
      <c r="A385" s="3">
        <v>384.0</v>
      </c>
      <c r="B385" s="5">
        <v>0.03833333333333333</v>
      </c>
      <c r="C385" s="7" t="s">
        <v>460</v>
      </c>
      <c r="D385" s="8" t="s">
        <v>80</v>
      </c>
      <c r="E385" s="8" t="s">
        <v>228</v>
      </c>
      <c r="F385" s="10" t="s">
        <v>112</v>
      </c>
      <c r="G385" s="8">
        <v>115.0</v>
      </c>
      <c r="H385" s="8">
        <v>7.0</v>
      </c>
      <c r="I385" s="5">
        <v>0.03792824074074074</v>
      </c>
    </row>
    <row r="386">
      <c r="A386" s="3">
        <v>385.0</v>
      </c>
      <c r="B386" s="5">
        <v>0.038391203703703705</v>
      </c>
      <c r="C386" s="7" t="s">
        <v>461</v>
      </c>
      <c r="D386" s="8" t="s">
        <v>80</v>
      </c>
      <c r="E386" s="8" t="s">
        <v>173</v>
      </c>
      <c r="F386" s="10" t="s">
        <v>40</v>
      </c>
      <c r="G386" s="8">
        <v>116.0</v>
      </c>
      <c r="H386" s="8">
        <v>14.0</v>
      </c>
      <c r="I386" s="5">
        <v>0.03819444444444445</v>
      </c>
    </row>
    <row r="387">
      <c r="A387" s="3">
        <v>386.0</v>
      </c>
      <c r="B387" s="5">
        <v>0.0384375</v>
      </c>
      <c r="C387" s="7" t="s">
        <v>462</v>
      </c>
      <c r="D387" s="8" t="s">
        <v>12</v>
      </c>
      <c r="E387" s="8" t="s">
        <v>122</v>
      </c>
      <c r="F387" s="10" t="s">
        <v>57</v>
      </c>
      <c r="G387" s="8">
        <v>270.0</v>
      </c>
      <c r="H387" s="8">
        <v>29.0</v>
      </c>
      <c r="I387" s="5">
        <v>0.03818287037037037</v>
      </c>
    </row>
    <row r="388">
      <c r="A388" s="3">
        <v>387.0</v>
      </c>
      <c r="B388" s="5">
        <v>0.03850694444444445</v>
      </c>
      <c r="C388" s="7" t="s">
        <v>463</v>
      </c>
      <c r="D388" s="8" t="s">
        <v>12</v>
      </c>
      <c r="E388" s="8" t="s">
        <v>237</v>
      </c>
      <c r="F388" s="10" t="s">
        <v>40</v>
      </c>
      <c r="G388" s="8">
        <v>271.0</v>
      </c>
      <c r="H388" s="8">
        <v>11.0</v>
      </c>
      <c r="I388" s="5">
        <v>0.038125</v>
      </c>
    </row>
    <row r="389">
      <c r="A389" s="3">
        <v>388.0</v>
      </c>
      <c r="B389" s="5">
        <v>0.038622685185185184</v>
      </c>
      <c r="C389" s="7" t="s">
        <v>464</v>
      </c>
      <c r="D389" s="8" t="s">
        <v>80</v>
      </c>
      <c r="E389" s="8" t="s">
        <v>198</v>
      </c>
      <c r="F389" s="10" t="s">
        <v>40</v>
      </c>
      <c r="G389" s="8">
        <v>117.0</v>
      </c>
      <c r="H389" s="8">
        <v>23.0</v>
      </c>
      <c r="I389" s="5">
        <v>0.038356481481481484</v>
      </c>
    </row>
    <row r="390">
      <c r="A390" s="3">
        <v>389.0</v>
      </c>
      <c r="B390" s="5">
        <v>0.038668981481481485</v>
      </c>
      <c r="C390" s="7" t="s">
        <v>465</v>
      </c>
      <c r="D390" s="8" t="s">
        <v>12</v>
      </c>
      <c r="E390" s="8" t="s">
        <v>49</v>
      </c>
      <c r="F390" s="10" t="s">
        <v>175</v>
      </c>
      <c r="G390" s="8">
        <v>272.0</v>
      </c>
      <c r="H390" s="8">
        <v>33.0</v>
      </c>
      <c r="I390" s="5">
        <v>0.03836805555555556</v>
      </c>
    </row>
    <row r="391">
      <c r="A391" s="3">
        <v>390.0</v>
      </c>
      <c r="B391" s="5">
        <v>0.03871527777777778</v>
      </c>
      <c r="C391" s="7" t="s">
        <v>466</v>
      </c>
      <c r="D391" s="8" t="s">
        <v>80</v>
      </c>
      <c r="E391" s="8" t="s">
        <v>81</v>
      </c>
      <c r="F391" s="10" t="s">
        <v>166</v>
      </c>
      <c r="G391" s="8">
        <v>118.0</v>
      </c>
      <c r="H391" s="8">
        <v>34.0</v>
      </c>
      <c r="I391" s="5">
        <v>0.038344907407407404</v>
      </c>
    </row>
    <row r="392">
      <c r="A392" s="3">
        <v>391.0</v>
      </c>
      <c r="B392" s="5">
        <v>0.038796296296296294</v>
      </c>
      <c r="C392" s="7" t="s">
        <v>467</v>
      </c>
      <c r="D392" s="8" t="s">
        <v>80</v>
      </c>
      <c r="E392" s="8" t="s">
        <v>247</v>
      </c>
      <c r="F392" s="12" t="s">
        <v>21</v>
      </c>
      <c r="G392" s="8">
        <v>119.0</v>
      </c>
      <c r="H392" s="8">
        <v>17.0</v>
      </c>
      <c r="I392" s="5">
        <v>0.038530092592592595</v>
      </c>
    </row>
    <row r="393">
      <c r="A393" s="3">
        <v>392.0</v>
      </c>
      <c r="B393" s="5">
        <v>0.03880787037037037</v>
      </c>
      <c r="C393" s="7" t="s">
        <v>468</v>
      </c>
      <c r="D393" s="8" t="s">
        <v>80</v>
      </c>
      <c r="E393" s="8" t="s">
        <v>198</v>
      </c>
      <c r="F393" s="10" t="s">
        <v>132</v>
      </c>
      <c r="G393" s="8">
        <v>120.0</v>
      </c>
      <c r="H393" s="8">
        <v>24.0</v>
      </c>
      <c r="I393" s="5">
        <v>0.038425925925925926</v>
      </c>
    </row>
    <row r="394">
      <c r="A394" s="3">
        <v>393.0</v>
      </c>
      <c r="B394" s="5">
        <v>0.03891203703703704</v>
      </c>
      <c r="C394" s="7" t="s">
        <v>469</v>
      </c>
      <c r="D394" s="8" t="s">
        <v>80</v>
      </c>
      <c r="E394" s="8" t="s">
        <v>247</v>
      </c>
      <c r="F394" s="10" t="s">
        <v>112</v>
      </c>
      <c r="G394" s="8">
        <v>121.0</v>
      </c>
      <c r="H394" s="8">
        <v>18.0</v>
      </c>
      <c r="I394" s="5">
        <v>0.03846064814814815</v>
      </c>
    </row>
    <row r="395">
      <c r="A395" s="3">
        <v>394.0</v>
      </c>
      <c r="B395" s="5">
        <v>0.03894675925925926</v>
      </c>
      <c r="C395" s="7" t="s">
        <v>470</v>
      </c>
      <c r="D395" s="8" t="s">
        <v>12</v>
      </c>
      <c r="E395" s="8" t="s">
        <v>122</v>
      </c>
      <c r="F395" s="10" t="s">
        <v>42</v>
      </c>
      <c r="G395" s="8">
        <v>273.0</v>
      </c>
      <c r="H395" s="8">
        <v>30.0</v>
      </c>
      <c r="I395" s="5">
        <v>0.03863425925925926</v>
      </c>
    </row>
    <row r="396">
      <c r="A396" s="3">
        <v>395.0</v>
      </c>
      <c r="B396" s="5">
        <v>0.039016203703703706</v>
      </c>
      <c r="C396" s="7" t="s">
        <v>471</v>
      </c>
      <c r="D396" s="8" t="s">
        <v>80</v>
      </c>
      <c r="E396" s="8" t="s">
        <v>247</v>
      </c>
      <c r="F396" s="10" t="s">
        <v>31</v>
      </c>
      <c r="G396" s="8">
        <v>122.0</v>
      </c>
      <c r="H396" s="8">
        <v>19.0</v>
      </c>
      <c r="I396" s="5">
        <v>0.03868055555555556</v>
      </c>
    </row>
    <row r="397">
      <c r="A397" s="3">
        <v>396.0</v>
      </c>
      <c r="B397" s="5">
        <v>0.03902777777777778</v>
      </c>
      <c r="C397" s="7" t="s">
        <v>472</v>
      </c>
      <c r="D397" s="8" t="s">
        <v>80</v>
      </c>
      <c r="E397" s="8" t="s">
        <v>198</v>
      </c>
      <c r="F397" s="10" t="s">
        <v>307</v>
      </c>
      <c r="G397" s="8">
        <v>123.0</v>
      </c>
      <c r="H397" s="8">
        <v>25.0</v>
      </c>
      <c r="I397" s="5">
        <v>0.03876157407407407</v>
      </c>
    </row>
    <row r="398">
      <c r="A398" s="3">
        <v>397.0</v>
      </c>
      <c r="B398" s="5">
        <v>0.03908564814814815</v>
      </c>
      <c r="C398" s="7" t="s">
        <v>473</v>
      </c>
      <c r="D398" s="8" t="s">
        <v>80</v>
      </c>
      <c r="E398" s="8" t="s">
        <v>247</v>
      </c>
      <c r="F398" s="10" t="s">
        <v>110</v>
      </c>
      <c r="G398" s="8">
        <v>124.0</v>
      </c>
      <c r="H398" s="8">
        <v>20.0</v>
      </c>
      <c r="I398" s="5">
        <v>0.038703703703703705</v>
      </c>
    </row>
    <row r="399">
      <c r="A399" s="3">
        <v>398.0</v>
      </c>
      <c r="B399" s="5">
        <v>0.039155092592592596</v>
      </c>
      <c r="C399" s="7" t="s">
        <v>474</v>
      </c>
      <c r="D399" s="8" t="s">
        <v>80</v>
      </c>
      <c r="E399" s="8" t="s">
        <v>247</v>
      </c>
      <c r="F399" s="10" t="s">
        <v>99</v>
      </c>
      <c r="G399" s="8">
        <v>125.0</v>
      </c>
      <c r="H399" s="8">
        <v>21.0</v>
      </c>
      <c r="I399" s="5">
        <v>0.038877314814814816</v>
      </c>
    </row>
    <row r="400">
      <c r="A400" s="3">
        <v>399.0</v>
      </c>
      <c r="B400" s="5">
        <v>0.039155092592592596</v>
      </c>
      <c r="C400" s="7" t="s">
        <v>475</v>
      </c>
      <c r="D400" s="8" t="s">
        <v>80</v>
      </c>
      <c r="E400" s="8" t="s">
        <v>239</v>
      </c>
      <c r="F400" s="10" t="s">
        <v>53</v>
      </c>
      <c r="G400" s="8">
        <v>126.0</v>
      </c>
      <c r="H400" s="8">
        <v>19.0</v>
      </c>
      <c r="I400" s="5">
        <v>0.03869212962962963</v>
      </c>
    </row>
    <row r="401">
      <c r="A401" s="3">
        <v>400.0</v>
      </c>
      <c r="B401" s="5">
        <v>0.03917824074074074</v>
      </c>
      <c r="C401" s="7" t="s">
        <v>476</v>
      </c>
      <c r="D401" s="8" t="s">
        <v>80</v>
      </c>
      <c r="E401" s="8" t="s">
        <v>198</v>
      </c>
      <c r="F401" s="10" t="s">
        <v>53</v>
      </c>
      <c r="G401" s="8">
        <v>127.0</v>
      </c>
      <c r="H401" s="8">
        <v>26.0</v>
      </c>
      <c r="I401" s="5">
        <v>0.038738425925925926</v>
      </c>
    </row>
    <row r="402">
      <c r="A402" s="3">
        <v>401.0</v>
      </c>
      <c r="B402" s="5">
        <v>0.03921296296296296</v>
      </c>
      <c r="C402" s="7" t="s">
        <v>477</v>
      </c>
      <c r="D402" s="8" t="s">
        <v>80</v>
      </c>
      <c r="E402" s="8" t="s">
        <v>81</v>
      </c>
      <c r="F402" s="10" t="s">
        <v>31</v>
      </c>
      <c r="G402" s="8">
        <v>128.0</v>
      </c>
      <c r="H402" s="8">
        <v>35.0</v>
      </c>
      <c r="I402" s="5">
        <v>0.038935185185185184</v>
      </c>
    </row>
    <row r="403">
      <c r="A403" s="3">
        <v>402.0</v>
      </c>
      <c r="B403" s="5">
        <v>0.039247685185185184</v>
      </c>
      <c r="C403" s="7" t="s">
        <v>478</v>
      </c>
      <c r="D403" s="8" t="s">
        <v>80</v>
      </c>
      <c r="E403" s="8" t="s">
        <v>369</v>
      </c>
      <c r="F403" s="10" t="s">
        <v>31</v>
      </c>
      <c r="G403" s="8">
        <v>129.0</v>
      </c>
      <c r="H403" s="8">
        <v>3.0</v>
      </c>
      <c r="I403" s="5">
        <v>0.03899305555555556</v>
      </c>
    </row>
    <row r="404">
      <c r="A404" s="3">
        <v>403.0</v>
      </c>
      <c r="B404" s="5">
        <v>0.03927083333333333</v>
      </c>
      <c r="C404" s="7" t="s">
        <v>479</v>
      </c>
      <c r="D404" s="8" t="s">
        <v>80</v>
      </c>
      <c r="E404" s="8" t="s">
        <v>198</v>
      </c>
      <c r="F404" s="10" t="s">
        <v>42</v>
      </c>
      <c r="G404" s="8">
        <v>130.0</v>
      </c>
      <c r="H404" s="8">
        <v>27.0</v>
      </c>
      <c r="I404" s="5">
        <v>0.038969907407407404</v>
      </c>
    </row>
    <row r="405">
      <c r="A405" s="3">
        <v>404.0</v>
      </c>
      <c r="B405" s="5">
        <v>0.039375</v>
      </c>
      <c r="C405" s="7" t="s">
        <v>480</v>
      </c>
      <c r="D405" s="8" t="s">
        <v>80</v>
      </c>
      <c r="E405" s="8" t="s">
        <v>247</v>
      </c>
      <c r="F405" s="10" t="s">
        <v>101</v>
      </c>
      <c r="G405" s="8">
        <v>131.0</v>
      </c>
      <c r="H405" s="8">
        <v>22.0</v>
      </c>
      <c r="I405" s="5">
        <v>0.03900462962962963</v>
      </c>
    </row>
    <row r="406">
      <c r="A406" s="3">
        <v>405.0</v>
      </c>
      <c r="B406" s="5">
        <v>0.03939814814814815</v>
      </c>
      <c r="C406" s="7" t="s">
        <v>481</v>
      </c>
      <c r="D406" s="8" t="s">
        <v>12</v>
      </c>
      <c r="E406" s="8" t="s">
        <v>115</v>
      </c>
      <c r="F406" s="10" t="s">
        <v>45</v>
      </c>
      <c r="G406" s="8">
        <v>274.0</v>
      </c>
      <c r="H406" s="8">
        <v>18.0</v>
      </c>
      <c r="I406" s="5">
        <v>0.03891203703703704</v>
      </c>
    </row>
    <row r="407">
      <c r="A407" s="3">
        <v>406.0</v>
      </c>
      <c r="B407" s="5">
        <v>0.03943287037037037</v>
      </c>
      <c r="C407" s="7" t="s">
        <v>482</v>
      </c>
      <c r="D407" s="8" t="s">
        <v>12</v>
      </c>
      <c r="E407" s="8" t="s">
        <v>237</v>
      </c>
      <c r="F407" s="10" t="s">
        <v>110</v>
      </c>
      <c r="G407" s="8">
        <v>275.0</v>
      </c>
      <c r="H407" s="8">
        <v>12.0</v>
      </c>
      <c r="I407" s="5">
        <v>0.03899305555555556</v>
      </c>
    </row>
    <row r="408">
      <c r="A408" s="3">
        <v>407.0</v>
      </c>
      <c r="B408" s="5">
        <v>0.03949074074074074</v>
      </c>
      <c r="C408" s="7" t="s">
        <v>483</v>
      </c>
      <c r="D408" s="8" t="s">
        <v>12</v>
      </c>
      <c r="E408" s="8" t="s">
        <v>122</v>
      </c>
      <c r="F408" s="10" t="s">
        <v>307</v>
      </c>
      <c r="G408" s="8">
        <v>276.0</v>
      </c>
      <c r="H408" s="8">
        <v>31.0</v>
      </c>
      <c r="I408" s="5">
        <v>0.039189814814814816</v>
      </c>
    </row>
    <row r="409">
      <c r="A409" s="3">
        <v>408.0</v>
      </c>
      <c r="B409" s="5">
        <v>0.03949074074074074</v>
      </c>
      <c r="C409" s="7" t="s">
        <v>484</v>
      </c>
      <c r="D409" s="8" t="s">
        <v>80</v>
      </c>
      <c r="E409" s="8" t="s">
        <v>228</v>
      </c>
      <c r="F409" s="10" t="s">
        <v>112</v>
      </c>
      <c r="G409" s="8">
        <v>132.0</v>
      </c>
      <c r="H409" s="8">
        <v>8.0</v>
      </c>
      <c r="I409" s="5">
        <v>0.0390625</v>
      </c>
    </row>
    <row r="410">
      <c r="A410" s="3">
        <v>409.0</v>
      </c>
      <c r="B410" s="5">
        <v>0.039502314814814816</v>
      </c>
      <c r="C410" s="7" t="s">
        <v>485</v>
      </c>
      <c r="D410" s="8" t="s">
        <v>80</v>
      </c>
      <c r="E410" s="8" t="s">
        <v>198</v>
      </c>
      <c r="F410" s="10" t="s">
        <v>53</v>
      </c>
      <c r="G410" s="8">
        <v>133.0</v>
      </c>
      <c r="H410" s="8">
        <v>28.0</v>
      </c>
      <c r="I410" s="5">
        <v>0.039074074074074074</v>
      </c>
    </row>
    <row r="411">
      <c r="A411" s="3">
        <v>410.0</v>
      </c>
      <c r="B411" s="5">
        <v>0.039525462962962964</v>
      </c>
      <c r="C411" s="7" t="s">
        <v>486</v>
      </c>
      <c r="D411" s="8" t="s">
        <v>80</v>
      </c>
      <c r="E411" s="8" t="s">
        <v>81</v>
      </c>
      <c r="F411" s="12" t="s">
        <v>21</v>
      </c>
      <c r="G411" s="8">
        <v>134.0</v>
      </c>
      <c r="H411" s="8">
        <v>36.0</v>
      </c>
      <c r="I411" s="5">
        <v>0.039189814814814816</v>
      </c>
    </row>
    <row r="412">
      <c r="A412" s="3">
        <v>411.0</v>
      </c>
      <c r="B412" s="5">
        <v>0.03961805555555555</v>
      </c>
      <c r="C412" s="7" t="s">
        <v>487</v>
      </c>
      <c r="D412" s="8" t="s">
        <v>80</v>
      </c>
      <c r="E412" s="8" t="s">
        <v>81</v>
      </c>
      <c r="F412" s="10" t="s">
        <v>45</v>
      </c>
      <c r="G412" s="8">
        <v>135.0</v>
      </c>
      <c r="H412" s="8">
        <v>37.0</v>
      </c>
      <c r="I412" s="5">
        <v>0.03930555555555556</v>
      </c>
    </row>
    <row r="413">
      <c r="A413" s="3">
        <v>412.0</v>
      </c>
      <c r="B413" s="5">
        <v>0.03965277777777778</v>
      </c>
      <c r="C413" s="7" t="s">
        <v>488</v>
      </c>
      <c r="D413" s="8" t="s">
        <v>12</v>
      </c>
      <c r="E413" s="8" t="s">
        <v>95</v>
      </c>
      <c r="F413" s="10" t="s">
        <v>166</v>
      </c>
      <c r="G413" s="8">
        <v>277.0</v>
      </c>
      <c r="H413" s="8">
        <v>46.0</v>
      </c>
      <c r="I413" s="5">
        <v>0.03931712962962963</v>
      </c>
    </row>
    <row r="414">
      <c r="A414" s="3">
        <v>413.0</v>
      </c>
      <c r="B414" s="5">
        <v>0.03975694444444444</v>
      </c>
      <c r="C414" s="7" t="s">
        <v>489</v>
      </c>
      <c r="D414" s="8" t="s">
        <v>12</v>
      </c>
      <c r="E414" s="8" t="s">
        <v>115</v>
      </c>
      <c r="F414" s="10" t="s">
        <v>57</v>
      </c>
      <c r="G414" s="8">
        <v>278.0</v>
      </c>
      <c r="H414" s="8">
        <v>19.0</v>
      </c>
      <c r="I414" s="5">
        <v>0.039247685185185184</v>
      </c>
    </row>
    <row r="415">
      <c r="A415" s="3">
        <v>414.0</v>
      </c>
      <c r="B415" s="5">
        <v>0.039872685185185185</v>
      </c>
      <c r="C415" s="7" t="s">
        <v>490</v>
      </c>
      <c r="D415" s="8" t="s">
        <v>80</v>
      </c>
      <c r="E415" s="8" t="s">
        <v>239</v>
      </c>
      <c r="F415" s="10" t="s">
        <v>31</v>
      </c>
      <c r="G415" s="8">
        <v>136.0</v>
      </c>
      <c r="H415" s="8">
        <v>20.0</v>
      </c>
      <c r="I415" s="5">
        <v>0.039560185185185184</v>
      </c>
    </row>
    <row r="416">
      <c r="A416" s="3">
        <v>415.0</v>
      </c>
      <c r="B416" s="5">
        <v>0.03993055555555555</v>
      </c>
      <c r="C416" s="7" t="s">
        <v>491</v>
      </c>
      <c r="D416" s="8" t="s">
        <v>80</v>
      </c>
      <c r="E416" s="8" t="s">
        <v>81</v>
      </c>
      <c r="F416" s="10" t="s">
        <v>112</v>
      </c>
      <c r="G416" s="8">
        <v>137.0</v>
      </c>
      <c r="H416" s="8">
        <v>38.0</v>
      </c>
      <c r="I416" s="5">
        <v>0.039467592592592596</v>
      </c>
    </row>
    <row r="417">
      <c r="A417" s="3">
        <v>416.0</v>
      </c>
      <c r="B417" s="5">
        <v>0.04</v>
      </c>
      <c r="C417" s="7" t="s">
        <v>492</v>
      </c>
      <c r="D417" s="8" t="s">
        <v>80</v>
      </c>
      <c r="E417" s="8" t="s">
        <v>239</v>
      </c>
      <c r="F417" s="10" t="s">
        <v>112</v>
      </c>
      <c r="G417" s="8">
        <v>138.0</v>
      </c>
      <c r="H417" s="8">
        <v>21.0</v>
      </c>
      <c r="I417" s="5">
        <v>0.039560185185185184</v>
      </c>
    </row>
    <row r="418">
      <c r="A418" s="3">
        <v>417.0</v>
      </c>
      <c r="B418" s="5">
        <v>0.04002314814814815</v>
      </c>
      <c r="C418" s="7" t="s">
        <v>76</v>
      </c>
      <c r="D418" s="8" t="s">
        <v>80</v>
      </c>
      <c r="E418" s="8" t="s">
        <v>173</v>
      </c>
      <c r="F418" s="12" t="s">
        <v>21</v>
      </c>
      <c r="G418" s="8">
        <v>139.0</v>
      </c>
      <c r="H418" s="8">
        <v>15.0</v>
      </c>
      <c r="I418" s="5">
        <v>0.03960648148148148</v>
      </c>
    </row>
    <row r="419">
      <c r="A419" s="3">
        <v>418.0</v>
      </c>
      <c r="B419" s="5">
        <v>0.04002314814814815</v>
      </c>
      <c r="C419" s="7" t="s">
        <v>493</v>
      </c>
      <c r="D419" s="8" t="s">
        <v>80</v>
      </c>
      <c r="E419" s="8" t="s">
        <v>198</v>
      </c>
      <c r="F419" s="10" t="s">
        <v>112</v>
      </c>
      <c r="G419" s="8">
        <v>140.0</v>
      </c>
      <c r="H419" s="8">
        <v>29.0</v>
      </c>
      <c r="I419" s="5">
        <v>0.03962962962962963</v>
      </c>
    </row>
    <row r="420">
      <c r="A420" s="3">
        <v>419.0</v>
      </c>
      <c r="B420" s="5">
        <v>0.04006944444444444</v>
      </c>
      <c r="C420" s="7" t="s">
        <v>494</v>
      </c>
      <c r="D420" s="8" t="s">
        <v>80</v>
      </c>
      <c r="E420" s="8" t="s">
        <v>239</v>
      </c>
      <c r="F420" s="10" t="s">
        <v>112</v>
      </c>
      <c r="G420" s="8">
        <v>141.0</v>
      </c>
      <c r="H420" s="8">
        <v>22.0</v>
      </c>
      <c r="I420" s="5">
        <v>0.03962962962962963</v>
      </c>
    </row>
    <row r="421">
      <c r="A421" s="3">
        <v>420.0</v>
      </c>
      <c r="B421" s="5">
        <v>0.04009259259259259</v>
      </c>
      <c r="C421" s="7" t="s">
        <v>495</v>
      </c>
      <c r="D421" s="8" t="s">
        <v>12</v>
      </c>
      <c r="E421" s="8" t="s">
        <v>322</v>
      </c>
      <c r="F421" s="10" t="s">
        <v>45</v>
      </c>
      <c r="G421" s="8">
        <v>279.0</v>
      </c>
      <c r="H421" s="8">
        <v>4.0</v>
      </c>
      <c r="I421" s="5">
        <v>0.03965277777777778</v>
      </c>
    </row>
    <row r="422">
      <c r="A422" s="3">
        <v>421.0</v>
      </c>
      <c r="B422" s="5">
        <v>0.04030092592592593</v>
      </c>
      <c r="C422" s="7" t="s">
        <v>496</v>
      </c>
      <c r="D422" s="8" t="s">
        <v>80</v>
      </c>
      <c r="E422" s="8" t="s">
        <v>247</v>
      </c>
      <c r="F422" s="10" t="s">
        <v>166</v>
      </c>
      <c r="G422" s="8">
        <v>142.0</v>
      </c>
      <c r="H422" s="8">
        <v>23.0</v>
      </c>
      <c r="I422" s="5">
        <v>0.03993055555555555</v>
      </c>
    </row>
    <row r="423">
      <c r="A423" s="3">
        <v>422.0</v>
      </c>
      <c r="B423" s="5">
        <v>0.04030092592592593</v>
      </c>
      <c r="C423" s="7" t="s">
        <v>497</v>
      </c>
      <c r="D423" s="8" t="s">
        <v>80</v>
      </c>
      <c r="E423" s="8" t="s">
        <v>173</v>
      </c>
      <c r="F423" s="10" t="s">
        <v>132</v>
      </c>
      <c r="G423" s="8">
        <v>143.0</v>
      </c>
      <c r="H423" s="8">
        <v>16.0</v>
      </c>
      <c r="I423" s="5">
        <v>0.03991898148148148</v>
      </c>
    </row>
    <row r="424">
      <c r="A424" s="3">
        <v>423.0</v>
      </c>
      <c r="B424" s="5">
        <v>0.04037037037037037</v>
      </c>
      <c r="C424" s="7" t="s">
        <v>498</v>
      </c>
      <c r="D424" s="8" t="s">
        <v>80</v>
      </c>
      <c r="E424" s="8" t="s">
        <v>369</v>
      </c>
      <c r="F424" s="10" t="s">
        <v>31</v>
      </c>
      <c r="G424" s="8">
        <v>144.0</v>
      </c>
      <c r="H424" s="8">
        <v>4.0</v>
      </c>
      <c r="I424" s="5">
        <v>0.040081018518518516</v>
      </c>
    </row>
    <row r="425">
      <c r="A425" s="3">
        <v>424.0</v>
      </c>
      <c r="B425" s="5">
        <v>0.04038194444444444</v>
      </c>
      <c r="C425" s="7" t="s">
        <v>499</v>
      </c>
      <c r="D425" s="8" t="s">
        <v>12</v>
      </c>
      <c r="E425" s="8" t="s">
        <v>14</v>
      </c>
      <c r="F425" s="10" t="s">
        <v>57</v>
      </c>
      <c r="G425" s="8">
        <v>280.0</v>
      </c>
      <c r="H425" s="8">
        <v>89.0</v>
      </c>
      <c r="I425" s="5">
        <v>0.040150462962962964</v>
      </c>
    </row>
    <row r="426">
      <c r="A426" s="3">
        <v>425.0</v>
      </c>
      <c r="B426" s="5">
        <v>0.04050925925925926</v>
      </c>
      <c r="C426" s="7" t="s">
        <v>500</v>
      </c>
      <c r="D426" s="8" t="s">
        <v>80</v>
      </c>
      <c r="E426" s="8" t="s">
        <v>198</v>
      </c>
      <c r="F426" s="10" t="s">
        <v>40</v>
      </c>
      <c r="G426" s="8">
        <v>145.0</v>
      </c>
      <c r="H426" s="8">
        <v>30.0</v>
      </c>
      <c r="I426" s="5">
        <v>0.04013888888888889</v>
      </c>
    </row>
    <row r="427">
      <c r="A427" s="3">
        <v>426.0</v>
      </c>
      <c r="B427" s="5">
        <v>0.04052083333333333</v>
      </c>
      <c r="C427" s="7" t="s">
        <v>501</v>
      </c>
      <c r="D427" s="8" t="s">
        <v>80</v>
      </c>
      <c r="E427" s="8" t="s">
        <v>247</v>
      </c>
      <c r="F427" s="10" t="s">
        <v>101</v>
      </c>
      <c r="G427" s="8">
        <v>146.0</v>
      </c>
      <c r="H427" s="8">
        <v>24.0</v>
      </c>
      <c r="I427" s="5">
        <v>0.04019675925925926</v>
      </c>
    </row>
    <row r="428">
      <c r="A428" s="3">
        <v>427.0</v>
      </c>
      <c r="B428" s="5">
        <v>0.04055555555555555</v>
      </c>
      <c r="C428" s="7" t="s">
        <v>502</v>
      </c>
      <c r="D428" s="8" t="s">
        <v>12</v>
      </c>
      <c r="E428" s="8" t="s">
        <v>237</v>
      </c>
      <c r="F428" s="10" t="s">
        <v>307</v>
      </c>
      <c r="G428" s="8">
        <v>281.0</v>
      </c>
      <c r="H428" s="8">
        <v>13.0</v>
      </c>
      <c r="I428" s="5">
        <v>0.04024305555555555</v>
      </c>
    </row>
    <row r="429">
      <c r="A429" s="3">
        <v>428.0</v>
      </c>
      <c r="B429" s="5">
        <v>0.04057870370370371</v>
      </c>
      <c r="C429" s="7" t="s">
        <v>503</v>
      </c>
      <c r="D429" s="8" t="s">
        <v>80</v>
      </c>
      <c r="E429" s="8" t="s">
        <v>239</v>
      </c>
      <c r="F429" s="10" t="s">
        <v>101</v>
      </c>
      <c r="G429" s="8">
        <v>147.0</v>
      </c>
      <c r="H429" s="8">
        <v>23.0</v>
      </c>
      <c r="I429" s="5">
        <v>0.040289351851851854</v>
      </c>
    </row>
    <row r="430">
      <c r="A430" s="3">
        <v>429.0</v>
      </c>
      <c r="B430" s="5">
        <v>0.04059027777777778</v>
      </c>
      <c r="C430" s="7" t="s">
        <v>504</v>
      </c>
      <c r="D430" s="8" t="s">
        <v>80</v>
      </c>
      <c r="E430" s="8" t="s">
        <v>173</v>
      </c>
      <c r="F430" s="10" t="s">
        <v>59</v>
      </c>
      <c r="G430" s="8">
        <v>148.0</v>
      </c>
      <c r="H430" s="8">
        <v>17.0</v>
      </c>
      <c r="I430" s="5">
        <v>0.04019675925925926</v>
      </c>
    </row>
    <row r="431">
      <c r="A431" s="3">
        <v>430.0</v>
      </c>
      <c r="B431" s="5">
        <v>0.04065972222222222</v>
      </c>
      <c r="C431" s="7" t="s">
        <v>505</v>
      </c>
      <c r="D431" s="8" t="s">
        <v>80</v>
      </c>
      <c r="E431" s="8" t="s">
        <v>81</v>
      </c>
      <c r="F431" s="10" t="s">
        <v>53</v>
      </c>
      <c r="G431" s="8">
        <v>149.0</v>
      </c>
      <c r="H431" s="8">
        <v>39.0</v>
      </c>
      <c r="I431" s="5">
        <v>0.04024305555555555</v>
      </c>
    </row>
    <row r="432">
      <c r="A432" s="3">
        <v>431.0</v>
      </c>
      <c r="B432" s="5">
        <v>0.04085648148148148</v>
      </c>
      <c r="C432" s="7" t="s">
        <v>506</v>
      </c>
      <c r="D432" s="8" t="s">
        <v>12</v>
      </c>
      <c r="E432" s="8" t="s">
        <v>507</v>
      </c>
      <c r="F432" s="10" t="s">
        <v>57</v>
      </c>
      <c r="G432" s="8">
        <v>282.0</v>
      </c>
      <c r="H432" s="8">
        <v>1.0</v>
      </c>
      <c r="I432" s="5">
        <v>0.04047453703703704</v>
      </c>
    </row>
    <row r="433">
      <c r="A433" s="3">
        <v>432.0</v>
      </c>
      <c r="B433" s="5">
        <v>0.04085648148148148</v>
      </c>
      <c r="C433" s="7" t="s">
        <v>508</v>
      </c>
      <c r="D433" s="8" t="s">
        <v>12</v>
      </c>
      <c r="E433" s="8" t="s">
        <v>122</v>
      </c>
      <c r="F433" s="10" t="s">
        <v>53</v>
      </c>
      <c r="G433" s="8">
        <v>283.0</v>
      </c>
      <c r="H433" s="8">
        <v>32.0</v>
      </c>
      <c r="I433" s="5">
        <v>0.04037037037037037</v>
      </c>
    </row>
    <row r="434">
      <c r="A434" s="3">
        <v>433.0</v>
      </c>
      <c r="B434" s="5">
        <v>0.04085648148148148</v>
      </c>
      <c r="C434" s="7" t="s">
        <v>509</v>
      </c>
      <c r="D434" s="8" t="s">
        <v>80</v>
      </c>
      <c r="E434" s="8" t="s">
        <v>173</v>
      </c>
      <c r="F434" s="10" t="s">
        <v>161</v>
      </c>
      <c r="G434" s="8">
        <v>150.0</v>
      </c>
      <c r="H434" s="8">
        <v>18.0</v>
      </c>
      <c r="I434" s="5">
        <v>0.04048611111111111</v>
      </c>
    </row>
    <row r="435">
      <c r="A435" s="3">
        <v>434.0</v>
      </c>
      <c r="B435" s="5">
        <v>0.040949074074074075</v>
      </c>
      <c r="C435" s="7" t="s">
        <v>510</v>
      </c>
      <c r="D435" s="8" t="s">
        <v>80</v>
      </c>
      <c r="E435" s="8" t="s">
        <v>173</v>
      </c>
      <c r="F435" s="10" t="s">
        <v>161</v>
      </c>
      <c r="G435" s="8">
        <v>151.0</v>
      </c>
      <c r="H435" s="8">
        <v>19.0</v>
      </c>
      <c r="I435" s="5">
        <v>0.04048611111111111</v>
      </c>
    </row>
    <row r="436">
      <c r="A436" s="3">
        <v>435.0</v>
      </c>
      <c r="B436" s="5">
        <v>0.04099537037037037</v>
      </c>
      <c r="C436" s="7" t="s">
        <v>86</v>
      </c>
      <c r="D436" s="8" t="s">
        <v>80</v>
      </c>
      <c r="E436" s="8" t="s">
        <v>247</v>
      </c>
      <c r="F436" s="12" t="s">
        <v>21</v>
      </c>
      <c r="G436" s="8">
        <v>152.0</v>
      </c>
      <c r="H436" s="8">
        <v>25.0</v>
      </c>
      <c r="I436" s="5">
        <v>0.04065972222222222</v>
      </c>
    </row>
    <row r="437">
      <c r="A437" s="3">
        <v>436.0</v>
      </c>
      <c r="B437" s="5">
        <v>0.04100694444444444</v>
      </c>
      <c r="C437" s="7" t="s">
        <v>511</v>
      </c>
      <c r="D437" s="8" t="s">
        <v>80</v>
      </c>
      <c r="E437" s="8" t="s">
        <v>239</v>
      </c>
      <c r="F437" s="10" t="s">
        <v>59</v>
      </c>
      <c r="G437" s="8">
        <v>153.0</v>
      </c>
      <c r="H437" s="8">
        <v>24.0</v>
      </c>
      <c r="I437" s="5">
        <v>0.04061342592592593</v>
      </c>
    </row>
    <row r="438">
      <c r="A438" s="3">
        <v>437.0</v>
      </c>
      <c r="B438" s="5">
        <v>0.04103009259259259</v>
      </c>
      <c r="C438" s="7" t="s">
        <v>512</v>
      </c>
      <c r="D438" s="8" t="s">
        <v>12</v>
      </c>
      <c r="E438" s="8" t="s">
        <v>49</v>
      </c>
      <c r="F438" s="12" t="s">
        <v>21</v>
      </c>
      <c r="G438" s="8">
        <v>284.0</v>
      </c>
      <c r="H438" s="8">
        <v>34.0</v>
      </c>
      <c r="I438" s="5">
        <v>0.04061342592592593</v>
      </c>
    </row>
    <row r="439">
      <c r="A439" s="3">
        <v>438.0</v>
      </c>
      <c r="B439" s="5">
        <v>0.04106481481481482</v>
      </c>
      <c r="C439" s="7" t="s">
        <v>513</v>
      </c>
      <c r="D439" s="8" t="s">
        <v>80</v>
      </c>
      <c r="E439" s="8" t="s">
        <v>81</v>
      </c>
      <c r="F439" s="10" t="s">
        <v>101</v>
      </c>
      <c r="G439" s="8">
        <v>154.0</v>
      </c>
      <c r="H439" s="8">
        <v>40.0</v>
      </c>
      <c r="I439" s="5">
        <v>0.04075231481481482</v>
      </c>
    </row>
    <row r="440">
      <c r="A440" s="3">
        <v>439.0</v>
      </c>
      <c r="B440" s="5">
        <v>0.04114583333333333</v>
      </c>
      <c r="C440" s="7" t="s">
        <v>514</v>
      </c>
      <c r="D440" s="8" t="s">
        <v>80</v>
      </c>
      <c r="E440" s="8" t="s">
        <v>119</v>
      </c>
      <c r="F440" s="10" t="s">
        <v>53</v>
      </c>
      <c r="G440" s="8">
        <v>155.0</v>
      </c>
      <c r="H440" s="8">
        <v>5.0</v>
      </c>
      <c r="I440" s="5">
        <v>0.04071759259259259</v>
      </c>
    </row>
    <row r="441">
      <c r="A441" s="3">
        <v>440.0</v>
      </c>
      <c r="B441" s="5">
        <v>0.041157407407407406</v>
      </c>
      <c r="C441" s="7" t="s">
        <v>515</v>
      </c>
      <c r="D441" s="8" t="s">
        <v>80</v>
      </c>
      <c r="E441" s="8" t="s">
        <v>247</v>
      </c>
      <c r="F441" s="10" t="s">
        <v>132</v>
      </c>
      <c r="G441" s="8">
        <v>156.0</v>
      </c>
      <c r="H441" s="8">
        <v>26.0</v>
      </c>
      <c r="I441" s="5">
        <v>0.040775462962962965</v>
      </c>
    </row>
    <row r="442">
      <c r="A442" s="3">
        <v>441.0</v>
      </c>
      <c r="B442" s="5">
        <v>0.04123842592592593</v>
      </c>
      <c r="C442" s="7" t="s">
        <v>516</v>
      </c>
      <c r="D442" s="8" t="s">
        <v>80</v>
      </c>
      <c r="E442" s="8" t="s">
        <v>81</v>
      </c>
      <c r="F442" s="10" t="s">
        <v>307</v>
      </c>
      <c r="G442" s="8">
        <v>157.0</v>
      </c>
      <c r="H442" s="8">
        <v>41.0</v>
      </c>
      <c r="I442" s="5">
        <v>0.0409375</v>
      </c>
    </row>
    <row r="443">
      <c r="A443" s="3">
        <v>442.0</v>
      </c>
      <c r="B443" s="5">
        <v>0.04128472222222222</v>
      </c>
      <c r="C443" s="7" t="s">
        <v>517</v>
      </c>
      <c r="D443" s="8" t="s">
        <v>80</v>
      </c>
      <c r="E443" s="8" t="s">
        <v>239</v>
      </c>
      <c r="F443" s="10" t="s">
        <v>31</v>
      </c>
      <c r="G443" s="8">
        <v>158.0</v>
      </c>
      <c r="H443" s="8">
        <v>25.0</v>
      </c>
      <c r="I443" s="5">
        <v>0.040949074074074075</v>
      </c>
    </row>
    <row r="444">
      <c r="A444" s="3">
        <v>443.0</v>
      </c>
      <c r="B444" s="5">
        <v>0.041296296296296296</v>
      </c>
      <c r="C444" s="7" t="s">
        <v>518</v>
      </c>
      <c r="D444" s="8" t="s">
        <v>80</v>
      </c>
      <c r="E444" s="8" t="s">
        <v>198</v>
      </c>
      <c r="F444" s="12" t="s">
        <v>21</v>
      </c>
      <c r="G444" s="8">
        <v>159.0</v>
      </c>
      <c r="H444" s="8">
        <v>31.0</v>
      </c>
      <c r="I444" s="5">
        <v>0.0408912037037037</v>
      </c>
    </row>
    <row r="445">
      <c r="A445" s="3">
        <v>444.0</v>
      </c>
      <c r="B445" s="5">
        <v>0.041296296296296296</v>
      </c>
      <c r="C445" s="7" t="s">
        <v>519</v>
      </c>
      <c r="D445" s="8" t="s">
        <v>80</v>
      </c>
      <c r="E445" s="8" t="s">
        <v>239</v>
      </c>
      <c r="F445" s="10" t="s">
        <v>139</v>
      </c>
      <c r="G445" s="8">
        <v>160.0</v>
      </c>
      <c r="H445" s="8">
        <v>26.0</v>
      </c>
      <c r="I445" s="5">
        <v>0.04078703703703704</v>
      </c>
    </row>
    <row r="446">
      <c r="A446" s="3">
        <v>445.0</v>
      </c>
      <c r="B446" s="5">
        <v>0.04133101851851852</v>
      </c>
      <c r="C446" s="7" t="s">
        <v>520</v>
      </c>
      <c r="D446" s="8" t="s">
        <v>12</v>
      </c>
      <c r="E446" s="8" t="s">
        <v>49</v>
      </c>
      <c r="F446" s="12" t="s">
        <v>21</v>
      </c>
      <c r="G446" s="8">
        <v>285.0</v>
      </c>
      <c r="H446" s="8">
        <v>35.0</v>
      </c>
      <c r="I446" s="5">
        <v>0.04113425925925926</v>
      </c>
    </row>
    <row r="447">
      <c r="A447" s="3">
        <v>446.0</v>
      </c>
      <c r="B447" s="5">
        <v>0.04136574074074074</v>
      </c>
      <c r="C447" s="7" t="s">
        <v>521</v>
      </c>
      <c r="D447" s="8" t="s">
        <v>12</v>
      </c>
      <c r="E447" s="8" t="s">
        <v>122</v>
      </c>
      <c r="F447" s="10" t="s">
        <v>166</v>
      </c>
      <c r="G447" s="8">
        <v>286.0</v>
      </c>
      <c r="H447" s="8">
        <v>33.0</v>
      </c>
      <c r="I447" s="5">
        <v>0.04086805555555555</v>
      </c>
    </row>
    <row r="448">
      <c r="A448" s="3">
        <v>447.0</v>
      </c>
      <c r="B448" s="5">
        <v>0.04144675925925926</v>
      </c>
      <c r="C448" s="7" t="s">
        <v>522</v>
      </c>
      <c r="D448" s="8" t="s">
        <v>80</v>
      </c>
      <c r="E448" s="8" t="s">
        <v>198</v>
      </c>
      <c r="F448" s="10" t="s">
        <v>112</v>
      </c>
      <c r="G448" s="8">
        <v>161.0</v>
      </c>
      <c r="H448" s="8">
        <v>32.0</v>
      </c>
      <c r="I448" s="5">
        <v>0.04099537037037037</v>
      </c>
    </row>
    <row r="449">
      <c r="A449" s="3">
        <v>448.0</v>
      </c>
      <c r="B449" s="5">
        <v>0.04146990740740741</v>
      </c>
      <c r="C449" s="7" t="s">
        <v>523</v>
      </c>
      <c r="D449" s="8" t="s">
        <v>80</v>
      </c>
      <c r="E449" s="8" t="s">
        <v>198</v>
      </c>
      <c r="F449" s="10" t="s">
        <v>31</v>
      </c>
      <c r="G449" s="8">
        <v>162.0</v>
      </c>
      <c r="H449" s="8">
        <v>33.0</v>
      </c>
      <c r="I449" s="5">
        <v>0.04114583333333333</v>
      </c>
    </row>
    <row r="450">
      <c r="A450" s="3">
        <v>449.0</v>
      </c>
      <c r="B450" s="5">
        <v>0.04159722222222222</v>
      </c>
      <c r="C450" s="7" t="s">
        <v>524</v>
      </c>
      <c r="D450" s="8" t="s">
        <v>80</v>
      </c>
      <c r="E450" s="8" t="s">
        <v>247</v>
      </c>
      <c r="F450" s="10" t="s">
        <v>110</v>
      </c>
      <c r="G450" s="8">
        <v>163.0</v>
      </c>
      <c r="H450" s="8">
        <v>27.0</v>
      </c>
      <c r="I450" s="5">
        <v>0.04159722222222222</v>
      </c>
    </row>
    <row r="451">
      <c r="A451" s="3">
        <v>450.0</v>
      </c>
      <c r="B451" s="5">
        <v>0.04165509259259259</v>
      </c>
      <c r="C451" s="7" t="s">
        <v>525</v>
      </c>
      <c r="D451" s="8" t="s">
        <v>80</v>
      </c>
      <c r="E451" s="8" t="s">
        <v>239</v>
      </c>
      <c r="F451" s="10" t="s">
        <v>161</v>
      </c>
      <c r="G451" s="8">
        <v>164.0</v>
      </c>
      <c r="H451" s="8">
        <v>27.0</v>
      </c>
      <c r="I451" s="5">
        <v>0.04119212962962963</v>
      </c>
    </row>
    <row r="452">
      <c r="A452" s="3">
        <v>451.0</v>
      </c>
      <c r="B452" s="5">
        <v>0.041851851851851855</v>
      </c>
      <c r="C452" s="7" t="s">
        <v>526</v>
      </c>
      <c r="D452" s="8" t="s">
        <v>80</v>
      </c>
      <c r="E452" s="8" t="s">
        <v>247</v>
      </c>
      <c r="F452" s="10" t="s">
        <v>31</v>
      </c>
      <c r="G452" s="8">
        <v>165.0</v>
      </c>
      <c r="H452" s="8">
        <v>28.0</v>
      </c>
      <c r="I452" s="5">
        <v>0.041527777777777775</v>
      </c>
    </row>
    <row r="453">
      <c r="A453" s="3">
        <v>452.0</v>
      </c>
      <c r="B453" s="5">
        <v>0.0419212962962963</v>
      </c>
      <c r="C453" s="7" t="s">
        <v>527</v>
      </c>
      <c r="D453" s="8" t="s">
        <v>80</v>
      </c>
      <c r="E453" s="8" t="s">
        <v>239</v>
      </c>
      <c r="F453" s="10" t="s">
        <v>104</v>
      </c>
      <c r="G453" s="8">
        <v>166.0</v>
      </c>
      <c r="H453" s="8">
        <v>28.0</v>
      </c>
      <c r="I453" s="5">
        <v>0.041435185185185186</v>
      </c>
    </row>
    <row r="454">
      <c r="A454" s="3">
        <v>453.0</v>
      </c>
      <c r="B454" s="5">
        <v>0.0419212962962963</v>
      </c>
      <c r="C454" s="7" t="s">
        <v>528</v>
      </c>
      <c r="D454" s="8" t="s">
        <v>80</v>
      </c>
      <c r="E454" s="8" t="s">
        <v>198</v>
      </c>
      <c r="F454" s="10" t="s">
        <v>101</v>
      </c>
      <c r="G454" s="8">
        <v>167.0</v>
      </c>
      <c r="H454" s="8">
        <v>34.0</v>
      </c>
      <c r="I454" s="5">
        <v>0.041608796296296297</v>
      </c>
    </row>
    <row r="455">
      <c r="A455" s="3">
        <v>454.0</v>
      </c>
      <c r="B455" s="5">
        <v>0.04197916666666667</v>
      </c>
      <c r="C455" s="7" t="s">
        <v>529</v>
      </c>
      <c r="D455" s="8" t="s">
        <v>80</v>
      </c>
      <c r="E455" s="8" t="s">
        <v>198</v>
      </c>
      <c r="F455" s="10" t="s">
        <v>101</v>
      </c>
      <c r="G455" s="8">
        <v>168.0</v>
      </c>
      <c r="H455" s="8">
        <v>35.0</v>
      </c>
      <c r="I455" s="5">
        <v>0.04168981481481482</v>
      </c>
    </row>
    <row r="456">
      <c r="A456" s="3">
        <v>455.0</v>
      </c>
      <c r="B456" s="5">
        <v>0.04200231481481481</v>
      </c>
      <c r="C456" s="7" t="s">
        <v>530</v>
      </c>
      <c r="D456" s="8" t="s">
        <v>80</v>
      </c>
      <c r="E456" s="8" t="s">
        <v>81</v>
      </c>
      <c r="F456" s="10" t="s">
        <v>53</v>
      </c>
      <c r="G456" s="8">
        <v>169.0</v>
      </c>
      <c r="H456" s="8">
        <v>42.0</v>
      </c>
      <c r="I456" s="5">
        <v>0.041539351851851855</v>
      </c>
    </row>
    <row r="457">
      <c r="A457" s="3">
        <v>456.0</v>
      </c>
      <c r="B457" s="5">
        <v>0.04204861111111111</v>
      </c>
      <c r="C457" s="7" t="s">
        <v>531</v>
      </c>
      <c r="D457" s="8" t="s">
        <v>80</v>
      </c>
      <c r="E457" s="8" t="s">
        <v>198</v>
      </c>
      <c r="F457" s="12" t="s">
        <v>21</v>
      </c>
      <c r="G457" s="8">
        <v>170.0</v>
      </c>
      <c r="H457" s="8">
        <v>36.0</v>
      </c>
      <c r="I457" s="5">
        <v>0.04168981481481482</v>
      </c>
    </row>
    <row r="458">
      <c r="A458" s="3">
        <v>457.0</v>
      </c>
      <c r="B458" s="5">
        <v>0.04215277777777778</v>
      </c>
      <c r="C458" s="7" t="s">
        <v>532</v>
      </c>
      <c r="D458" s="8" t="s">
        <v>12</v>
      </c>
      <c r="E458" s="8" t="s">
        <v>14</v>
      </c>
      <c r="F458" s="10" t="s">
        <v>53</v>
      </c>
      <c r="G458" s="8">
        <v>287.0</v>
      </c>
      <c r="H458" s="8">
        <v>90.0</v>
      </c>
      <c r="I458" s="5">
        <v>0.04206018518518518</v>
      </c>
    </row>
    <row r="459">
      <c r="A459" s="3">
        <v>458.0</v>
      </c>
      <c r="B459" s="5">
        <v>0.042222222222222223</v>
      </c>
      <c r="C459" s="7" t="s">
        <v>533</v>
      </c>
      <c r="D459" s="8" t="s">
        <v>12</v>
      </c>
      <c r="E459" s="8" t="s">
        <v>95</v>
      </c>
      <c r="F459" s="12" t="s">
        <v>21</v>
      </c>
      <c r="G459" s="8">
        <v>288.0</v>
      </c>
      <c r="H459" s="8">
        <v>47.0</v>
      </c>
      <c r="I459" s="5">
        <v>0.04189814814814815</v>
      </c>
    </row>
    <row r="460">
      <c r="A460" s="3">
        <v>459.0</v>
      </c>
      <c r="B460" s="5">
        <v>0.042361111111111106</v>
      </c>
      <c r="C460" s="7" t="s">
        <v>534</v>
      </c>
      <c r="D460" s="8" t="s">
        <v>80</v>
      </c>
      <c r="E460" s="8" t="s">
        <v>81</v>
      </c>
      <c r="F460" s="10" t="s">
        <v>129</v>
      </c>
      <c r="G460" s="8">
        <v>171.0</v>
      </c>
      <c r="H460" s="8">
        <v>43.0</v>
      </c>
      <c r="I460" s="5">
        <v>0.04215277777777778</v>
      </c>
    </row>
    <row r="461">
      <c r="A461" s="3">
        <v>460.0</v>
      </c>
      <c r="B461" s="5">
        <v>0.04237268518518519</v>
      </c>
      <c r="C461" s="7" t="s">
        <v>535</v>
      </c>
      <c r="D461" s="8" t="s">
        <v>12</v>
      </c>
      <c r="E461" s="8" t="s">
        <v>83</v>
      </c>
      <c r="F461" s="10" t="s">
        <v>40</v>
      </c>
      <c r="G461" s="8">
        <v>289.0</v>
      </c>
      <c r="H461" s="8">
        <v>36.0</v>
      </c>
      <c r="I461" s="5">
        <v>0.041990740740740745</v>
      </c>
    </row>
    <row r="462">
      <c r="A462" s="3">
        <v>461.0</v>
      </c>
      <c r="B462" s="5">
        <v>0.04241898148148148</v>
      </c>
      <c r="C462" s="7" t="s">
        <v>536</v>
      </c>
      <c r="D462" s="8" t="s">
        <v>80</v>
      </c>
      <c r="E462" s="8" t="s">
        <v>228</v>
      </c>
      <c r="F462" s="10" t="s">
        <v>112</v>
      </c>
      <c r="G462" s="8">
        <v>172.0</v>
      </c>
      <c r="H462" s="8">
        <v>9.0</v>
      </c>
      <c r="I462" s="5">
        <v>0.04196759259259259</v>
      </c>
    </row>
    <row r="463">
      <c r="A463" s="3">
        <v>462.0</v>
      </c>
      <c r="B463" s="5">
        <v>0.04251157407407408</v>
      </c>
      <c r="C463" s="7" t="s">
        <v>537</v>
      </c>
      <c r="D463" s="8" t="s">
        <v>80</v>
      </c>
      <c r="E463" s="8" t="s">
        <v>239</v>
      </c>
      <c r="F463" s="10" t="s">
        <v>15</v>
      </c>
      <c r="G463" s="8">
        <v>173.0</v>
      </c>
      <c r="H463" s="8">
        <v>29.0</v>
      </c>
      <c r="I463" s="5">
        <v>0.04215277777777778</v>
      </c>
    </row>
    <row r="464">
      <c r="A464" s="3">
        <v>463.0</v>
      </c>
      <c r="B464" s="5">
        <v>0.0425462962962963</v>
      </c>
      <c r="C464" s="7" t="s">
        <v>538</v>
      </c>
      <c r="D464" s="8" t="s">
        <v>80</v>
      </c>
      <c r="E464" s="8" t="s">
        <v>81</v>
      </c>
      <c r="F464" s="10" t="s">
        <v>45</v>
      </c>
      <c r="G464" s="8">
        <v>174.0</v>
      </c>
      <c r="H464" s="8">
        <v>44.0</v>
      </c>
      <c r="I464" s="5">
        <v>0.04209490740740741</v>
      </c>
    </row>
    <row r="465">
      <c r="A465" s="3">
        <v>464.0</v>
      </c>
      <c r="B465" s="5">
        <v>0.042569444444444444</v>
      </c>
      <c r="C465" s="7" t="s">
        <v>539</v>
      </c>
      <c r="D465" s="8" t="s">
        <v>80</v>
      </c>
      <c r="E465" s="8" t="s">
        <v>198</v>
      </c>
      <c r="F465" s="10" t="s">
        <v>175</v>
      </c>
      <c r="G465" s="8">
        <v>175.0</v>
      </c>
      <c r="H465" s="8">
        <v>37.0</v>
      </c>
      <c r="I465" s="5">
        <v>0.04237268518518519</v>
      </c>
    </row>
    <row r="466">
      <c r="A466" s="3">
        <v>465.0</v>
      </c>
      <c r="B466" s="5">
        <v>0.04270833333333333</v>
      </c>
      <c r="C466" s="7" t="s">
        <v>540</v>
      </c>
      <c r="D466" s="8" t="s">
        <v>12</v>
      </c>
      <c r="E466" s="8" t="s">
        <v>122</v>
      </c>
      <c r="F466" s="10" t="s">
        <v>15</v>
      </c>
      <c r="G466" s="8">
        <v>290.0</v>
      </c>
      <c r="H466" s="8">
        <v>34.0</v>
      </c>
      <c r="I466" s="5">
        <v>0.04221064814814815</v>
      </c>
    </row>
    <row r="467">
      <c r="A467" s="3">
        <v>466.0</v>
      </c>
      <c r="B467" s="5">
        <v>0.04270833333333333</v>
      </c>
      <c r="C467" s="7" t="s">
        <v>541</v>
      </c>
      <c r="D467" s="8" t="s">
        <v>80</v>
      </c>
      <c r="E467" s="8" t="s">
        <v>81</v>
      </c>
      <c r="F467" s="10" t="s">
        <v>42</v>
      </c>
      <c r="G467" s="8">
        <v>176.0</v>
      </c>
      <c r="H467" s="8">
        <v>45.0</v>
      </c>
      <c r="I467" s="5">
        <v>0.04238425925925926</v>
      </c>
    </row>
    <row r="468">
      <c r="A468" s="3">
        <v>467.0</v>
      </c>
      <c r="B468" s="5">
        <v>0.04273148148148148</v>
      </c>
      <c r="C468" s="7" t="s">
        <v>542</v>
      </c>
      <c r="D468" s="8" t="s">
        <v>80</v>
      </c>
      <c r="E468" s="8" t="s">
        <v>173</v>
      </c>
      <c r="F468" s="10" t="s">
        <v>42</v>
      </c>
      <c r="G468" s="8">
        <v>177.0</v>
      </c>
      <c r="H468" s="8">
        <v>20.0</v>
      </c>
      <c r="I468" s="5">
        <v>0.0424074074074074</v>
      </c>
    </row>
    <row r="469">
      <c r="A469" s="3">
        <v>468.0</v>
      </c>
      <c r="B469" s="5">
        <v>0.0427662037037037</v>
      </c>
      <c r="C469" s="7" t="s">
        <v>543</v>
      </c>
      <c r="D469" s="8" t="s">
        <v>12</v>
      </c>
      <c r="E469" s="8" t="s">
        <v>322</v>
      </c>
      <c r="F469" s="10" t="s">
        <v>307</v>
      </c>
      <c r="G469" s="8">
        <v>291.0</v>
      </c>
      <c r="H469" s="8">
        <v>5.0</v>
      </c>
      <c r="I469" s="5">
        <v>0.042465277777777775</v>
      </c>
    </row>
    <row r="470">
      <c r="A470" s="3">
        <v>469.0</v>
      </c>
      <c r="B470" s="5">
        <v>0.04289351851851852</v>
      </c>
      <c r="C470" s="7" t="s">
        <v>544</v>
      </c>
      <c r="D470" s="8" t="s">
        <v>12</v>
      </c>
      <c r="E470" s="8" t="s">
        <v>115</v>
      </c>
      <c r="F470" s="10" t="s">
        <v>139</v>
      </c>
      <c r="G470" s="8">
        <v>292.0</v>
      </c>
      <c r="H470" s="8">
        <v>20.0</v>
      </c>
      <c r="I470" s="5">
        <v>0.042395833333333334</v>
      </c>
    </row>
    <row r="471">
      <c r="A471" s="3">
        <v>470.0</v>
      </c>
      <c r="B471" s="5">
        <v>0.04296296296296296</v>
      </c>
      <c r="C471" s="7" t="s">
        <v>545</v>
      </c>
      <c r="D471" s="8" t="s">
        <v>80</v>
      </c>
      <c r="E471" s="8" t="s">
        <v>247</v>
      </c>
      <c r="F471" s="10" t="s">
        <v>112</v>
      </c>
      <c r="G471" s="8">
        <v>178.0</v>
      </c>
      <c r="H471" s="8">
        <v>29.0</v>
      </c>
      <c r="I471" s="5">
        <v>0.04253472222222222</v>
      </c>
    </row>
    <row r="472">
      <c r="A472" s="3">
        <v>471.0</v>
      </c>
      <c r="B472" s="5">
        <v>0.04305555555555556</v>
      </c>
      <c r="C472" s="7" t="s">
        <v>546</v>
      </c>
      <c r="D472" s="8" t="s">
        <v>80</v>
      </c>
      <c r="E472" s="8" t="s">
        <v>173</v>
      </c>
      <c r="F472" s="10" t="s">
        <v>31</v>
      </c>
      <c r="G472" s="8">
        <v>179.0</v>
      </c>
      <c r="H472" s="8">
        <v>21.0</v>
      </c>
      <c r="I472" s="5">
        <v>0.042754629629629635</v>
      </c>
    </row>
    <row r="473">
      <c r="A473" s="3">
        <v>472.0</v>
      </c>
      <c r="B473" s="5">
        <v>0.04305555555555556</v>
      </c>
      <c r="C473" s="7" t="s">
        <v>547</v>
      </c>
      <c r="D473" s="8" t="s">
        <v>80</v>
      </c>
      <c r="E473" s="8" t="s">
        <v>173</v>
      </c>
      <c r="F473" s="10" t="s">
        <v>166</v>
      </c>
      <c r="G473" s="8">
        <v>180.0</v>
      </c>
      <c r="H473" s="8">
        <v>22.0</v>
      </c>
      <c r="I473" s="5">
        <v>0.042604166666666665</v>
      </c>
    </row>
    <row r="474">
      <c r="A474" s="3">
        <v>473.0</v>
      </c>
      <c r="B474" s="5">
        <v>0.04305555555555556</v>
      </c>
      <c r="C474" s="7" t="s">
        <v>548</v>
      </c>
      <c r="D474" s="8" t="s">
        <v>80</v>
      </c>
      <c r="E474" s="8" t="s">
        <v>81</v>
      </c>
      <c r="F474" s="10" t="s">
        <v>112</v>
      </c>
      <c r="G474" s="8">
        <v>181.0</v>
      </c>
      <c r="H474" s="8">
        <v>46.0</v>
      </c>
      <c r="I474" s="5">
        <v>0.04261574074074074</v>
      </c>
    </row>
    <row r="475">
      <c r="A475" s="3">
        <v>474.0</v>
      </c>
      <c r="B475" s="5">
        <v>0.04306712962962963</v>
      </c>
      <c r="C475" s="7" t="s">
        <v>549</v>
      </c>
      <c r="D475" s="8" t="s">
        <v>80</v>
      </c>
      <c r="E475" s="8" t="s">
        <v>239</v>
      </c>
      <c r="F475" s="10" t="s">
        <v>166</v>
      </c>
      <c r="G475" s="8">
        <v>182.0</v>
      </c>
      <c r="H475" s="8">
        <v>30.0</v>
      </c>
      <c r="I475" s="5">
        <v>0.04259259259259259</v>
      </c>
    </row>
    <row r="476">
      <c r="A476" s="3">
        <v>475.0</v>
      </c>
      <c r="B476" s="5">
        <v>0.043090277777777776</v>
      </c>
      <c r="C476" s="7" t="s">
        <v>550</v>
      </c>
      <c r="D476" s="8" t="s">
        <v>80</v>
      </c>
      <c r="E476" s="8" t="s">
        <v>228</v>
      </c>
      <c r="F476" s="10" t="s">
        <v>112</v>
      </c>
      <c r="G476" s="8">
        <v>183.0</v>
      </c>
      <c r="H476" s="8">
        <v>10.0</v>
      </c>
      <c r="I476" s="5">
        <v>0.04265046296296296</v>
      </c>
    </row>
    <row r="477">
      <c r="A477" s="3">
        <v>476.0</v>
      </c>
      <c r="B477" s="5">
        <v>0.04322916666666667</v>
      </c>
      <c r="C477" s="7" t="s">
        <v>551</v>
      </c>
      <c r="D477" s="8" t="s">
        <v>80</v>
      </c>
      <c r="E477" s="8" t="s">
        <v>81</v>
      </c>
      <c r="F477" s="10" t="s">
        <v>42</v>
      </c>
      <c r="G477" s="8">
        <v>184.0</v>
      </c>
      <c r="H477" s="8">
        <v>47.0</v>
      </c>
      <c r="I477" s="5">
        <v>0.042928240740740746</v>
      </c>
    </row>
    <row r="478">
      <c r="A478" s="3">
        <v>477.0</v>
      </c>
      <c r="B478" s="5">
        <v>0.043333333333333335</v>
      </c>
      <c r="C478" s="7" t="s">
        <v>552</v>
      </c>
      <c r="D478" s="8" t="s">
        <v>80</v>
      </c>
      <c r="E478" s="8" t="s">
        <v>198</v>
      </c>
      <c r="F478" s="10" t="s">
        <v>101</v>
      </c>
      <c r="G478" s="8">
        <v>185.0</v>
      </c>
      <c r="H478" s="8">
        <v>38.0</v>
      </c>
      <c r="I478" s="5">
        <v>0.043009259259259254</v>
      </c>
    </row>
    <row r="479">
      <c r="A479" s="3">
        <v>478.0</v>
      </c>
      <c r="B479" s="5">
        <v>0.04341435185185185</v>
      </c>
      <c r="C479" s="7" t="s">
        <v>553</v>
      </c>
      <c r="D479" s="8" t="s">
        <v>80</v>
      </c>
      <c r="E479" s="8" t="s">
        <v>228</v>
      </c>
      <c r="F479" s="12" t="s">
        <v>21</v>
      </c>
      <c r="G479" s="8">
        <v>186.0</v>
      </c>
      <c r="H479" s="8">
        <v>11.0</v>
      </c>
      <c r="I479" s="5">
        <v>0.04299768518518519</v>
      </c>
    </row>
    <row r="480">
      <c r="A480" s="3">
        <v>479.0</v>
      </c>
      <c r="B480" s="5">
        <v>0.04341435185185185</v>
      </c>
      <c r="C480" s="7" t="s">
        <v>554</v>
      </c>
      <c r="D480" s="8" t="s">
        <v>80</v>
      </c>
      <c r="E480" s="8" t="s">
        <v>247</v>
      </c>
      <c r="F480" s="12" t="s">
        <v>21</v>
      </c>
      <c r="G480" s="8">
        <v>187.0</v>
      </c>
      <c r="H480" s="8">
        <v>30.0</v>
      </c>
      <c r="I480" s="5">
        <v>0.043020833333333335</v>
      </c>
    </row>
    <row r="481">
      <c r="A481" s="3">
        <v>480.0</v>
      </c>
      <c r="B481" s="5">
        <v>0.04351851851851852</v>
      </c>
      <c r="C481" s="7" t="s">
        <v>555</v>
      </c>
      <c r="D481" s="8" t="s">
        <v>80</v>
      </c>
      <c r="E481" s="8" t="s">
        <v>247</v>
      </c>
      <c r="F481" s="10" t="s">
        <v>112</v>
      </c>
      <c r="G481" s="8">
        <v>188.0</v>
      </c>
      <c r="H481" s="8">
        <v>31.0</v>
      </c>
      <c r="I481" s="5">
        <v>0.0430787037037037</v>
      </c>
    </row>
    <row r="482">
      <c r="A482" s="3">
        <v>481.0</v>
      </c>
      <c r="B482" s="5">
        <v>0.043541666666666666</v>
      </c>
      <c r="C482" s="7" t="s">
        <v>556</v>
      </c>
      <c r="D482" s="8" t="s">
        <v>12</v>
      </c>
      <c r="E482" s="8" t="s">
        <v>83</v>
      </c>
      <c r="F482" s="10" t="s">
        <v>57</v>
      </c>
      <c r="G482" s="8">
        <v>293.0</v>
      </c>
      <c r="H482" s="8">
        <v>37.0</v>
      </c>
      <c r="I482" s="5">
        <v>0.043020833333333335</v>
      </c>
    </row>
    <row r="483">
      <c r="A483" s="3">
        <v>482.0</v>
      </c>
      <c r="B483" s="5">
        <v>0.04355324074074074</v>
      </c>
      <c r="C483" s="7" t="s">
        <v>557</v>
      </c>
      <c r="D483" s="8" t="s">
        <v>80</v>
      </c>
      <c r="E483" s="8" t="s">
        <v>247</v>
      </c>
      <c r="F483" s="10" t="s">
        <v>161</v>
      </c>
      <c r="G483" s="8">
        <v>189.0</v>
      </c>
      <c r="H483" s="8">
        <v>32.0</v>
      </c>
      <c r="I483" s="5">
        <v>0.0430787037037037</v>
      </c>
    </row>
    <row r="484">
      <c r="A484" s="3">
        <v>483.0</v>
      </c>
      <c r="B484" s="5">
        <v>0.04358796296296297</v>
      </c>
      <c r="C484" s="7" t="s">
        <v>558</v>
      </c>
      <c r="D484" s="8" t="s">
        <v>80</v>
      </c>
      <c r="E484" s="8" t="s">
        <v>239</v>
      </c>
      <c r="F484" s="10" t="s">
        <v>53</v>
      </c>
      <c r="G484" s="8">
        <v>190.0</v>
      </c>
      <c r="H484" s="8">
        <v>31.0</v>
      </c>
      <c r="I484" s="5">
        <v>0.0433912037037037</v>
      </c>
    </row>
    <row r="485">
      <c r="A485" s="3">
        <v>484.0</v>
      </c>
      <c r="B485" s="5">
        <v>0.043645833333333335</v>
      </c>
      <c r="C485" s="7" t="s">
        <v>559</v>
      </c>
      <c r="D485" s="8" t="s">
        <v>80</v>
      </c>
      <c r="E485" s="8" t="s">
        <v>247</v>
      </c>
      <c r="F485" s="10" t="s">
        <v>31</v>
      </c>
      <c r="G485" s="8">
        <v>191.0</v>
      </c>
      <c r="H485" s="8">
        <v>33.0</v>
      </c>
      <c r="I485" s="5">
        <v>0.04327546296296297</v>
      </c>
    </row>
    <row r="486">
      <c r="A486" s="3">
        <v>485.0</v>
      </c>
      <c r="B486" s="5">
        <v>0.043680555555555556</v>
      </c>
      <c r="C486" s="7" t="s">
        <v>560</v>
      </c>
      <c r="D486" s="8" t="s">
        <v>80</v>
      </c>
      <c r="E486" s="8" t="s">
        <v>239</v>
      </c>
      <c r="F486" s="10" t="s">
        <v>99</v>
      </c>
      <c r="G486" s="8">
        <v>192.0</v>
      </c>
      <c r="H486" s="8">
        <v>32.0</v>
      </c>
      <c r="I486" s="5">
        <v>0.04340277777777778</v>
      </c>
    </row>
    <row r="487">
      <c r="A487" s="3">
        <v>486.0</v>
      </c>
      <c r="B487" s="5">
        <v>0.04370370370370371</v>
      </c>
      <c r="C487" s="7" t="s">
        <v>561</v>
      </c>
      <c r="D487" s="8" t="s">
        <v>80</v>
      </c>
      <c r="E487" s="8" t="s">
        <v>239</v>
      </c>
      <c r="F487" s="10" t="s">
        <v>53</v>
      </c>
      <c r="G487" s="8">
        <v>193.0</v>
      </c>
      <c r="H487" s="8">
        <v>33.0</v>
      </c>
      <c r="I487" s="5">
        <v>0.04327546296296297</v>
      </c>
    </row>
    <row r="488">
      <c r="A488" s="3">
        <v>487.0</v>
      </c>
      <c r="B488" s="5">
        <v>0.043773148148148144</v>
      </c>
      <c r="C488" s="7" t="s">
        <v>562</v>
      </c>
      <c r="D488" s="8" t="s">
        <v>80</v>
      </c>
      <c r="E488" s="8" t="s">
        <v>198</v>
      </c>
      <c r="F488" s="10" t="s">
        <v>139</v>
      </c>
      <c r="G488" s="8">
        <v>194.0</v>
      </c>
      <c r="H488" s="8">
        <v>39.0</v>
      </c>
      <c r="I488" s="5">
        <v>0.04329861111111111</v>
      </c>
    </row>
    <row r="489">
      <c r="A489" s="3">
        <v>488.0</v>
      </c>
      <c r="B489" s="5">
        <v>0.04380787037037037</v>
      </c>
      <c r="C489" s="7" t="s">
        <v>563</v>
      </c>
      <c r="D489" s="8" t="s">
        <v>80</v>
      </c>
      <c r="E489" s="8" t="s">
        <v>247</v>
      </c>
      <c r="F489" s="10" t="s">
        <v>307</v>
      </c>
      <c r="G489" s="8">
        <v>195.0</v>
      </c>
      <c r="H489" s="8">
        <v>34.0</v>
      </c>
      <c r="I489" s="5">
        <v>0.04363425925925926</v>
      </c>
    </row>
    <row r="490">
      <c r="A490" s="3">
        <v>489.0</v>
      </c>
      <c r="B490" s="5">
        <v>0.043819444444444446</v>
      </c>
      <c r="C490" s="7" t="s">
        <v>564</v>
      </c>
      <c r="D490" s="8" t="s">
        <v>80</v>
      </c>
      <c r="E490" s="8" t="s">
        <v>81</v>
      </c>
      <c r="F490" s="10" t="s">
        <v>45</v>
      </c>
      <c r="G490" s="8">
        <v>196.0</v>
      </c>
      <c r="H490" s="8">
        <v>48.0</v>
      </c>
      <c r="I490" s="5">
        <v>0.04334490740740741</v>
      </c>
    </row>
    <row r="491">
      <c r="A491" s="3">
        <v>490.0</v>
      </c>
      <c r="B491" s="5">
        <v>0.04383101851851851</v>
      </c>
      <c r="C491" s="7" t="s">
        <v>565</v>
      </c>
      <c r="D491" s="8" t="s">
        <v>12</v>
      </c>
      <c r="E491" s="8" t="s">
        <v>95</v>
      </c>
      <c r="F491" s="10" t="s">
        <v>31</v>
      </c>
      <c r="G491" s="8">
        <v>294.0</v>
      </c>
      <c r="H491" s="8">
        <v>48.0</v>
      </c>
      <c r="I491" s="5">
        <v>0.04348379629629629</v>
      </c>
    </row>
    <row r="492">
      <c r="A492" s="3">
        <v>491.0</v>
      </c>
      <c r="B492" s="5">
        <v>0.04388888888888889</v>
      </c>
      <c r="C492" s="7" t="s">
        <v>566</v>
      </c>
      <c r="D492" s="8" t="s">
        <v>80</v>
      </c>
      <c r="E492" s="8" t="s">
        <v>369</v>
      </c>
      <c r="F492" s="10" t="s">
        <v>110</v>
      </c>
      <c r="G492" s="8">
        <v>197.0</v>
      </c>
      <c r="H492" s="8">
        <v>5.0</v>
      </c>
      <c r="I492" s="5">
        <v>0.04344907407407408</v>
      </c>
    </row>
    <row r="493">
      <c r="A493" s="3">
        <v>492.0</v>
      </c>
      <c r="B493" s="5">
        <v>0.04388888888888889</v>
      </c>
      <c r="C493" s="7" t="s">
        <v>567</v>
      </c>
      <c r="D493" s="8" t="s">
        <v>80</v>
      </c>
      <c r="E493" s="8" t="s">
        <v>239</v>
      </c>
      <c r="F493" s="10" t="s">
        <v>101</v>
      </c>
      <c r="G493" s="8">
        <v>198.0</v>
      </c>
      <c r="H493" s="8">
        <v>34.0</v>
      </c>
      <c r="I493" s="5">
        <v>0.04358796296296297</v>
      </c>
    </row>
    <row r="494">
      <c r="A494" s="3">
        <v>493.0</v>
      </c>
      <c r="B494" s="5">
        <v>0.04395833333333333</v>
      </c>
      <c r="C494" s="7" t="s">
        <v>568</v>
      </c>
      <c r="D494" s="8" t="s">
        <v>80</v>
      </c>
      <c r="E494" s="8" t="s">
        <v>81</v>
      </c>
      <c r="F494" s="10" t="s">
        <v>307</v>
      </c>
      <c r="G494" s="8">
        <v>199.0</v>
      </c>
      <c r="H494" s="8">
        <v>49.0</v>
      </c>
      <c r="I494" s="5">
        <v>0.043645833333333335</v>
      </c>
    </row>
    <row r="495">
      <c r="A495" s="3">
        <v>494.0</v>
      </c>
      <c r="B495" s="5">
        <v>0.04422453703703704</v>
      </c>
      <c r="C495" s="7" t="s">
        <v>569</v>
      </c>
      <c r="D495" s="8" t="s">
        <v>80</v>
      </c>
      <c r="E495" s="8" t="s">
        <v>81</v>
      </c>
      <c r="F495" s="10" t="s">
        <v>15</v>
      </c>
      <c r="G495" s="8">
        <v>200.0</v>
      </c>
      <c r="H495" s="8">
        <v>50.0</v>
      </c>
      <c r="I495" s="5">
        <v>0.04387731481481482</v>
      </c>
    </row>
    <row r="496">
      <c r="A496" s="3">
        <v>495.0</v>
      </c>
      <c r="B496" s="5">
        <v>0.04442129629629629</v>
      </c>
      <c r="C496" s="7" t="s">
        <v>570</v>
      </c>
      <c r="D496" s="8" t="s">
        <v>80</v>
      </c>
      <c r="E496" s="8" t="s">
        <v>198</v>
      </c>
      <c r="F496" s="10" t="s">
        <v>45</v>
      </c>
      <c r="G496" s="8">
        <v>201.0</v>
      </c>
      <c r="H496" s="8">
        <v>40.0</v>
      </c>
      <c r="I496" s="5">
        <v>0.043946759259259255</v>
      </c>
    </row>
    <row r="497">
      <c r="A497" s="3">
        <v>496.0</v>
      </c>
      <c r="B497" s="5">
        <v>0.04446759259259259</v>
      </c>
      <c r="C497" s="7" t="s">
        <v>571</v>
      </c>
      <c r="D497" s="8" t="s">
        <v>80</v>
      </c>
      <c r="E497" s="8" t="s">
        <v>247</v>
      </c>
      <c r="F497" s="10" t="s">
        <v>166</v>
      </c>
      <c r="G497" s="8">
        <v>202.0</v>
      </c>
      <c r="H497" s="8">
        <v>35.0</v>
      </c>
      <c r="I497" s="5">
        <v>0.044062500000000004</v>
      </c>
    </row>
    <row r="498">
      <c r="A498" s="3">
        <v>497.0</v>
      </c>
      <c r="B498" s="5">
        <v>0.04459490740740741</v>
      </c>
      <c r="C498" s="7" t="s">
        <v>572</v>
      </c>
      <c r="D498" s="8" t="s">
        <v>80</v>
      </c>
      <c r="E498" s="8" t="s">
        <v>198</v>
      </c>
      <c r="F498" s="10" t="s">
        <v>129</v>
      </c>
      <c r="G498" s="8">
        <v>203.0</v>
      </c>
      <c r="H498" s="8">
        <v>41.0</v>
      </c>
      <c r="I498" s="5">
        <v>0.044432870370370366</v>
      </c>
    </row>
    <row r="499">
      <c r="A499" s="3">
        <v>498.0</v>
      </c>
      <c r="B499" s="5">
        <v>0.0446875</v>
      </c>
      <c r="C499" s="7" t="s">
        <v>573</v>
      </c>
      <c r="D499" s="8" t="s">
        <v>12</v>
      </c>
      <c r="E499" s="8" t="s">
        <v>122</v>
      </c>
      <c r="F499" s="10" t="s">
        <v>45</v>
      </c>
      <c r="G499" s="8">
        <v>295.0</v>
      </c>
      <c r="H499" s="8">
        <v>35.0</v>
      </c>
      <c r="I499" s="5">
        <v>0.04421296296296296</v>
      </c>
    </row>
    <row r="500">
      <c r="A500" s="3">
        <v>499.0</v>
      </c>
      <c r="B500" s="5">
        <v>0.04479166666666667</v>
      </c>
      <c r="C500" s="7" t="s">
        <v>574</v>
      </c>
      <c r="D500" s="8" t="s">
        <v>80</v>
      </c>
      <c r="E500" s="8" t="s">
        <v>198</v>
      </c>
      <c r="F500" s="10" t="s">
        <v>166</v>
      </c>
      <c r="G500" s="8">
        <v>204.0</v>
      </c>
      <c r="H500" s="8">
        <v>42.0</v>
      </c>
      <c r="I500" s="5">
        <v>0.04429398148148148</v>
      </c>
    </row>
    <row r="501">
      <c r="A501" s="3">
        <v>500.0</v>
      </c>
      <c r="B501" s="5">
        <v>0.044849537037037035</v>
      </c>
      <c r="C501" s="7" t="s">
        <v>575</v>
      </c>
      <c r="D501" s="8" t="s">
        <v>12</v>
      </c>
      <c r="E501" s="8" t="s">
        <v>14</v>
      </c>
      <c r="F501" s="10" t="s">
        <v>104</v>
      </c>
      <c r="G501" s="8">
        <v>296.0</v>
      </c>
      <c r="H501" s="8">
        <v>91.0</v>
      </c>
      <c r="I501" s="5">
        <v>0.04435185185185186</v>
      </c>
    </row>
    <row r="502">
      <c r="A502" s="3">
        <v>501.0</v>
      </c>
      <c r="B502" s="5">
        <v>0.04496527777777778</v>
      </c>
      <c r="C502" s="7" t="s">
        <v>576</v>
      </c>
      <c r="D502" s="8" t="s">
        <v>80</v>
      </c>
      <c r="E502" s="8" t="s">
        <v>369</v>
      </c>
      <c r="F502" s="10" t="s">
        <v>45</v>
      </c>
      <c r="G502" s="8">
        <v>205.0</v>
      </c>
      <c r="H502" s="8">
        <v>6.0</v>
      </c>
      <c r="I502" s="5">
        <v>0.04447916666666666</v>
      </c>
    </row>
    <row r="503">
      <c r="A503" s="3">
        <v>502.0</v>
      </c>
      <c r="B503" s="5">
        <v>0.04518518518518519</v>
      </c>
      <c r="C503" s="7" t="s">
        <v>577</v>
      </c>
      <c r="D503" s="8" t="s">
        <v>12</v>
      </c>
      <c r="E503" s="8" t="s">
        <v>83</v>
      </c>
      <c r="F503" s="10" t="s">
        <v>59</v>
      </c>
      <c r="G503" s="8">
        <v>297.0</v>
      </c>
      <c r="H503" s="8">
        <v>38.0</v>
      </c>
      <c r="I503" s="5">
        <v>0.044675925925925924</v>
      </c>
    </row>
    <row r="504">
      <c r="A504" s="3">
        <v>503.0</v>
      </c>
      <c r="B504" s="5">
        <v>0.04527777777777778</v>
      </c>
      <c r="C504" s="7" t="s">
        <v>578</v>
      </c>
      <c r="D504" s="8" t="s">
        <v>80</v>
      </c>
      <c r="E504" s="8" t="s">
        <v>81</v>
      </c>
      <c r="F504" s="10" t="s">
        <v>59</v>
      </c>
      <c r="G504" s="8">
        <v>206.0</v>
      </c>
      <c r="H504" s="8">
        <v>51.0</v>
      </c>
      <c r="I504" s="5">
        <v>0.04488425925925926</v>
      </c>
    </row>
    <row r="505">
      <c r="A505" s="3">
        <v>504.0</v>
      </c>
      <c r="B505" s="5">
        <v>0.04594907407407408</v>
      </c>
      <c r="C505" s="7" t="s">
        <v>579</v>
      </c>
      <c r="D505" s="8" t="s">
        <v>12</v>
      </c>
      <c r="E505" s="8" t="s">
        <v>237</v>
      </c>
      <c r="F505" s="10" t="s">
        <v>110</v>
      </c>
      <c r="G505" s="8">
        <v>298.0</v>
      </c>
      <c r="H505" s="8">
        <v>14.0</v>
      </c>
      <c r="I505" s="5">
        <v>0.04579861111111111</v>
      </c>
    </row>
    <row r="506">
      <c r="A506" s="3">
        <v>505.0</v>
      </c>
      <c r="B506" s="5">
        <v>0.046342592592592595</v>
      </c>
      <c r="C506" s="7" t="s">
        <v>580</v>
      </c>
      <c r="D506" s="8" t="s">
        <v>80</v>
      </c>
      <c r="E506" s="8" t="s">
        <v>173</v>
      </c>
      <c r="F506" s="10" t="s">
        <v>101</v>
      </c>
      <c r="G506" s="8">
        <v>207.0</v>
      </c>
      <c r="H506" s="8">
        <v>23.0</v>
      </c>
      <c r="I506" s="5">
        <v>0.04597222222222222</v>
      </c>
    </row>
    <row r="507">
      <c r="A507" s="3">
        <v>506.0</v>
      </c>
      <c r="B507" s="5">
        <v>0.04638888888888889</v>
      </c>
      <c r="C507" s="7" t="s">
        <v>581</v>
      </c>
      <c r="D507" s="8" t="s">
        <v>80</v>
      </c>
      <c r="E507" s="8" t="s">
        <v>247</v>
      </c>
      <c r="F507" s="12" t="s">
        <v>21</v>
      </c>
      <c r="G507" s="8">
        <v>208.0</v>
      </c>
      <c r="H507" s="8">
        <v>36.0</v>
      </c>
      <c r="I507" s="5">
        <v>0.04590277777777777</v>
      </c>
    </row>
    <row r="508">
      <c r="A508" s="3">
        <v>507.0</v>
      </c>
      <c r="B508" s="5">
        <v>0.046412037037037036</v>
      </c>
      <c r="C508" s="7" t="s">
        <v>582</v>
      </c>
      <c r="D508" s="8" t="s">
        <v>80</v>
      </c>
      <c r="E508" s="8" t="s">
        <v>198</v>
      </c>
      <c r="F508" s="12" t="s">
        <v>21</v>
      </c>
      <c r="G508" s="8">
        <v>209.0</v>
      </c>
      <c r="H508" s="8">
        <v>43.0</v>
      </c>
      <c r="I508" s="5">
        <v>0.045925925925925926</v>
      </c>
    </row>
    <row r="509">
      <c r="A509" s="3">
        <v>508.0</v>
      </c>
      <c r="B509" s="5">
        <v>0.04663194444444444</v>
      </c>
      <c r="C509" s="7" t="s">
        <v>583</v>
      </c>
      <c r="D509" s="8" t="s">
        <v>80</v>
      </c>
      <c r="E509" s="8" t="s">
        <v>81</v>
      </c>
      <c r="F509" s="10" t="s">
        <v>31</v>
      </c>
      <c r="G509" s="8">
        <v>210.0</v>
      </c>
      <c r="H509" s="8">
        <v>52.0</v>
      </c>
      <c r="I509" s="5">
        <v>0.04614583333333333</v>
      </c>
    </row>
    <row r="510">
      <c r="A510" s="3">
        <v>509.0</v>
      </c>
      <c r="B510" s="5">
        <v>0.04673611111111111</v>
      </c>
      <c r="C510" s="7" t="s">
        <v>584</v>
      </c>
      <c r="D510" s="8" t="s">
        <v>12</v>
      </c>
      <c r="E510" s="8" t="s">
        <v>83</v>
      </c>
      <c r="F510" s="10" t="s">
        <v>42</v>
      </c>
      <c r="G510" s="8">
        <v>299.0</v>
      </c>
      <c r="H510" s="8">
        <v>39.0</v>
      </c>
      <c r="I510" s="5">
        <v>0.04644675925925926</v>
      </c>
    </row>
    <row r="511">
      <c r="A511" s="3">
        <v>510.0</v>
      </c>
      <c r="B511" s="5">
        <v>0.04690972222222222</v>
      </c>
      <c r="C511" s="7" t="s">
        <v>585</v>
      </c>
      <c r="D511" s="8" t="s">
        <v>80</v>
      </c>
      <c r="E511" s="8" t="s">
        <v>228</v>
      </c>
      <c r="F511" s="10" t="s">
        <v>112</v>
      </c>
      <c r="G511" s="8">
        <v>211.0</v>
      </c>
      <c r="H511" s="8">
        <v>12.0</v>
      </c>
      <c r="I511" s="5">
        <v>0.046504629629629625</v>
      </c>
    </row>
    <row r="512">
      <c r="A512" s="3">
        <v>511.0</v>
      </c>
      <c r="B512" s="5">
        <v>0.047071759259259265</v>
      </c>
      <c r="C512" s="7" t="s">
        <v>586</v>
      </c>
      <c r="D512" s="8" t="s">
        <v>12</v>
      </c>
      <c r="E512" s="8" t="s">
        <v>14</v>
      </c>
      <c r="F512" s="10" t="s">
        <v>101</v>
      </c>
      <c r="G512" s="8">
        <v>300.0</v>
      </c>
      <c r="H512" s="8">
        <v>92.0</v>
      </c>
      <c r="I512" s="5">
        <v>0.04671296296296296</v>
      </c>
    </row>
    <row r="513">
      <c r="A513" s="3">
        <v>512.0</v>
      </c>
      <c r="B513" s="5">
        <v>0.04719907407407407</v>
      </c>
      <c r="C513" s="7" t="s">
        <v>587</v>
      </c>
      <c r="D513" s="8" t="s">
        <v>80</v>
      </c>
      <c r="E513" s="8" t="s">
        <v>228</v>
      </c>
      <c r="F513" s="10" t="s">
        <v>110</v>
      </c>
      <c r="G513" s="8">
        <v>212.0</v>
      </c>
      <c r="H513" s="8">
        <v>13.0</v>
      </c>
      <c r="I513" s="5">
        <v>0.04675925925925926</v>
      </c>
    </row>
    <row r="514">
      <c r="A514" s="3">
        <v>513.0</v>
      </c>
      <c r="B514" s="5">
        <v>0.04752314814814815</v>
      </c>
      <c r="C514" s="7" t="s">
        <v>588</v>
      </c>
      <c r="D514" s="8" t="s">
        <v>80</v>
      </c>
      <c r="E514" s="8" t="s">
        <v>228</v>
      </c>
      <c r="F514" s="10" t="s">
        <v>53</v>
      </c>
      <c r="G514" s="8">
        <v>213.0</v>
      </c>
      <c r="H514" s="8">
        <v>14.0</v>
      </c>
      <c r="I514" s="5">
        <v>0.047071759259259265</v>
      </c>
    </row>
    <row r="515">
      <c r="A515" s="3">
        <v>514.0</v>
      </c>
      <c r="B515" s="5">
        <v>0.04756944444444444</v>
      </c>
      <c r="C515" s="7" t="s">
        <v>589</v>
      </c>
      <c r="D515" s="8" t="s">
        <v>80</v>
      </c>
      <c r="E515" s="8" t="s">
        <v>198</v>
      </c>
      <c r="F515" s="10" t="s">
        <v>166</v>
      </c>
      <c r="G515" s="8">
        <v>214.0</v>
      </c>
      <c r="H515" s="8">
        <v>44.0</v>
      </c>
      <c r="I515" s="5">
        <v>0.04708333333333333</v>
      </c>
    </row>
    <row r="516">
      <c r="A516" s="3">
        <v>515.0</v>
      </c>
      <c r="B516" s="5">
        <v>0.04756944444444444</v>
      </c>
      <c r="C516" s="7" t="s">
        <v>590</v>
      </c>
      <c r="D516" s="8" t="s">
        <v>80</v>
      </c>
      <c r="E516" s="8" t="s">
        <v>239</v>
      </c>
      <c r="F516" s="10" t="s">
        <v>166</v>
      </c>
      <c r="G516" s="8">
        <v>215.0</v>
      </c>
      <c r="H516" s="8">
        <v>35.0</v>
      </c>
      <c r="I516" s="5">
        <v>0.04708333333333333</v>
      </c>
    </row>
    <row r="517">
      <c r="A517" s="3">
        <v>516.0</v>
      </c>
      <c r="B517" s="5">
        <v>0.04819444444444445</v>
      </c>
      <c r="C517" s="7" t="s">
        <v>591</v>
      </c>
      <c r="D517" s="8" t="s">
        <v>80</v>
      </c>
      <c r="E517" s="8" t="s">
        <v>198</v>
      </c>
      <c r="F517" s="10" t="s">
        <v>15</v>
      </c>
      <c r="G517" s="8">
        <v>216.0</v>
      </c>
      <c r="H517" s="8">
        <v>45.0</v>
      </c>
      <c r="I517" s="5">
        <v>0.04784722222222223</v>
      </c>
    </row>
    <row r="518">
      <c r="A518" s="3">
        <v>517.0</v>
      </c>
      <c r="B518" s="5">
        <v>0.04822916666666666</v>
      </c>
      <c r="C518" s="7" t="s">
        <v>592</v>
      </c>
      <c r="D518" s="8" t="s">
        <v>12</v>
      </c>
      <c r="E518" s="8" t="s">
        <v>507</v>
      </c>
      <c r="F518" s="10" t="s">
        <v>110</v>
      </c>
      <c r="G518" s="8">
        <v>301.0</v>
      </c>
      <c r="H518" s="8">
        <v>2.0</v>
      </c>
      <c r="I518" s="5">
        <v>0.04778935185185185</v>
      </c>
    </row>
    <row r="519">
      <c r="A519" s="3">
        <v>518.0</v>
      </c>
      <c r="B519" s="5">
        <v>0.048321759259259266</v>
      </c>
      <c r="C519" s="7" t="s">
        <v>593</v>
      </c>
      <c r="D519" s="8" t="s">
        <v>80</v>
      </c>
      <c r="E519" s="8" t="s">
        <v>239</v>
      </c>
      <c r="F519" s="12" t="s">
        <v>21</v>
      </c>
      <c r="G519" s="8">
        <v>217.0</v>
      </c>
      <c r="H519" s="8">
        <v>36.0</v>
      </c>
      <c r="I519" s="5">
        <v>0.04790509259259259</v>
      </c>
    </row>
    <row r="520">
      <c r="A520" s="3">
        <v>519.0</v>
      </c>
      <c r="B520" s="5">
        <v>0.04871527777777778</v>
      </c>
      <c r="C520" s="7" t="s">
        <v>594</v>
      </c>
      <c r="D520" s="8" t="s">
        <v>80</v>
      </c>
      <c r="E520" s="8" t="s">
        <v>247</v>
      </c>
      <c r="F520" s="10" t="s">
        <v>193</v>
      </c>
      <c r="G520" s="8">
        <v>218.0</v>
      </c>
      <c r="H520" s="8">
        <v>37.0</v>
      </c>
      <c r="I520" s="5">
        <v>0.04846064814814815</v>
      </c>
    </row>
    <row r="521">
      <c r="A521" s="3">
        <v>520.0</v>
      </c>
      <c r="B521" s="5">
        <v>0.04943287037037037</v>
      </c>
      <c r="C521" s="7" t="s">
        <v>595</v>
      </c>
      <c r="D521" s="8" t="s">
        <v>80</v>
      </c>
      <c r="E521" s="8" t="s">
        <v>198</v>
      </c>
      <c r="F521" s="10" t="s">
        <v>15</v>
      </c>
      <c r="G521" s="8">
        <v>219.0</v>
      </c>
      <c r="H521" s="8">
        <v>46.0</v>
      </c>
      <c r="I521" s="5">
        <v>0.04908564814814815</v>
      </c>
    </row>
    <row r="522">
      <c r="A522" s="3">
        <v>521.0</v>
      </c>
      <c r="B522" s="5">
        <v>0.04979166666666667</v>
      </c>
      <c r="C522" s="7" t="s">
        <v>596</v>
      </c>
      <c r="D522" s="8" t="s">
        <v>80</v>
      </c>
      <c r="E522" s="8" t="s">
        <v>247</v>
      </c>
      <c r="F522" s="10" t="s">
        <v>112</v>
      </c>
      <c r="G522" s="8">
        <v>220.0</v>
      </c>
      <c r="H522" s="8">
        <v>38.0</v>
      </c>
      <c r="I522" s="5">
        <v>0.049386574074074076</v>
      </c>
    </row>
    <row r="523">
      <c r="A523" s="3">
        <v>522.0</v>
      </c>
      <c r="B523" s="5">
        <v>0.04986111111111111</v>
      </c>
      <c r="C523" s="7" t="s">
        <v>597</v>
      </c>
      <c r="D523" s="8" t="s">
        <v>80</v>
      </c>
      <c r="E523" s="8" t="s">
        <v>598</v>
      </c>
      <c r="F523" s="10" t="s">
        <v>53</v>
      </c>
      <c r="G523" s="8">
        <v>221.0</v>
      </c>
      <c r="H523" s="8">
        <v>1.0</v>
      </c>
      <c r="I523" s="5">
        <v>0.049375</v>
      </c>
    </row>
    <row r="524">
      <c r="A524" s="3">
        <v>523.0</v>
      </c>
      <c r="B524" s="5">
        <v>0.0503125</v>
      </c>
      <c r="C524" s="7" t="s">
        <v>599</v>
      </c>
      <c r="D524" s="8" t="s">
        <v>80</v>
      </c>
      <c r="E524" s="8" t="s">
        <v>239</v>
      </c>
      <c r="F524" s="10" t="s">
        <v>110</v>
      </c>
      <c r="G524" s="8">
        <v>222.0</v>
      </c>
      <c r="H524" s="8">
        <v>37.0</v>
      </c>
      <c r="I524" s="5">
        <v>0.05012731481481481</v>
      </c>
    </row>
    <row r="525">
      <c r="A525" s="3">
        <v>524.0</v>
      </c>
      <c r="B525" s="5">
        <v>0.050625</v>
      </c>
      <c r="C525" s="7" t="s">
        <v>600</v>
      </c>
      <c r="D525" s="8" t="s">
        <v>80</v>
      </c>
      <c r="E525" s="8" t="s">
        <v>239</v>
      </c>
      <c r="F525" s="10" t="s">
        <v>57</v>
      </c>
      <c r="G525" s="8">
        <v>223.0</v>
      </c>
      <c r="H525" s="8">
        <v>38.0</v>
      </c>
      <c r="I525" s="5">
        <v>0.05042824074074074</v>
      </c>
    </row>
    <row r="526">
      <c r="A526" s="3">
        <v>525.0</v>
      </c>
      <c r="B526" s="5">
        <v>0.05092592592592593</v>
      </c>
      <c r="C526" s="7" t="s">
        <v>601</v>
      </c>
      <c r="D526" s="8" t="s">
        <v>80</v>
      </c>
      <c r="E526" s="8" t="s">
        <v>173</v>
      </c>
      <c r="F526" s="12" t="s">
        <v>21</v>
      </c>
      <c r="G526" s="8">
        <v>224.0</v>
      </c>
      <c r="H526" s="8">
        <v>24.0</v>
      </c>
      <c r="I526" s="5">
        <v>0.050509259259259254</v>
      </c>
    </row>
    <row r="527">
      <c r="A527" s="3">
        <v>526.0</v>
      </c>
      <c r="B527" s="5">
        <v>0.050972222222222224</v>
      </c>
      <c r="C527" s="7" t="s">
        <v>602</v>
      </c>
      <c r="D527" s="8" t="s">
        <v>12</v>
      </c>
      <c r="E527" s="8" t="s">
        <v>14</v>
      </c>
      <c r="F527" s="10" t="s">
        <v>31</v>
      </c>
      <c r="G527" s="8">
        <v>302.0</v>
      </c>
      <c r="H527" s="8">
        <v>93.0</v>
      </c>
      <c r="I527" s="5">
        <v>0.050625</v>
      </c>
    </row>
    <row r="528">
      <c r="A528" s="3">
        <v>527.0</v>
      </c>
      <c r="B528" s="5">
        <v>0.051076388888888886</v>
      </c>
      <c r="C528" s="7" t="s">
        <v>603</v>
      </c>
      <c r="D528" s="8" t="s">
        <v>80</v>
      </c>
      <c r="E528" s="8" t="s">
        <v>247</v>
      </c>
      <c r="F528" s="10" t="s">
        <v>166</v>
      </c>
      <c r="G528" s="8">
        <v>225.0</v>
      </c>
      <c r="H528" s="8">
        <v>39.0</v>
      </c>
      <c r="I528" s="5">
        <v>0.050590277777777776</v>
      </c>
    </row>
    <row r="529">
      <c r="A529" s="3">
        <v>528.0</v>
      </c>
      <c r="B529" s="5">
        <v>0.05123842592592592</v>
      </c>
      <c r="C529" s="7" t="s">
        <v>604</v>
      </c>
      <c r="D529" s="8" t="s">
        <v>80</v>
      </c>
      <c r="E529" s="8" t="s">
        <v>369</v>
      </c>
      <c r="F529" s="10" t="s">
        <v>110</v>
      </c>
      <c r="G529" s="8">
        <v>226.0</v>
      </c>
      <c r="H529" s="8">
        <v>7.0</v>
      </c>
      <c r="I529" s="5">
        <v>0.05108796296296297</v>
      </c>
    </row>
    <row r="530">
      <c r="A530" s="3">
        <v>529.0</v>
      </c>
      <c r="B530" s="5">
        <v>0.051319444444444445</v>
      </c>
      <c r="C530" s="7" t="s">
        <v>605</v>
      </c>
      <c r="D530" s="8" t="s">
        <v>80</v>
      </c>
      <c r="E530" s="8" t="s">
        <v>81</v>
      </c>
      <c r="F530" s="12" t="s">
        <v>21</v>
      </c>
      <c r="G530" s="8">
        <v>227.0</v>
      </c>
      <c r="H530" s="8">
        <v>53.0</v>
      </c>
      <c r="I530" s="5">
        <v>0.0508912037037037</v>
      </c>
    </row>
    <row r="531">
      <c r="A531" s="3">
        <v>530.0</v>
      </c>
      <c r="B531" s="5">
        <v>0.051342592592592586</v>
      </c>
      <c r="C531" s="7" t="s">
        <v>606</v>
      </c>
      <c r="D531" s="8" t="s">
        <v>12</v>
      </c>
      <c r="E531" s="8" t="s">
        <v>115</v>
      </c>
      <c r="F531" s="12" t="s">
        <v>21</v>
      </c>
      <c r="G531" s="8">
        <v>303.0</v>
      </c>
      <c r="H531" s="8">
        <v>21.0</v>
      </c>
      <c r="I531" s="5">
        <v>0.05092592592592593</v>
      </c>
    </row>
    <row r="532">
      <c r="A532" s="3">
        <v>531.0</v>
      </c>
      <c r="B532" s="5">
        <v>0.051354166666666666</v>
      </c>
      <c r="C532" s="7" t="s">
        <v>607</v>
      </c>
      <c r="D532" s="8" t="s">
        <v>12</v>
      </c>
      <c r="E532" s="8" t="s">
        <v>95</v>
      </c>
      <c r="F532" s="10" t="s">
        <v>166</v>
      </c>
      <c r="G532" s="8">
        <v>304.0</v>
      </c>
      <c r="H532" s="8">
        <v>49.0</v>
      </c>
      <c r="I532" s="5">
        <v>0.050833333333333335</v>
      </c>
    </row>
    <row r="533">
      <c r="A533" s="3">
        <v>532.0</v>
      </c>
      <c r="B533" s="5">
        <v>0.05140046296296297</v>
      </c>
      <c r="C533" s="7" t="s">
        <v>608</v>
      </c>
      <c r="D533" s="8" t="s">
        <v>80</v>
      </c>
      <c r="E533" s="8" t="s">
        <v>81</v>
      </c>
      <c r="F533" s="10" t="s">
        <v>307</v>
      </c>
      <c r="G533" s="8">
        <v>228.0</v>
      </c>
      <c r="H533" s="8">
        <v>54.0</v>
      </c>
      <c r="I533" s="5">
        <v>0.05103009259259259</v>
      </c>
    </row>
    <row r="534">
      <c r="A534" s="3">
        <v>533.0</v>
      </c>
      <c r="B534" s="5">
        <v>0.052222222222222225</v>
      </c>
      <c r="C534" s="7" t="s">
        <v>609</v>
      </c>
      <c r="D534" s="8" t="s">
        <v>12</v>
      </c>
      <c r="E534" s="8" t="s">
        <v>237</v>
      </c>
      <c r="F534" s="10" t="s">
        <v>307</v>
      </c>
      <c r="G534" s="8">
        <v>305.0</v>
      </c>
      <c r="H534" s="8">
        <v>15.0</v>
      </c>
      <c r="I534" s="5">
        <v>0.05185185185185185</v>
      </c>
    </row>
    <row r="535">
      <c r="A535" s="3">
        <v>534.0</v>
      </c>
      <c r="B535" s="5">
        <v>0.055254629629629626</v>
      </c>
      <c r="C535" s="7" t="s">
        <v>610</v>
      </c>
      <c r="D535" s="8" t="s">
        <v>80</v>
      </c>
      <c r="E535" s="8" t="s">
        <v>228</v>
      </c>
      <c r="F535" s="10" t="s">
        <v>611</v>
      </c>
      <c r="G535" s="8">
        <v>229.0</v>
      </c>
      <c r="H535" s="8">
        <v>15.0</v>
      </c>
      <c r="I535" s="5">
        <v>0.054953703703703706</v>
      </c>
    </row>
    <row r="536">
      <c r="A536" s="3">
        <v>535.0</v>
      </c>
      <c r="B536" s="5">
        <v>0.056736111111111105</v>
      </c>
      <c r="C536" s="7" t="s">
        <v>612</v>
      </c>
      <c r="D536" s="8" t="s">
        <v>80</v>
      </c>
      <c r="E536" s="8" t="s">
        <v>173</v>
      </c>
      <c r="F536" s="10" t="s">
        <v>15</v>
      </c>
      <c r="G536" s="8">
        <v>230.0</v>
      </c>
      <c r="H536" s="8">
        <v>25.0</v>
      </c>
      <c r="I536" s="5">
        <v>0.05637731481481482</v>
      </c>
    </row>
    <row r="537">
      <c r="A537" s="3">
        <v>536.0</v>
      </c>
      <c r="B537" s="5">
        <v>0.059814814814814814</v>
      </c>
      <c r="C537" s="7" t="s">
        <v>613</v>
      </c>
      <c r="D537" s="8" t="s">
        <v>80</v>
      </c>
      <c r="E537" s="8" t="s">
        <v>228</v>
      </c>
      <c r="F537" s="10" t="s">
        <v>110</v>
      </c>
      <c r="G537" s="8">
        <v>231.0</v>
      </c>
      <c r="H537" s="8">
        <v>16.0</v>
      </c>
      <c r="I537" s="5">
        <v>0.05958333333333333</v>
      </c>
    </row>
    <row r="538">
      <c r="A538" s="3">
        <v>537.0</v>
      </c>
      <c r="B538" s="5">
        <v>0.06126157407407407</v>
      </c>
      <c r="C538" s="7" t="s">
        <v>614</v>
      </c>
      <c r="D538" s="8" t="s">
        <v>12</v>
      </c>
      <c r="E538" s="8" t="s">
        <v>14</v>
      </c>
      <c r="F538" s="10" t="s">
        <v>112</v>
      </c>
      <c r="G538" s="8">
        <v>306.0</v>
      </c>
      <c r="H538" s="8">
        <v>94.0</v>
      </c>
      <c r="I538" s="5">
        <v>0.06074074074074074</v>
      </c>
    </row>
    <row r="539">
      <c r="A539" s="3">
        <v>538.0</v>
      </c>
      <c r="B539" s="5">
        <v>0.06258101851851851</v>
      </c>
      <c r="C539" s="7" t="s">
        <v>615</v>
      </c>
      <c r="D539" s="8" t="s">
        <v>80</v>
      </c>
      <c r="E539" s="8" t="s">
        <v>239</v>
      </c>
      <c r="F539" s="10" t="s">
        <v>175</v>
      </c>
      <c r="G539" s="8">
        <v>232.0</v>
      </c>
      <c r="H539" s="8">
        <v>39.0</v>
      </c>
      <c r="I539" s="5">
        <v>0.06229166666666667</v>
      </c>
    </row>
    <row r="540">
      <c r="A540" s="3">
        <v>539.0</v>
      </c>
      <c r="B540" s="5">
        <v>0.06262731481481482</v>
      </c>
      <c r="C540" s="7" t="s">
        <v>616</v>
      </c>
      <c r="D540" s="8" t="s">
        <v>12</v>
      </c>
      <c r="E540" s="8" t="s">
        <v>115</v>
      </c>
      <c r="F540" s="10" t="s">
        <v>15</v>
      </c>
      <c r="G540" s="8">
        <v>307.0</v>
      </c>
      <c r="H540" s="8">
        <v>22.0</v>
      </c>
      <c r="I540" s="5">
        <v>0.06204861111111112</v>
      </c>
    </row>
  </sheetData>
  <conditionalFormatting sqref="A1:I540">
    <cfRule type="expression" dxfId="0" priority="1">
      <formula>if($F1="BADGERS",True)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2" max="2" width="11.25"/>
    <col customWidth="1" min="3" max="7" width="10.13"/>
    <col customWidth="1" min="8" max="8" width="23.25"/>
  </cols>
  <sheetData>
    <row r="1" ht="22.5" customHeight="1">
      <c r="A1" s="9" t="s">
        <v>1</v>
      </c>
      <c r="B1" s="9" t="s">
        <v>7</v>
      </c>
      <c r="C1" s="9" t="s">
        <v>8</v>
      </c>
      <c r="D1" s="9" t="s">
        <v>2</v>
      </c>
      <c r="E1" s="9" t="s">
        <v>9</v>
      </c>
      <c r="F1" s="9" t="s">
        <v>4</v>
      </c>
      <c r="G1" s="9" t="s">
        <v>5</v>
      </c>
      <c r="H1" s="9" t="s">
        <v>3</v>
      </c>
    </row>
    <row r="2">
      <c r="A2" s="17">
        <f>IFERROR(__xludf.DUMMYFUNCTION("query(FULL!A2:I52,""select A,G,H,B,I,D,E,C where LOWER(F)='badgers'"")"),2.0)</f>
        <v>2</v>
      </c>
      <c r="B2" s="17">
        <f>IFERROR(__xludf.DUMMYFUNCTION("""COMPUTED_VALUE"""),2.0)</f>
        <v>2</v>
      </c>
      <c r="C2" s="17">
        <f>IFERROR(__xludf.DUMMYFUNCTION("""COMPUTED_VALUE"""),2.0)</f>
        <v>2</v>
      </c>
      <c r="D2" s="22">
        <f>IFERROR(__xludf.DUMMYFUNCTION("""COMPUTED_VALUE"""),0.02187499999854481)</f>
        <v>0.021875</v>
      </c>
      <c r="E2" s="22">
        <f>IFERROR(__xludf.DUMMYFUNCTION("""COMPUTED_VALUE"""),0.021863425925403135)</f>
        <v>0.02186342593</v>
      </c>
      <c r="F2" s="17" t="str">
        <f>IFERROR(__xludf.DUMMYFUNCTION("""COMPUTED_VALUE"""),"Male")</f>
        <v>Male</v>
      </c>
      <c r="G2" s="17" t="str">
        <f>IFERROR(__xludf.DUMMYFUNCTION("""COMPUTED_VALUE"""),"SENM")</f>
        <v>SENM</v>
      </c>
      <c r="H2" s="17" t="str">
        <f>IFERROR(__xludf.DUMMYFUNCTION("""COMPUTED_VALUE"""),"Matt Scarsbrook")</f>
        <v>Matt Scarsbrook</v>
      </c>
    </row>
    <row r="3">
      <c r="A3" s="25">
        <f>IFERROR(__xludf.DUMMYFUNCTION("""COMPUTED_VALUE"""),4.0)</f>
        <v>4</v>
      </c>
      <c r="B3" s="25">
        <f>IFERROR(__xludf.DUMMYFUNCTION("""COMPUTED_VALUE"""),4.0)</f>
        <v>4</v>
      </c>
      <c r="C3" s="25">
        <f>IFERROR(__xludf.DUMMYFUNCTION("""COMPUTED_VALUE"""),4.0)</f>
        <v>4</v>
      </c>
      <c r="D3" s="27">
        <f>IFERROR(__xludf.DUMMYFUNCTION("""COMPUTED_VALUE"""),0.02305555555722094)</f>
        <v>0.02305555556</v>
      </c>
      <c r="E3" s="27">
        <f>IFERROR(__xludf.DUMMYFUNCTION("""COMPUTED_VALUE"""),0.023032407407299615)</f>
        <v>0.02303240741</v>
      </c>
      <c r="F3" s="25" t="str">
        <f>IFERROR(__xludf.DUMMYFUNCTION("""COMPUTED_VALUE"""),"Male")</f>
        <v>Male</v>
      </c>
      <c r="G3" s="25" t="str">
        <f>IFERROR(__xludf.DUMMYFUNCTION("""COMPUTED_VALUE"""),"SENM")</f>
        <v>SENM</v>
      </c>
      <c r="H3" s="25" t="str">
        <f>IFERROR(__xludf.DUMMYFUNCTION("""COMPUTED_VALUE"""),"David Hill")</f>
        <v>David Hill</v>
      </c>
    </row>
    <row r="4">
      <c r="A4" s="25">
        <f>IFERROR(__xludf.DUMMYFUNCTION("""COMPUTED_VALUE"""),15.0)</f>
        <v>15</v>
      </c>
      <c r="B4" s="25">
        <f>IFERROR(__xludf.DUMMYFUNCTION("""COMPUTED_VALUE"""),15.0)</f>
        <v>15</v>
      </c>
      <c r="C4" s="25">
        <f>IFERROR(__xludf.DUMMYFUNCTION("""COMPUTED_VALUE"""),12.0)</f>
        <v>12</v>
      </c>
      <c r="D4" s="27">
        <f>IFERROR(__xludf.DUMMYFUNCTION("""COMPUTED_VALUE"""),0.02431712962788879)</f>
        <v>0.02431712963</v>
      </c>
      <c r="E4" s="27">
        <f>IFERROR(__xludf.DUMMYFUNCTION("""COMPUTED_VALUE"""),0.024305555554747116)</f>
        <v>0.02430555555</v>
      </c>
      <c r="F4" s="25" t="str">
        <f>IFERROR(__xludf.DUMMYFUNCTION("""COMPUTED_VALUE"""),"Male")</f>
        <v>Male</v>
      </c>
      <c r="G4" s="25" t="str">
        <f>IFERROR(__xludf.DUMMYFUNCTION("""COMPUTED_VALUE"""),"SENM")</f>
        <v>SENM</v>
      </c>
      <c r="H4" s="25" t="str">
        <f>IFERROR(__xludf.DUMMYFUNCTION("""COMPUTED_VALUE"""),"Ryan Preece")</f>
        <v>Ryan Preece</v>
      </c>
    </row>
    <row r="5">
      <c r="A5" s="25">
        <f>IFERROR(__xludf.DUMMYFUNCTION("""COMPUTED_VALUE"""),18.0)</f>
        <v>18</v>
      </c>
      <c r="B5" s="25">
        <f>IFERROR(__xludf.DUMMYFUNCTION("""COMPUTED_VALUE"""),18.0)</f>
        <v>18</v>
      </c>
      <c r="C5" s="25">
        <f>IFERROR(__xludf.DUMMYFUNCTION("""COMPUTED_VALUE"""),15.0)</f>
        <v>15</v>
      </c>
      <c r="D5" s="27">
        <f>IFERROR(__xludf.DUMMYFUNCTION("""COMPUTED_VALUE"""),0.02484953703606152)</f>
        <v>0.02484953704</v>
      </c>
      <c r="E5" s="27">
        <f>IFERROR(__xludf.DUMMYFUNCTION("""COMPUTED_VALUE"""),0.02481481481299852)</f>
        <v>0.02481481481</v>
      </c>
      <c r="F5" s="25" t="str">
        <f>IFERROR(__xludf.DUMMYFUNCTION("""COMPUTED_VALUE"""),"Male")</f>
        <v>Male</v>
      </c>
      <c r="G5" s="25" t="str">
        <f>IFERROR(__xludf.DUMMYFUNCTION("""COMPUTED_VALUE"""),"SENM")</f>
        <v>SENM</v>
      </c>
      <c r="H5" s="25" t="str">
        <f>IFERROR(__xludf.DUMMYFUNCTION("""COMPUTED_VALUE"""),"Danny Warren")</f>
        <v>Danny Warren</v>
      </c>
    </row>
    <row r="6">
      <c r="A6" s="25">
        <f>IFERROR(__xludf.DUMMYFUNCTION("""COMPUTED_VALUE"""),22.0)</f>
        <v>22</v>
      </c>
      <c r="B6" s="25">
        <f>IFERROR(__xludf.DUMMYFUNCTION("""COMPUTED_VALUE"""),21.0)</f>
        <v>21</v>
      </c>
      <c r="C6" s="25">
        <f>IFERROR(__xludf.DUMMYFUNCTION("""COMPUTED_VALUE"""),2.0)</f>
        <v>2</v>
      </c>
      <c r="D6" s="27">
        <f>IFERROR(__xludf.DUMMYFUNCTION("""COMPUTED_VALUE"""),0.025011574074596865)</f>
        <v>0.02501157407</v>
      </c>
      <c r="E6" s="27">
        <f>IFERROR(__xludf.DUMMYFUNCTION("""COMPUTED_VALUE"""),0.02498842592467554)</f>
        <v>0.02498842592</v>
      </c>
      <c r="F6" s="25" t="str">
        <f>IFERROR(__xludf.DUMMYFUNCTION("""COMPUTED_VALUE"""),"Male")</f>
        <v>Male</v>
      </c>
      <c r="G6" s="25" t="str">
        <f>IFERROR(__xludf.DUMMYFUNCTION("""COMPUTED_VALUE"""),"VM45")</f>
        <v>VM45</v>
      </c>
      <c r="H6" s="25" t="str">
        <f>IFERROR(__xludf.DUMMYFUNCTION("""COMPUTED_VALUE"""),"Neil Russell")</f>
        <v>Neil Russell</v>
      </c>
    </row>
    <row r="7">
      <c r="A7" s="25">
        <f>IFERROR(__xludf.DUMMYFUNCTION("""COMPUTED_VALUE"""),28.0)</f>
        <v>28</v>
      </c>
      <c r="B7" s="25">
        <f>IFERROR(__xludf.DUMMYFUNCTION("""COMPUTED_VALUE"""),27.0)</f>
        <v>27</v>
      </c>
      <c r="C7" s="25">
        <f>IFERROR(__xludf.DUMMYFUNCTION("""COMPUTED_VALUE"""),3.0)</f>
        <v>3</v>
      </c>
      <c r="D7" s="27">
        <f>IFERROR(__xludf.DUMMYFUNCTION("""COMPUTED_VALUE"""),0.02534722222117125)</f>
        <v>0.02534722222</v>
      </c>
      <c r="E7" s="27">
        <f>IFERROR(__xludf.DUMMYFUNCTION("""COMPUTED_VALUE"""),0.025324074074887903)</f>
        <v>0.02532407407</v>
      </c>
      <c r="F7" s="25" t="str">
        <f>IFERROR(__xludf.DUMMYFUNCTION("""COMPUTED_VALUE"""),"Male")</f>
        <v>Male</v>
      </c>
      <c r="G7" s="25" t="str">
        <f>IFERROR(__xludf.DUMMYFUNCTION("""COMPUTED_VALUE"""),"VM45")</f>
        <v>VM45</v>
      </c>
      <c r="H7" s="25" t="str">
        <f>IFERROR(__xludf.DUMMYFUNCTION("""COMPUTED_VALUE"""),"Chris Horton")</f>
        <v>Chris Horton</v>
      </c>
    </row>
    <row r="8">
      <c r="A8" s="25">
        <f>IFERROR(__xludf.DUMMYFUNCTION("""COMPUTED_VALUE"""),32.0)</f>
        <v>32</v>
      </c>
      <c r="B8" s="25">
        <f>IFERROR(__xludf.DUMMYFUNCTION("""COMPUTED_VALUE"""),31.0)</f>
        <v>31</v>
      </c>
      <c r="C8" s="25">
        <f>IFERROR(__xludf.DUMMYFUNCTION("""COMPUTED_VALUE"""),22.0)</f>
        <v>22</v>
      </c>
      <c r="D8" s="27">
        <f>IFERROR(__xludf.DUMMYFUNCTION("""COMPUTED_VALUE"""),0.02555555555591127)</f>
        <v>0.02555555556</v>
      </c>
      <c r="E8" s="27">
        <f>IFERROR(__xludf.DUMMYFUNCTION("""COMPUTED_VALUE"""),0.025509259259706596)</f>
        <v>0.02550925926</v>
      </c>
      <c r="F8" s="25" t="str">
        <f>IFERROR(__xludf.DUMMYFUNCTION("""COMPUTED_VALUE"""),"Male")</f>
        <v>Male</v>
      </c>
      <c r="G8" s="25" t="str">
        <f>IFERROR(__xludf.DUMMYFUNCTION("""COMPUTED_VALUE"""),"SENM")</f>
        <v>SENM</v>
      </c>
      <c r="H8" s="25" t="str">
        <f>IFERROR(__xludf.DUMMYFUNCTION("""COMPUTED_VALUE"""),"Adrian Payne")</f>
        <v>Adrian Payne</v>
      </c>
    </row>
    <row r="9">
      <c r="A9" s="25">
        <f>IFERROR(__xludf.DUMMYFUNCTION("""COMPUTED_VALUE"""),33.0)</f>
        <v>33</v>
      </c>
      <c r="B9" s="25">
        <f>IFERROR(__xludf.DUMMYFUNCTION("""COMPUTED_VALUE"""),32.0)</f>
        <v>32</v>
      </c>
      <c r="C9" s="25">
        <f>IFERROR(__xludf.DUMMYFUNCTION("""COMPUTED_VALUE"""),5.0)</f>
        <v>5</v>
      </c>
      <c r="D9" s="27">
        <f>IFERROR(__xludf.DUMMYFUNCTION("""COMPUTED_VALUE"""),0.025543981482769595)</f>
        <v>0.02554398148</v>
      </c>
      <c r="E9" s="27">
        <f>IFERROR(__xludf.DUMMYFUNCTION("""COMPUTED_VALUE"""),0.02552083333284827)</f>
        <v>0.02552083333</v>
      </c>
      <c r="F9" s="25" t="str">
        <f>IFERROR(__xludf.DUMMYFUNCTION("""COMPUTED_VALUE"""),"Male")</f>
        <v>Male</v>
      </c>
      <c r="G9" s="25" t="str">
        <f>IFERROR(__xludf.DUMMYFUNCTION("""COMPUTED_VALUE"""),"VM45")</f>
        <v>VM45</v>
      </c>
      <c r="H9" s="25" t="str">
        <f>IFERROR(__xludf.DUMMYFUNCTION("""COMPUTED_VALUE"""),"Glyn Broadhurst")</f>
        <v>Glyn Broadhurst</v>
      </c>
    </row>
    <row r="10">
      <c r="A10" s="25">
        <f>IFERROR(__xludf.DUMMYFUNCTION("""COMPUTED_VALUE"""),58.0)</f>
        <v>58</v>
      </c>
      <c r="B10" s="25">
        <f>IFERROR(__xludf.DUMMYFUNCTION("""COMPUTED_VALUE"""),52.0)</f>
        <v>52</v>
      </c>
      <c r="C10" s="25">
        <f>IFERROR(__xludf.DUMMYFUNCTION("""COMPUTED_VALUE"""),6.0)</f>
        <v>6</v>
      </c>
      <c r="D10" s="27">
        <f>IFERROR(__xludf.DUMMYFUNCTION("""COMPUTED_VALUE"""),0.02665509259168175)</f>
        <v>0.02665509259</v>
      </c>
      <c r="E10" s="27">
        <f>IFERROR(__xludf.DUMMYFUNCTION("""COMPUTED_VALUE"""),0.026597222222335404)</f>
        <v>0.02659722222</v>
      </c>
      <c r="F10" s="25" t="str">
        <f>IFERROR(__xludf.DUMMYFUNCTION("""COMPUTED_VALUE"""),"Male")</f>
        <v>Male</v>
      </c>
      <c r="G10" s="25" t="str">
        <f>IFERROR(__xludf.DUMMYFUNCTION("""COMPUTED_VALUE"""),"VM40")</f>
        <v>VM40</v>
      </c>
      <c r="H10" s="25" t="str">
        <f>IFERROR(__xludf.DUMMYFUNCTION("""COMPUTED_VALUE"""),"Chris Tweed")</f>
        <v>Chris Tweed</v>
      </c>
    </row>
    <row r="11">
      <c r="A11" s="25">
        <f>IFERROR(__xludf.DUMMYFUNCTION("""COMPUTED_VALUE"""),64.0)</f>
        <v>64</v>
      </c>
      <c r="B11" s="25">
        <f>IFERROR(__xludf.DUMMYFUNCTION("""COMPUTED_VALUE"""),56.0)</f>
        <v>56</v>
      </c>
      <c r="C11" s="25">
        <f>IFERROR(__xludf.DUMMYFUNCTION("""COMPUTED_VALUE"""),33.0)</f>
        <v>33</v>
      </c>
      <c r="D11" s="27">
        <f>IFERROR(__xludf.DUMMYFUNCTION("""COMPUTED_VALUE"""),0.026840277776500443)</f>
        <v>0.02684027778</v>
      </c>
      <c r="E11" s="27">
        <f>IFERROR(__xludf.DUMMYFUNCTION("""COMPUTED_VALUE"""),0.026782407407154096)</f>
        <v>0.02678240741</v>
      </c>
      <c r="F11" s="25" t="str">
        <f>IFERROR(__xludf.DUMMYFUNCTION("""COMPUTED_VALUE"""),"Male")</f>
        <v>Male</v>
      </c>
      <c r="G11" s="25" t="str">
        <f>IFERROR(__xludf.DUMMYFUNCTION("""COMPUTED_VALUE"""),"SENM")</f>
        <v>SENM</v>
      </c>
      <c r="H11" s="25" t="str">
        <f>IFERROR(__xludf.DUMMYFUNCTION("""COMPUTED_VALUE"""),"Luke Neal")</f>
        <v>Luke Neal</v>
      </c>
    </row>
    <row r="12">
      <c r="A12" s="25">
        <f>IFERROR(__xludf.DUMMYFUNCTION("""COMPUTED_VALUE"""),65.0)</f>
        <v>65</v>
      </c>
      <c r="B12" s="25">
        <f>IFERROR(__xludf.DUMMYFUNCTION("""COMPUTED_VALUE"""),57.0)</f>
        <v>57</v>
      </c>
      <c r="C12" s="25">
        <f>IFERROR(__xludf.DUMMYFUNCTION("""COMPUTED_VALUE"""),8.0)</f>
        <v>8</v>
      </c>
      <c r="D12" s="27">
        <f>IFERROR(__xludf.DUMMYFUNCTION("""COMPUTED_VALUE"""),0.026851851853280095)</f>
        <v>0.02685185185</v>
      </c>
      <c r="E12" s="27">
        <f>IFERROR(__xludf.DUMMYFUNCTION("""COMPUTED_VALUE"""),0.026736111110949423)</f>
        <v>0.02673611111</v>
      </c>
      <c r="F12" s="25" t="str">
        <f>IFERROR(__xludf.DUMMYFUNCTION("""COMPUTED_VALUE"""),"Male")</f>
        <v>Male</v>
      </c>
      <c r="G12" s="25" t="str">
        <f>IFERROR(__xludf.DUMMYFUNCTION("""COMPUTED_VALUE"""),"VM40")</f>
        <v>VM40</v>
      </c>
      <c r="H12" s="25" t="str">
        <f>IFERROR(__xludf.DUMMYFUNCTION("""COMPUTED_VALUE"""),"Mark Repton")</f>
        <v>Mark Repton</v>
      </c>
    </row>
    <row r="13">
      <c r="A13" s="25">
        <f>IFERROR(__xludf.DUMMYFUNCTION("""COMPUTED_VALUE"""),114.0)</f>
        <v>114</v>
      </c>
      <c r="B13" s="25">
        <f>IFERROR(__xludf.DUMMYFUNCTION("""COMPUTED_VALUE"""),99.0)</f>
        <v>99</v>
      </c>
      <c r="C13" s="25">
        <f>IFERROR(__xludf.DUMMYFUNCTION("""COMPUTED_VALUE"""),10.0)</f>
        <v>10</v>
      </c>
      <c r="D13" s="27">
        <f>IFERROR(__xludf.DUMMYFUNCTION("""COMPUTED_VALUE"""),0.029074074074742384)</f>
        <v>0.02907407407</v>
      </c>
      <c r="E13" s="27">
        <f>IFERROR(__xludf.DUMMYFUNCTION("""COMPUTED_VALUE"""),0.028958333332411712)</f>
        <v>0.02895833333</v>
      </c>
      <c r="F13" s="25" t="str">
        <f>IFERROR(__xludf.DUMMYFUNCTION("""COMPUTED_VALUE"""),"Male")</f>
        <v>Male</v>
      </c>
      <c r="G13" s="25" t="str">
        <f>IFERROR(__xludf.DUMMYFUNCTION("""COMPUTED_VALUE"""),"VM50")</f>
        <v>VM50</v>
      </c>
      <c r="H13" s="25" t="str">
        <f>IFERROR(__xludf.DUMMYFUNCTION("""COMPUTED_VALUE"""),"Mark Coggan")</f>
        <v>Mark Coggan</v>
      </c>
    </row>
    <row r="14">
      <c r="A14" s="25">
        <f>IFERROR(__xludf.DUMMYFUNCTION("""COMPUTED_VALUE"""),119.0)</f>
        <v>119</v>
      </c>
      <c r="B14" s="25">
        <f>IFERROR(__xludf.DUMMYFUNCTION("""COMPUTED_VALUE"""),103.0)</f>
        <v>103</v>
      </c>
      <c r="C14" s="25">
        <f>IFERROR(__xludf.DUMMYFUNCTION("""COMPUTED_VALUE"""),15.0)</f>
        <v>15</v>
      </c>
      <c r="D14" s="27">
        <f>IFERROR(__xludf.DUMMYFUNCTION("""COMPUTED_VALUE"""),0.029421296298096422)</f>
        <v>0.0294212963</v>
      </c>
      <c r="E14" s="27">
        <f>IFERROR(__xludf.DUMMYFUNCTION("""COMPUTED_VALUE"""),0.029317129628907423)</f>
        <v>0.02931712963</v>
      </c>
      <c r="F14" s="25" t="str">
        <f>IFERROR(__xludf.DUMMYFUNCTION("""COMPUTED_VALUE"""),"Male")</f>
        <v>Male</v>
      </c>
      <c r="G14" s="25" t="str">
        <f>IFERROR(__xludf.DUMMYFUNCTION("""COMPUTED_VALUE"""),"VM45")</f>
        <v>VM45</v>
      </c>
      <c r="H14" s="25" t="str">
        <f>IFERROR(__xludf.DUMMYFUNCTION("""COMPUTED_VALUE"""),"David Jackson")</f>
        <v>David Jackson</v>
      </c>
    </row>
    <row r="15">
      <c r="A15" s="25">
        <f>IFERROR(__xludf.DUMMYFUNCTION("""COMPUTED_VALUE"""),131.0)</f>
        <v>131</v>
      </c>
      <c r="B15" s="25">
        <f>IFERROR(__xludf.DUMMYFUNCTION("""COMPUTED_VALUE"""),114.0)</f>
        <v>114</v>
      </c>
      <c r="C15" s="25">
        <f>IFERROR(__xludf.DUMMYFUNCTION("""COMPUTED_VALUE"""),53.0)</f>
        <v>53</v>
      </c>
      <c r="D15" s="27">
        <f>IFERROR(__xludf.DUMMYFUNCTION("""COMPUTED_VALUE"""),0.029826388887158828)</f>
        <v>0.02982638889</v>
      </c>
      <c r="E15" s="27">
        <f>IFERROR(__xludf.DUMMYFUNCTION("""COMPUTED_VALUE"""),0.02969907407532446)</f>
        <v>0.02969907408</v>
      </c>
      <c r="F15" s="25" t="str">
        <f>IFERROR(__xludf.DUMMYFUNCTION("""COMPUTED_VALUE"""),"Male")</f>
        <v>Male</v>
      </c>
      <c r="G15" s="25" t="str">
        <f>IFERROR(__xludf.DUMMYFUNCTION("""COMPUTED_VALUE"""),"SENM")</f>
        <v>SENM</v>
      </c>
      <c r="H15" s="25" t="str">
        <f>IFERROR(__xludf.DUMMYFUNCTION("""COMPUTED_VALUE"""),"Ashley Taylor")</f>
        <v>Ashley Taylor</v>
      </c>
    </row>
    <row r="16">
      <c r="A16" s="25">
        <f>IFERROR(__xludf.DUMMYFUNCTION("""COMPUTED_VALUE"""),135.0)</f>
        <v>135</v>
      </c>
      <c r="B16" s="25">
        <f>IFERROR(__xludf.DUMMYFUNCTION("""COMPUTED_VALUE"""),118.0)</f>
        <v>118</v>
      </c>
      <c r="C16" s="25">
        <f>IFERROR(__xludf.DUMMYFUNCTION("""COMPUTED_VALUE"""),16.0)</f>
        <v>16</v>
      </c>
      <c r="D16" s="27">
        <f>IFERROR(__xludf.DUMMYFUNCTION("""COMPUTED_VALUE"""),0.030127314814308193)</f>
        <v>0.03012731481</v>
      </c>
      <c r="E16" s="27">
        <f>IFERROR(__xludf.DUMMYFUNCTION("""COMPUTED_VALUE"""),0.0299768518525525)</f>
        <v>0.02997685185</v>
      </c>
      <c r="F16" s="25" t="str">
        <f>IFERROR(__xludf.DUMMYFUNCTION("""COMPUTED_VALUE"""),"Male")</f>
        <v>Male</v>
      </c>
      <c r="G16" s="25" t="str">
        <f>IFERROR(__xludf.DUMMYFUNCTION("""COMPUTED_VALUE"""),"VM45")</f>
        <v>VM45</v>
      </c>
      <c r="H16" s="25" t="str">
        <f>IFERROR(__xludf.DUMMYFUNCTION("""COMPUTED_VALUE"""),"Matthew Green")</f>
        <v>Matthew Green</v>
      </c>
    </row>
    <row r="17">
      <c r="A17" s="25">
        <f>IFERROR(__xludf.DUMMYFUNCTION("""COMPUTED_VALUE"""),168.0)</f>
        <v>168</v>
      </c>
      <c r="B17" s="25">
        <f>IFERROR(__xludf.DUMMYFUNCTION("""COMPUTED_VALUE"""),143.0)</f>
        <v>143</v>
      </c>
      <c r="C17" s="25">
        <f>IFERROR(__xludf.DUMMYFUNCTION("""COMPUTED_VALUE"""),20.0)</f>
        <v>20</v>
      </c>
      <c r="D17" s="27">
        <f>IFERROR(__xludf.DUMMYFUNCTION("""COMPUTED_VALUE"""),0.031180555553874)</f>
        <v>0.03118055555</v>
      </c>
      <c r="E17" s="27">
        <f>IFERROR(__xludf.DUMMYFUNCTION("""COMPUTED_VALUE"""),0.03097222222277196)</f>
        <v>0.03097222222</v>
      </c>
      <c r="F17" s="25" t="str">
        <f>IFERROR(__xludf.DUMMYFUNCTION("""COMPUTED_VALUE"""),"Male")</f>
        <v>Male</v>
      </c>
      <c r="G17" s="25" t="str">
        <f>IFERROR(__xludf.DUMMYFUNCTION("""COMPUTED_VALUE"""),"VM50")</f>
        <v>VM50</v>
      </c>
      <c r="H17" s="25" t="str">
        <f>IFERROR(__xludf.DUMMYFUNCTION("""COMPUTED_VALUE"""),"Stefan Martin")</f>
        <v>Stefan Martin</v>
      </c>
    </row>
    <row r="18">
      <c r="A18" s="25">
        <f>IFERROR(__xludf.DUMMYFUNCTION("""COMPUTED_VALUE"""),181.0)</f>
        <v>181</v>
      </c>
      <c r="B18" s="25">
        <f>IFERROR(__xludf.DUMMYFUNCTION("""COMPUTED_VALUE"""),154.0)</f>
        <v>154</v>
      </c>
      <c r="C18" s="25">
        <f>IFERROR(__xludf.DUMMYFUNCTION("""COMPUTED_VALUE"""),66.0)</f>
        <v>66</v>
      </c>
      <c r="D18" s="27">
        <f>IFERROR(__xludf.DUMMYFUNCTION("""COMPUTED_VALUE"""),0.03163194444277906)</f>
        <v>0.03163194444</v>
      </c>
      <c r="E18" s="27">
        <f>IFERROR(__xludf.DUMMYFUNCTION("""COMPUTED_VALUE"""),0.03136574074233067)</f>
        <v>0.03136574074</v>
      </c>
      <c r="F18" s="25" t="str">
        <f>IFERROR(__xludf.DUMMYFUNCTION("""COMPUTED_VALUE"""),"Male")</f>
        <v>Male</v>
      </c>
      <c r="G18" s="25" t="str">
        <f>IFERROR(__xludf.DUMMYFUNCTION("""COMPUTED_VALUE"""),"SENM")</f>
        <v>SENM</v>
      </c>
      <c r="H18" s="25" t="str">
        <f>IFERROR(__xludf.DUMMYFUNCTION("""COMPUTED_VALUE"""),"Wayne Repton")</f>
        <v>Wayne Repton</v>
      </c>
    </row>
    <row r="19">
      <c r="A19" s="25">
        <f>IFERROR(__xludf.DUMMYFUNCTION("""COMPUTED_VALUE"""),198.0)</f>
        <v>198</v>
      </c>
      <c r="B19" s="25">
        <f>IFERROR(__xludf.DUMMYFUNCTION("""COMPUTED_VALUE"""),165.0)</f>
        <v>165</v>
      </c>
      <c r="C19" s="25">
        <f>IFERROR(__xludf.DUMMYFUNCTION("""COMPUTED_VALUE"""),22.0)</f>
        <v>22</v>
      </c>
      <c r="D19" s="27">
        <f>IFERROR(__xludf.DUMMYFUNCTION("""COMPUTED_VALUE"""),0.03214120370466844)</f>
        <v>0.0321412037</v>
      </c>
      <c r="E19" s="27">
        <f>IFERROR(__xludf.DUMMYFUNCTION("""COMPUTED_VALUE"""),0.031898148146865424)</f>
        <v>0.03189814815</v>
      </c>
      <c r="F19" s="25" t="str">
        <f>IFERROR(__xludf.DUMMYFUNCTION("""COMPUTED_VALUE"""),"Male")</f>
        <v>Male</v>
      </c>
      <c r="G19" s="25" t="str">
        <f>IFERROR(__xludf.DUMMYFUNCTION("""COMPUTED_VALUE"""),"VM40")</f>
        <v>VM40</v>
      </c>
      <c r="H19" s="25" t="str">
        <f>IFERROR(__xludf.DUMMYFUNCTION("""COMPUTED_VALUE"""),"Bill Gutheridge")</f>
        <v>Bill Gutheridge</v>
      </c>
    </row>
    <row r="20">
      <c r="A20" s="25">
        <f>IFERROR(__xludf.DUMMYFUNCTION("""COMPUTED_VALUE"""),201.0)</f>
        <v>201</v>
      </c>
      <c r="B20" s="25">
        <f>IFERROR(__xludf.DUMMYFUNCTION("""COMPUTED_VALUE"""),34.0)</f>
        <v>34</v>
      </c>
      <c r="C20" s="25">
        <f>IFERROR(__xludf.DUMMYFUNCTION("""COMPUTED_VALUE"""),17.0)</f>
        <v>17</v>
      </c>
      <c r="D20" s="27">
        <f>IFERROR(__xludf.DUMMYFUNCTION("""COMPUTED_VALUE"""),0.03217592592773144)</f>
        <v>0.03217592593</v>
      </c>
      <c r="E20" s="27">
        <f>IFERROR(__xludf.DUMMYFUNCTION("""COMPUTED_VALUE"""),0.031979166666133096)</f>
        <v>0.03197916667</v>
      </c>
      <c r="F20" s="25" t="str">
        <f>IFERROR(__xludf.DUMMYFUNCTION("""COMPUTED_VALUE"""),"Female")</f>
        <v>Female</v>
      </c>
      <c r="G20" s="25" t="str">
        <f>IFERROR(__xludf.DUMMYFUNCTION("""COMPUTED_VALUE"""),"SENF")</f>
        <v>SENF</v>
      </c>
      <c r="H20" s="25" t="str">
        <f>IFERROR(__xludf.DUMMYFUNCTION("""COMPUTED_VALUE"""),"Megan Griffiths")</f>
        <v>Megan Griffiths</v>
      </c>
    </row>
    <row r="21">
      <c r="A21" s="25">
        <f>IFERROR(__xludf.DUMMYFUNCTION("""COMPUTED_VALUE"""),219.0)</f>
        <v>219</v>
      </c>
      <c r="B21" s="25">
        <f>IFERROR(__xludf.DUMMYFUNCTION("""COMPUTED_VALUE"""),180.0)</f>
        <v>180</v>
      </c>
      <c r="C21" s="25">
        <f>IFERROR(__xludf.DUMMYFUNCTION("""COMPUTED_VALUE"""),25.0)</f>
        <v>25</v>
      </c>
      <c r="D21" s="27">
        <f>IFERROR(__xludf.DUMMYFUNCTION("""COMPUTED_VALUE"""),0.03277777777839219)</f>
        <v>0.03277777778</v>
      </c>
      <c r="E21" s="27">
        <f>IFERROR(__xludf.DUMMYFUNCTION("""COMPUTED_VALUE"""),0.03262731481299852)</f>
        <v>0.03262731481</v>
      </c>
      <c r="F21" s="25" t="str">
        <f>IFERROR(__xludf.DUMMYFUNCTION("""COMPUTED_VALUE"""),"Male")</f>
        <v>Male</v>
      </c>
      <c r="G21" s="25" t="str">
        <f>IFERROR(__xludf.DUMMYFUNCTION("""COMPUTED_VALUE"""),"VM40")</f>
        <v>VM40</v>
      </c>
      <c r="H21" s="25" t="str">
        <f>IFERROR(__xludf.DUMMYFUNCTION("""COMPUTED_VALUE"""),"Jim Cottom")</f>
        <v>Jim Cottom</v>
      </c>
    </row>
    <row r="22">
      <c r="A22" s="25">
        <f>IFERROR(__xludf.DUMMYFUNCTION("""COMPUTED_VALUE"""),236.0)</f>
        <v>236</v>
      </c>
      <c r="B22" s="25">
        <f>IFERROR(__xludf.DUMMYFUNCTION("""COMPUTED_VALUE"""),192.0)</f>
        <v>192</v>
      </c>
      <c r="C22" s="25">
        <f>IFERROR(__xludf.DUMMYFUNCTION("""COMPUTED_VALUE"""),73.0)</f>
        <v>73</v>
      </c>
      <c r="D22" s="27">
        <f>IFERROR(__xludf.DUMMYFUNCTION("""COMPUTED_VALUE"""),0.03318287037109258)</f>
        <v>0.03318287037</v>
      </c>
      <c r="E22" s="27">
        <f>IFERROR(__xludf.DUMMYFUNCTION("""COMPUTED_VALUE"""),0.033032407405698905)</f>
        <v>0.03303240741</v>
      </c>
      <c r="F22" s="25" t="str">
        <f>IFERROR(__xludf.DUMMYFUNCTION("""COMPUTED_VALUE"""),"Male")</f>
        <v>Male</v>
      </c>
      <c r="G22" s="25" t="str">
        <f>IFERROR(__xludf.DUMMYFUNCTION("""COMPUTED_VALUE"""),"SENM")</f>
        <v>SENM</v>
      </c>
      <c r="H22" s="25" t="str">
        <f>IFERROR(__xludf.DUMMYFUNCTION("""COMPUTED_VALUE"""),"Chris Young")</f>
        <v>Chris Young</v>
      </c>
    </row>
    <row r="23">
      <c r="A23" s="25">
        <f>IFERROR(__xludf.DUMMYFUNCTION("""COMPUTED_VALUE"""),245.0)</f>
        <v>245</v>
      </c>
      <c r="B23" s="25">
        <f>IFERROR(__xludf.DUMMYFUNCTION("""COMPUTED_VALUE"""),198.0)</f>
        <v>198</v>
      </c>
      <c r="C23" s="25">
        <f>IFERROR(__xludf.DUMMYFUNCTION("""COMPUTED_VALUE"""),16.0)</f>
        <v>16</v>
      </c>
      <c r="D23" s="27">
        <f>IFERROR(__xludf.DUMMYFUNCTION("""COMPUTED_VALUE"""),0.033460648148320615)</f>
        <v>0.03346064815</v>
      </c>
      <c r="E23" s="27">
        <f>IFERROR(__xludf.DUMMYFUNCTION("""COMPUTED_VALUE"""),0.03322916666729725)</f>
        <v>0.03322916667</v>
      </c>
      <c r="F23" s="25" t="str">
        <f>IFERROR(__xludf.DUMMYFUNCTION("""COMPUTED_VALUE"""),"Male")</f>
        <v>Male</v>
      </c>
      <c r="G23" s="25" t="str">
        <f>IFERROR(__xludf.DUMMYFUNCTION("""COMPUTED_VALUE"""),"VM55")</f>
        <v>VM55</v>
      </c>
      <c r="H23" s="25" t="str">
        <f>IFERROR(__xludf.DUMMYFUNCTION("""COMPUTED_VALUE"""),"Colin Lees")</f>
        <v>Colin Lees</v>
      </c>
    </row>
    <row r="24">
      <c r="A24" s="25">
        <f>IFERROR(__xludf.DUMMYFUNCTION("""COMPUTED_VALUE"""),265.0)</f>
        <v>265</v>
      </c>
      <c r="B24" s="25">
        <f>IFERROR(__xludf.DUMMYFUNCTION("""COMPUTED_VALUE"""),57.0)</f>
        <v>57</v>
      </c>
      <c r="C24" s="25">
        <f>IFERROR(__xludf.DUMMYFUNCTION("""COMPUTED_VALUE"""),10.0)</f>
        <v>10</v>
      </c>
      <c r="D24" s="27">
        <f>IFERROR(__xludf.DUMMYFUNCTION("""COMPUTED_VALUE"""),0.034062499998981366)</f>
        <v>0.0340625</v>
      </c>
      <c r="E24" s="27">
        <f>IFERROR(__xludf.DUMMYFUNCTION("""COMPUTED_VALUE"""),0.033831018517958)</f>
        <v>0.03383101852</v>
      </c>
      <c r="F24" s="25" t="str">
        <f>IFERROR(__xludf.DUMMYFUNCTION("""COMPUTED_VALUE"""),"Female")</f>
        <v>Female</v>
      </c>
      <c r="G24" s="25" t="str">
        <f>IFERROR(__xludf.DUMMYFUNCTION("""COMPUTED_VALUE"""),"VF40")</f>
        <v>VF40</v>
      </c>
      <c r="H24" s="25" t="str">
        <f>IFERROR(__xludf.DUMMYFUNCTION("""COMPUTED_VALUE"""),"Suzy Farrell")</f>
        <v>Suzy Farrell</v>
      </c>
    </row>
    <row r="25">
      <c r="A25" s="25">
        <f>IFERROR(__xludf.DUMMYFUNCTION("""COMPUTED_VALUE"""),301.0)</f>
        <v>301</v>
      </c>
      <c r="B25" s="25">
        <f>IFERROR(__xludf.DUMMYFUNCTION("""COMPUTED_VALUE"""),231.0)</f>
        <v>231</v>
      </c>
      <c r="C25" s="25">
        <f>IFERROR(__xludf.DUMMYFUNCTION("""COMPUTED_VALUE"""),10.0)</f>
        <v>10</v>
      </c>
      <c r="D25" s="27">
        <f>IFERROR(__xludf.DUMMYFUNCTION("""COMPUTED_VALUE"""),0.035405092592554865)</f>
        <v>0.03540509259</v>
      </c>
      <c r="E25" s="27">
        <f>IFERROR(__xludf.DUMMYFUNCTION("""COMPUTED_VALUE"""),0.0351041666654055)</f>
        <v>0.03510416667</v>
      </c>
      <c r="F25" s="25" t="str">
        <f>IFERROR(__xludf.DUMMYFUNCTION("""COMPUTED_VALUE"""),"Male")</f>
        <v>Male</v>
      </c>
      <c r="G25" s="25" t="str">
        <f>IFERROR(__xludf.DUMMYFUNCTION("""COMPUTED_VALUE"""),"VM60")</f>
        <v>VM60</v>
      </c>
      <c r="H25" s="25" t="str">
        <f>IFERROR(__xludf.DUMMYFUNCTION("""COMPUTED_VALUE"""),"Robert Crow")</f>
        <v>Robert Crow</v>
      </c>
    </row>
    <row r="26">
      <c r="A26" s="25">
        <f>IFERROR(__xludf.DUMMYFUNCTION("""COMPUTED_VALUE"""),302.0)</f>
        <v>302</v>
      </c>
      <c r="B26" s="25">
        <f>IFERROR(__xludf.DUMMYFUNCTION("""COMPUTED_VALUE"""),232.0)</f>
        <v>232</v>
      </c>
      <c r="C26" s="25">
        <f>IFERROR(__xludf.DUMMYFUNCTION("""COMPUTED_VALUE"""),2.0)</f>
        <v>2</v>
      </c>
      <c r="D26" s="27">
        <f>IFERROR(__xludf.DUMMYFUNCTION("""COMPUTED_VALUE"""),0.035405092592554865)</f>
        <v>0.03540509259</v>
      </c>
      <c r="E26" s="27">
        <f>IFERROR(__xludf.DUMMYFUNCTION("""COMPUTED_VALUE"""),0.03511574074218515)</f>
        <v>0.03511574074</v>
      </c>
      <c r="F26" s="25" t="str">
        <f>IFERROR(__xludf.DUMMYFUNCTION("""COMPUTED_VALUE"""),"Male")</f>
        <v>Male</v>
      </c>
      <c r="G26" s="25" t="str">
        <f>IFERROR(__xludf.DUMMYFUNCTION("""COMPUTED_VALUE"""),"VM70")</f>
        <v>VM70</v>
      </c>
      <c r="H26" s="25" t="str">
        <f>IFERROR(__xludf.DUMMYFUNCTION("""COMPUTED_VALUE"""),"Michael Bailey")</f>
        <v>Michael Bailey</v>
      </c>
    </row>
    <row r="27">
      <c r="A27" s="25">
        <f>IFERROR(__xludf.DUMMYFUNCTION("""COMPUTED_VALUE"""),338.0)</f>
        <v>338</v>
      </c>
      <c r="B27" s="25">
        <f>IFERROR(__xludf.DUMMYFUNCTION("""COMPUTED_VALUE"""),87.0)</f>
        <v>87</v>
      </c>
      <c r="C27" s="25">
        <f>IFERROR(__xludf.DUMMYFUNCTION("""COMPUTED_VALUE"""),15.0)</f>
        <v>15</v>
      </c>
      <c r="D27" s="27">
        <f>IFERROR(__xludf.DUMMYFUNCTION("""COMPUTED_VALUE"""),0.03684027777853771)</f>
        <v>0.03684027778</v>
      </c>
      <c r="E27" s="27">
        <f>IFERROR(__xludf.DUMMYFUNCTION("""COMPUTED_VALUE"""),0.036446759258979)</f>
        <v>0.03644675926</v>
      </c>
      <c r="F27" s="25" t="str">
        <f>IFERROR(__xludf.DUMMYFUNCTION("""COMPUTED_VALUE"""),"Female")</f>
        <v>Female</v>
      </c>
      <c r="G27" s="25" t="str">
        <f>IFERROR(__xludf.DUMMYFUNCTION("""COMPUTED_VALUE"""),"VF50")</f>
        <v>VF50</v>
      </c>
      <c r="H27" s="25" t="str">
        <f>IFERROR(__xludf.DUMMYFUNCTION("""COMPUTED_VALUE"""),"Victoria Jones")</f>
        <v>Victoria Jones</v>
      </c>
    </row>
    <row r="28">
      <c r="A28" s="25">
        <f>IFERROR(__xludf.DUMMYFUNCTION("""COMPUTED_VALUE"""),339.0)</f>
        <v>339</v>
      </c>
      <c r="B28" s="25">
        <f>IFERROR(__xludf.DUMMYFUNCTION("""COMPUTED_VALUE"""),88.0)</f>
        <v>88</v>
      </c>
      <c r="C28" s="25">
        <f>IFERROR(__xludf.DUMMYFUNCTION("""COMPUTED_VALUE"""),11.0)</f>
        <v>11</v>
      </c>
      <c r="D28" s="27">
        <f>IFERROR(__xludf.DUMMYFUNCTION("""COMPUTED_VALUE"""),0.03689814814788406)</f>
        <v>0.03689814815</v>
      </c>
      <c r="E28" s="27">
        <f>IFERROR(__xludf.DUMMYFUNCTION("""COMPUTED_VALUE"""),0.036539351851388346)</f>
        <v>0.03653935185</v>
      </c>
      <c r="F28" s="25" t="str">
        <f>IFERROR(__xludf.DUMMYFUNCTION("""COMPUTED_VALUE"""),"Female")</f>
        <v>Female</v>
      </c>
      <c r="G28" s="25" t="str">
        <f>IFERROR(__xludf.DUMMYFUNCTION("""COMPUTED_VALUE"""),"VF55")</f>
        <v>VF55</v>
      </c>
      <c r="H28" s="25" t="str">
        <f>IFERROR(__xludf.DUMMYFUNCTION("""COMPUTED_VALUE"""),"Stephanie White")</f>
        <v>Stephanie White</v>
      </c>
    </row>
    <row r="29">
      <c r="A29" s="25">
        <f>IFERROR(__xludf.DUMMYFUNCTION("""COMPUTED_VALUE"""),344.0)</f>
        <v>344</v>
      </c>
      <c r="B29" s="25">
        <f>IFERROR(__xludf.DUMMYFUNCTION("""COMPUTED_VALUE"""),92.0)</f>
        <v>92</v>
      </c>
      <c r="C29" s="25">
        <f>IFERROR(__xludf.DUMMYFUNCTION("""COMPUTED_VALUE"""),16.0)</f>
        <v>16</v>
      </c>
      <c r="D29" s="27">
        <f>IFERROR(__xludf.DUMMYFUNCTION("""COMPUTED_VALUE"""),0.037094907405844424)</f>
        <v>0.03709490741</v>
      </c>
      <c r="E29" s="27">
        <f>IFERROR(__xludf.DUMMYFUNCTION("""COMPUTED_VALUE"""),0.03693287037094706)</f>
        <v>0.03693287037</v>
      </c>
      <c r="F29" s="25" t="str">
        <f>IFERROR(__xludf.DUMMYFUNCTION("""COMPUTED_VALUE"""),"Female")</f>
        <v>Female</v>
      </c>
      <c r="G29" s="25" t="str">
        <f>IFERROR(__xludf.DUMMYFUNCTION("""COMPUTED_VALUE"""),"VF40")</f>
        <v>VF40</v>
      </c>
      <c r="H29" s="25" t="str">
        <f>IFERROR(__xludf.DUMMYFUNCTION("""COMPUTED_VALUE"""),"Rachael Browne")</f>
        <v>Rachael Browne</v>
      </c>
    </row>
    <row r="30">
      <c r="A30" s="25">
        <f>IFERROR(__xludf.DUMMYFUNCTION("""COMPUTED_VALUE"""),352.0)</f>
        <v>352</v>
      </c>
      <c r="B30" s="25">
        <f>IFERROR(__xludf.DUMMYFUNCTION("""COMPUTED_VALUE"""),96.0)</f>
        <v>96</v>
      </c>
      <c r="C30" s="25">
        <f>IFERROR(__xludf.DUMMYFUNCTION("""COMPUTED_VALUE"""),13.0)</f>
        <v>13</v>
      </c>
      <c r="D30" s="27">
        <f>IFERROR(__xludf.DUMMYFUNCTION("""COMPUTED_VALUE"""),0.037245370371238096)</f>
        <v>0.03724537037</v>
      </c>
      <c r="E30" s="27">
        <f>IFERROR(__xludf.DUMMYFUNCTION("""COMPUTED_VALUE"""),0.036782407409191364)</f>
        <v>0.03678240741</v>
      </c>
      <c r="F30" s="25" t="str">
        <f>IFERROR(__xludf.DUMMYFUNCTION("""COMPUTED_VALUE"""),"Female")</f>
        <v>Female</v>
      </c>
      <c r="G30" s="25" t="str">
        <f>IFERROR(__xludf.DUMMYFUNCTION("""COMPUTED_VALUE"""),"VF45")</f>
        <v>VF45</v>
      </c>
      <c r="H30" s="25" t="str">
        <f>IFERROR(__xludf.DUMMYFUNCTION("""COMPUTED_VALUE"""),"Liz Peel")</f>
        <v>Liz Peel</v>
      </c>
    </row>
    <row r="31">
      <c r="A31" s="25">
        <f>IFERROR(__xludf.DUMMYFUNCTION("""COMPUTED_VALUE"""),365.0)</f>
        <v>365</v>
      </c>
      <c r="B31" s="25">
        <f>IFERROR(__xludf.DUMMYFUNCTION("""COMPUTED_VALUE"""),263.0)</f>
        <v>263</v>
      </c>
      <c r="C31" s="25">
        <f>IFERROR(__xludf.DUMMYFUNCTION("""COMPUTED_VALUE"""),32.0)</f>
        <v>32</v>
      </c>
      <c r="D31" s="27">
        <f>IFERROR(__xludf.DUMMYFUNCTION("""COMPUTED_VALUE"""),0.037743055556347826)</f>
        <v>0.03774305556</v>
      </c>
      <c r="E31" s="27">
        <f>IFERROR(__xludf.DUMMYFUNCTION("""COMPUTED_VALUE"""),0.037349537036789116)</f>
        <v>0.03734953704</v>
      </c>
      <c r="F31" s="25" t="str">
        <f>IFERROR(__xludf.DUMMYFUNCTION("""COMPUTED_VALUE"""),"Male")</f>
        <v>Male</v>
      </c>
      <c r="G31" s="25" t="str">
        <f>IFERROR(__xludf.DUMMYFUNCTION("""COMPUTED_VALUE"""),"VM40")</f>
        <v>VM40</v>
      </c>
      <c r="H31" s="25" t="str">
        <f>IFERROR(__xludf.DUMMYFUNCTION("""COMPUTED_VALUE"""),"Paul Cooper")</f>
        <v>Paul Cooper</v>
      </c>
    </row>
    <row r="32">
      <c r="A32" s="25">
        <f>IFERROR(__xludf.DUMMYFUNCTION("""COMPUTED_VALUE"""),373.0)</f>
        <v>373</v>
      </c>
      <c r="B32" s="25">
        <f>IFERROR(__xludf.DUMMYFUNCTION("""COMPUTED_VALUE"""),105.0)</f>
        <v>105</v>
      </c>
      <c r="C32" s="25">
        <f>IFERROR(__xludf.DUMMYFUNCTION("""COMPUTED_VALUE"""),20.0)</f>
        <v>20</v>
      </c>
      <c r="D32" s="27">
        <f>IFERROR(__xludf.DUMMYFUNCTION("""COMPUTED_VALUE"""),0.03792824074116652)</f>
        <v>0.03792824074</v>
      </c>
      <c r="E32" s="27">
        <f>IFERROR(__xludf.DUMMYFUNCTION("""COMPUTED_VALUE"""),0.03756944444467081)</f>
        <v>0.03756944444</v>
      </c>
      <c r="F32" s="25" t="str">
        <f>IFERROR(__xludf.DUMMYFUNCTION("""COMPUTED_VALUE"""),"Female")</f>
        <v>Female</v>
      </c>
      <c r="G32" s="25" t="str">
        <f>IFERROR(__xludf.DUMMYFUNCTION("""COMPUTED_VALUE"""),"VF40")</f>
        <v>VF40</v>
      </c>
      <c r="H32" s="25" t="str">
        <f>IFERROR(__xludf.DUMMYFUNCTION("""COMPUTED_VALUE"""),"Jill Miller")</f>
        <v>Jill Miller</v>
      </c>
    </row>
    <row r="33">
      <c r="A33" s="25">
        <f>IFERROR(__xludf.DUMMYFUNCTION("""COMPUTED_VALUE"""),376.0)</f>
        <v>376</v>
      </c>
      <c r="B33" s="25">
        <f>IFERROR(__xludf.DUMMYFUNCTION("""COMPUTED_VALUE"""),108.0)</f>
        <v>108</v>
      </c>
      <c r="C33" s="25">
        <f>IFERROR(__xludf.DUMMYFUNCTION("""COMPUTED_VALUE"""),21.0)</f>
        <v>21</v>
      </c>
      <c r="D33" s="27">
        <f>IFERROR(__xludf.DUMMYFUNCTION("""COMPUTED_VALUE"""),0.038090277776063886)</f>
        <v>0.03809027778</v>
      </c>
      <c r="E33" s="27">
        <f>IFERROR(__xludf.DUMMYFUNCTION("""COMPUTED_VALUE"""),0.03773148148320615)</f>
        <v>0.03773148148</v>
      </c>
      <c r="F33" s="25" t="str">
        <f>IFERROR(__xludf.DUMMYFUNCTION("""COMPUTED_VALUE"""),"Female")</f>
        <v>Female</v>
      </c>
      <c r="G33" s="25" t="str">
        <f>IFERROR(__xludf.DUMMYFUNCTION("""COMPUTED_VALUE"""),"VF40")</f>
        <v>VF40</v>
      </c>
      <c r="H33" s="25" t="str">
        <f>IFERROR(__xludf.DUMMYFUNCTION("""COMPUTED_VALUE"""),"Kat Wilson")</f>
        <v>Kat Wilson</v>
      </c>
    </row>
    <row r="34">
      <c r="A34" s="25">
        <f>IFERROR(__xludf.DUMMYFUNCTION("""COMPUTED_VALUE"""),377.0)</f>
        <v>377</v>
      </c>
      <c r="B34" s="25">
        <f>IFERROR(__xludf.DUMMYFUNCTION("""COMPUTED_VALUE"""),109.0)</f>
        <v>109</v>
      </c>
      <c r="C34" s="25">
        <f>IFERROR(__xludf.DUMMYFUNCTION("""COMPUTED_VALUE"""),31.0)</f>
        <v>31</v>
      </c>
      <c r="D34" s="27">
        <f>IFERROR(__xludf.DUMMYFUNCTION("""COMPUTED_VALUE"""),0.038124999999126885)</f>
        <v>0.038125</v>
      </c>
      <c r="E34" s="27">
        <f>IFERROR(__xludf.DUMMYFUNCTION("""COMPUTED_VALUE"""),0.03789351851810352)</f>
        <v>0.03789351852</v>
      </c>
      <c r="F34" s="25" t="str">
        <f>IFERROR(__xludf.DUMMYFUNCTION("""COMPUTED_VALUE"""),"Female")</f>
        <v>Female</v>
      </c>
      <c r="G34" s="25" t="str">
        <f>IFERROR(__xludf.DUMMYFUNCTION("""COMPUTED_VALUE"""),"SENF")</f>
        <v>SENF</v>
      </c>
      <c r="H34" s="25" t="str">
        <f>IFERROR(__xludf.DUMMYFUNCTION("""COMPUTED_VALUE"""),"Beth Woodward")</f>
        <v>Beth Woodward</v>
      </c>
    </row>
    <row r="35">
      <c r="A35" s="25">
        <f>IFERROR(__xludf.DUMMYFUNCTION("""COMPUTED_VALUE"""),378.0)</f>
        <v>378</v>
      </c>
      <c r="B35" s="25">
        <f>IFERROR(__xludf.DUMMYFUNCTION("""COMPUTED_VALUE"""),110.0)</f>
        <v>110</v>
      </c>
      <c r="C35" s="25">
        <f>IFERROR(__xludf.DUMMYFUNCTION("""COMPUTED_VALUE"""),32.0)</f>
        <v>32</v>
      </c>
      <c r="D35" s="27">
        <f>IFERROR(__xludf.DUMMYFUNCTION("""COMPUTED_VALUE"""),0.03813657407226856)</f>
        <v>0.03813657407</v>
      </c>
      <c r="E35" s="27">
        <f>IFERROR(__xludf.DUMMYFUNCTION("""COMPUTED_VALUE"""),0.037777777779410826)</f>
        <v>0.03777777778</v>
      </c>
      <c r="F35" s="25" t="str">
        <f>IFERROR(__xludf.DUMMYFUNCTION("""COMPUTED_VALUE"""),"Female")</f>
        <v>Female</v>
      </c>
      <c r="G35" s="25" t="str">
        <f>IFERROR(__xludf.DUMMYFUNCTION("""COMPUTED_VALUE"""),"SENF")</f>
        <v>SENF</v>
      </c>
      <c r="H35" s="25" t="str">
        <f>IFERROR(__xludf.DUMMYFUNCTION("""COMPUTED_VALUE"""),"Grace Barsby")</f>
        <v>Grace Barsby</v>
      </c>
    </row>
    <row r="36">
      <c r="A36" s="25">
        <f>IFERROR(__xludf.DUMMYFUNCTION("""COMPUTED_VALUE"""),391.0)</f>
        <v>391</v>
      </c>
      <c r="B36" s="25">
        <f>IFERROR(__xludf.DUMMYFUNCTION("""COMPUTED_VALUE"""),119.0)</f>
        <v>119</v>
      </c>
      <c r="C36" s="25">
        <f>IFERROR(__xludf.DUMMYFUNCTION("""COMPUTED_VALUE"""),17.0)</f>
        <v>17</v>
      </c>
      <c r="D36" s="27">
        <f>IFERROR(__xludf.DUMMYFUNCTION("""COMPUTED_VALUE"""),0.038796296295913635)</f>
        <v>0.0387962963</v>
      </c>
      <c r="E36" s="27">
        <f>IFERROR(__xludf.DUMMYFUNCTION("""COMPUTED_VALUE"""),0.03853009259182727)</f>
        <v>0.03853009259</v>
      </c>
      <c r="F36" s="25" t="str">
        <f>IFERROR(__xludf.DUMMYFUNCTION("""COMPUTED_VALUE"""),"Female")</f>
        <v>Female</v>
      </c>
      <c r="G36" s="25" t="str">
        <f>IFERROR(__xludf.DUMMYFUNCTION("""COMPUTED_VALUE"""),"VF45")</f>
        <v>VF45</v>
      </c>
      <c r="H36" s="25" t="str">
        <f>IFERROR(__xludf.DUMMYFUNCTION("""COMPUTED_VALUE"""),"Jane Barrett")</f>
        <v>Jane Barrett</v>
      </c>
    </row>
    <row r="37">
      <c r="A37" s="25">
        <f>IFERROR(__xludf.DUMMYFUNCTION("""COMPUTED_VALUE"""),410.0)</f>
        <v>410</v>
      </c>
      <c r="B37" s="25">
        <f>IFERROR(__xludf.DUMMYFUNCTION("""COMPUTED_VALUE"""),134.0)</f>
        <v>134</v>
      </c>
      <c r="C37" s="25">
        <f>IFERROR(__xludf.DUMMYFUNCTION("""COMPUTED_VALUE"""),36.0)</f>
        <v>36</v>
      </c>
      <c r="D37" s="27">
        <f>IFERROR(__xludf.DUMMYFUNCTION("""COMPUTED_VALUE"""),0.03952546296204673)</f>
        <v>0.03952546296</v>
      </c>
      <c r="E37" s="27">
        <f>IFERROR(__xludf.DUMMYFUNCTION("""COMPUTED_VALUE"""),0.039189814815472346)</f>
        <v>0.03918981482</v>
      </c>
      <c r="F37" s="25" t="str">
        <f>IFERROR(__xludf.DUMMYFUNCTION("""COMPUTED_VALUE"""),"Female")</f>
        <v>Female</v>
      </c>
      <c r="G37" s="25" t="str">
        <f>IFERROR(__xludf.DUMMYFUNCTION("""COMPUTED_VALUE"""),"SENF")</f>
        <v>SENF</v>
      </c>
      <c r="H37" s="25" t="str">
        <f>IFERROR(__xludf.DUMMYFUNCTION("""COMPUTED_VALUE"""),"Alice Belcher")</f>
        <v>Alice Belcher</v>
      </c>
    </row>
    <row r="38">
      <c r="A38" s="25">
        <f>IFERROR(__xludf.DUMMYFUNCTION("""COMPUTED_VALUE"""),417.0)</f>
        <v>417</v>
      </c>
      <c r="B38" s="25">
        <f>IFERROR(__xludf.DUMMYFUNCTION("""COMPUTED_VALUE"""),139.0)</f>
        <v>139</v>
      </c>
      <c r="C38" s="25">
        <f>IFERROR(__xludf.DUMMYFUNCTION("""COMPUTED_VALUE"""),15.0)</f>
        <v>15</v>
      </c>
      <c r="D38" s="27">
        <f>IFERROR(__xludf.DUMMYFUNCTION("""COMPUTED_VALUE"""),0.04002314814715646)</f>
        <v>0.04002314815</v>
      </c>
      <c r="E38" s="27">
        <f>IFERROR(__xludf.DUMMYFUNCTION("""COMPUTED_VALUE"""),0.039606481481314404)</f>
        <v>0.03960648148</v>
      </c>
      <c r="F38" s="25" t="str">
        <f>IFERROR(__xludf.DUMMYFUNCTION("""COMPUTED_VALUE"""),"Female")</f>
        <v>Female</v>
      </c>
      <c r="G38" s="25" t="str">
        <f>IFERROR(__xludf.DUMMYFUNCTION("""COMPUTED_VALUE"""),"VF55")</f>
        <v>VF55</v>
      </c>
      <c r="H38" s="25" t="str">
        <f>IFERROR(__xludf.DUMMYFUNCTION("""COMPUTED_VALUE"""),"Judy Parkes")</f>
        <v>Judy Parkes</v>
      </c>
    </row>
    <row r="39">
      <c r="A39" s="25">
        <f>IFERROR(__xludf.DUMMYFUNCTION("""COMPUTED_VALUE"""),435.0)</f>
        <v>435</v>
      </c>
      <c r="B39" s="25">
        <f>IFERROR(__xludf.DUMMYFUNCTION("""COMPUTED_VALUE"""),152.0)</f>
        <v>152</v>
      </c>
      <c r="C39" s="25">
        <f>IFERROR(__xludf.DUMMYFUNCTION("""COMPUTED_VALUE"""),25.0)</f>
        <v>25</v>
      </c>
      <c r="D39" s="27">
        <f>IFERROR(__xludf.DUMMYFUNCTION("""COMPUTED_VALUE"""),0.04099537037109258)</f>
        <v>0.04099537037</v>
      </c>
      <c r="E39" s="27">
        <f>IFERROR(__xludf.DUMMYFUNCTION("""COMPUTED_VALUE"""),0.04065972222088021)</f>
        <v>0.04065972222</v>
      </c>
      <c r="F39" s="25" t="str">
        <f>IFERROR(__xludf.DUMMYFUNCTION("""COMPUTED_VALUE"""),"Female")</f>
        <v>Female</v>
      </c>
      <c r="G39" s="25" t="str">
        <f>IFERROR(__xludf.DUMMYFUNCTION("""COMPUTED_VALUE"""),"VF45")</f>
        <v>VF45</v>
      </c>
      <c r="H39" s="25" t="str">
        <f>IFERROR(__xludf.DUMMYFUNCTION("""COMPUTED_VALUE"""),"Joanne Davies")</f>
        <v>Joanne Davies</v>
      </c>
    </row>
    <row r="40">
      <c r="A40" s="25">
        <f>IFERROR(__xludf.DUMMYFUNCTION("""COMPUTED_VALUE"""),437.0)</f>
        <v>437</v>
      </c>
      <c r="B40" s="25">
        <f>IFERROR(__xludf.DUMMYFUNCTION("""COMPUTED_VALUE"""),284.0)</f>
        <v>284</v>
      </c>
      <c r="C40" s="25">
        <f>IFERROR(__xludf.DUMMYFUNCTION("""COMPUTED_VALUE"""),34.0)</f>
        <v>34</v>
      </c>
      <c r="D40" s="27">
        <f>IFERROR(__xludf.DUMMYFUNCTION("""COMPUTED_VALUE"""),0.041030092594155576)</f>
        <v>0.04103009259</v>
      </c>
      <c r="E40" s="27">
        <f>IFERROR(__xludf.DUMMYFUNCTION("""COMPUTED_VALUE"""),0.04061342592467554)</f>
        <v>0.04061342592</v>
      </c>
      <c r="F40" s="25" t="str">
        <f>IFERROR(__xludf.DUMMYFUNCTION("""COMPUTED_VALUE"""),"Male")</f>
        <v>Male</v>
      </c>
      <c r="G40" s="25" t="str">
        <f>IFERROR(__xludf.DUMMYFUNCTION("""COMPUTED_VALUE"""),"VM40")</f>
        <v>VM40</v>
      </c>
      <c r="H40" s="25" t="str">
        <f>IFERROR(__xludf.DUMMYFUNCTION("""COMPUTED_VALUE"""),"Kieren Coopey")</f>
        <v>Kieren Coopey</v>
      </c>
    </row>
    <row r="41">
      <c r="A41" s="25">
        <f>IFERROR(__xludf.DUMMYFUNCTION("""COMPUTED_VALUE"""),443.0)</f>
        <v>443</v>
      </c>
      <c r="B41" s="25">
        <f>IFERROR(__xludf.DUMMYFUNCTION("""COMPUTED_VALUE"""),159.0)</f>
        <v>159</v>
      </c>
      <c r="C41" s="25">
        <f>IFERROR(__xludf.DUMMYFUNCTION("""COMPUTED_VALUE"""),31.0)</f>
        <v>31</v>
      </c>
      <c r="D41" s="27">
        <f>IFERROR(__xludf.DUMMYFUNCTION("""COMPUTED_VALUE"""),0.04129629629460396)</f>
        <v>0.04129629629</v>
      </c>
      <c r="E41" s="27">
        <f>IFERROR(__xludf.DUMMYFUNCTION("""COMPUTED_VALUE"""),0.04089120370190358)</f>
        <v>0.0408912037</v>
      </c>
      <c r="F41" s="25" t="str">
        <f>IFERROR(__xludf.DUMMYFUNCTION("""COMPUTED_VALUE"""),"Female")</f>
        <v>Female</v>
      </c>
      <c r="G41" s="25" t="str">
        <f>IFERROR(__xludf.DUMMYFUNCTION("""COMPUTED_VALUE"""),"VF40")</f>
        <v>VF40</v>
      </c>
      <c r="H41" s="25" t="str">
        <f>IFERROR(__xludf.DUMMYFUNCTION("""COMPUTED_VALUE"""),"Krystal Knight")</f>
        <v>Krystal Knight</v>
      </c>
    </row>
    <row r="42">
      <c r="A42" s="25">
        <f>IFERROR(__xludf.DUMMYFUNCTION("""COMPUTED_VALUE"""),445.0)</f>
        <v>445</v>
      </c>
      <c r="B42" s="25">
        <f>IFERROR(__xludf.DUMMYFUNCTION("""COMPUTED_VALUE"""),285.0)</f>
        <v>285</v>
      </c>
      <c r="C42" s="25">
        <f>IFERROR(__xludf.DUMMYFUNCTION("""COMPUTED_VALUE"""),35.0)</f>
        <v>35</v>
      </c>
      <c r="D42" s="27">
        <f>IFERROR(__xludf.DUMMYFUNCTION("""COMPUTED_VALUE"""),0.04133101851766696)</f>
        <v>0.04133101852</v>
      </c>
      <c r="E42" s="27">
        <f>IFERROR(__xludf.DUMMYFUNCTION("""COMPUTED_VALUE"""),0.041134259259706596)</f>
        <v>0.04113425926</v>
      </c>
      <c r="F42" s="25" t="str">
        <f>IFERROR(__xludf.DUMMYFUNCTION("""COMPUTED_VALUE"""),"Male")</f>
        <v>Male</v>
      </c>
      <c r="G42" s="25" t="str">
        <f>IFERROR(__xludf.DUMMYFUNCTION("""COMPUTED_VALUE"""),"VM40")</f>
        <v>VM40</v>
      </c>
      <c r="H42" s="25" t="str">
        <f>IFERROR(__xludf.DUMMYFUNCTION("""COMPUTED_VALUE"""),"Carl Ford")</f>
        <v>Carl Ford</v>
      </c>
    </row>
    <row r="43">
      <c r="A43" s="25">
        <f>IFERROR(__xludf.DUMMYFUNCTION("""COMPUTED_VALUE"""),456.0)</f>
        <v>456</v>
      </c>
      <c r="B43" s="25">
        <f>IFERROR(__xludf.DUMMYFUNCTION("""COMPUTED_VALUE"""),170.0)</f>
        <v>170</v>
      </c>
      <c r="C43" s="25">
        <f>IFERROR(__xludf.DUMMYFUNCTION("""COMPUTED_VALUE"""),36.0)</f>
        <v>36</v>
      </c>
      <c r="D43" s="27">
        <f>IFERROR(__xludf.DUMMYFUNCTION("""COMPUTED_VALUE"""),0.042048611110658385)</f>
        <v>0.04204861111</v>
      </c>
      <c r="E43" s="27">
        <f>IFERROR(__xludf.DUMMYFUNCTION("""COMPUTED_VALUE"""),0.04168981481416267)</f>
        <v>0.04168981481</v>
      </c>
      <c r="F43" s="25" t="str">
        <f>IFERROR(__xludf.DUMMYFUNCTION("""COMPUTED_VALUE"""),"Female")</f>
        <v>Female</v>
      </c>
      <c r="G43" s="25" t="str">
        <f>IFERROR(__xludf.DUMMYFUNCTION("""COMPUTED_VALUE"""),"VF40")</f>
        <v>VF40</v>
      </c>
      <c r="H43" s="25" t="str">
        <f>IFERROR(__xludf.DUMMYFUNCTION("""COMPUTED_VALUE"""),"Ann-Marie Currier")</f>
        <v>Ann-Marie Currier</v>
      </c>
    </row>
    <row r="44">
      <c r="A44" s="25">
        <f>IFERROR(__xludf.DUMMYFUNCTION("""COMPUTED_VALUE"""),458.0)</f>
        <v>458</v>
      </c>
      <c r="B44" s="25">
        <f>IFERROR(__xludf.DUMMYFUNCTION("""COMPUTED_VALUE"""),288.0)</f>
        <v>288</v>
      </c>
      <c r="C44" s="25">
        <f>IFERROR(__xludf.DUMMYFUNCTION("""COMPUTED_VALUE"""),47.0)</f>
        <v>47</v>
      </c>
      <c r="D44" s="27">
        <f>IFERROR(__xludf.DUMMYFUNCTION("""COMPUTED_VALUE"""),0.042222222222335404)</f>
        <v>0.04222222222</v>
      </c>
      <c r="E44" s="27">
        <f>IFERROR(__xludf.DUMMYFUNCTION("""COMPUTED_VALUE"""),0.04189814814890269)</f>
        <v>0.04189814815</v>
      </c>
      <c r="F44" s="25" t="str">
        <f>IFERROR(__xludf.DUMMYFUNCTION("""COMPUTED_VALUE"""),"Male")</f>
        <v>Male</v>
      </c>
      <c r="G44" s="25" t="str">
        <f>IFERROR(__xludf.DUMMYFUNCTION("""COMPUTED_VALUE"""),"VM50")</f>
        <v>VM50</v>
      </c>
      <c r="H44" s="25" t="str">
        <f>IFERROR(__xludf.DUMMYFUNCTION("""COMPUTED_VALUE"""),"Matthew Smith")</f>
        <v>Matthew Smith</v>
      </c>
    </row>
    <row r="45">
      <c r="A45" s="25">
        <f>IFERROR(__xludf.DUMMYFUNCTION("""COMPUTED_VALUE"""),478.0)</f>
        <v>478</v>
      </c>
      <c r="B45" s="25">
        <f>IFERROR(__xludf.DUMMYFUNCTION("""COMPUTED_VALUE"""),186.0)</f>
        <v>186</v>
      </c>
      <c r="C45" s="25">
        <f>IFERROR(__xludf.DUMMYFUNCTION("""COMPUTED_VALUE"""),11.0)</f>
        <v>11</v>
      </c>
      <c r="D45" s="27">
        <f>IFERROR(__xludf.DUMMYFUNCTION("""COMPUTED_VALUE"""),0.04341435185051523)</f>
        <v>0.04341435185</v>
      </c>
      <c r="E45" s="27">
        <f>IFERROR(__xludf.DUMMYFUNCTION("""COMPUTED_VALUE"""),0.04299768518467317)</f>
        <v>0.04299768518</v>
      </c>
      <c r="F45" s="25" t="str">
        <f>IFERROR(__xludf.DUMMYFUNCTION("""COMPUTED_VALUE"""),"Female")</f>
        <v>Female</v>
      </c>
      <c r="G45" s="25" t="str">
        <f>IFERROR(__xludf.DUMMYFUNCTION("""COMPUTED_VALUE"""),"VF60")</f>
        <v>VF60</v>
      </c>
      <c r="H45" s="25" t="str">
        <f>IFERROR(__xludf.DUMMYFUNCTION("""COMPUTED_VALUE"""),"Maggi Savinbaden")</f>
        <v>Maggi Savinbaden</v>
      </c>
    </row>
    <row r="46">
      <c r="A46" s="25">
        <f>IFERROR(__xludf.DUMMYFUNCTION("""COMPUTED_VALUE"""),479.0)</f>
        <v>479</v>
      </c>
      <c r="B46" s="25">
        <f>IFERROR(__xludf.DUMMYFUNCTION("""COMPUTED_VALUE"""),187.0)</f>
        <v>187</v>
      </c>
      <c r="C46" s="25">
        <f>IFERROR(__xludf.DUMMYFUNCTION("""COMPUTED_VALUE"""),30.0)</f>
        <v>30</v>
      </c>
      <c r="D46" s="27">
        <f>IFERROR(__xludf.DUMMYFUNCTION("""COMPUTED_VALUE"""),0.04341435185051523)</f>
        <v>0.04341435185</v>
      </c>
      <c r="E46" s="27">
        <f>IFERROR(__xludf.DUMMYFUNCTION("""COMPUTED_VALUE"""),0.0430208333345945)</f>
        <v>0.04302083333</v>
      </c>
      <c r="F46" s="25" t="str">
        <f>IFERROR(__xludf.DUMMYFUNCTION("""COMPUTED_VALUE"""),"Female")</f>
        <v>Female</v>
      </c>
      <c r="G46" s="25" t="str">
        <f>IFERROR(__xludf.DUMMYFUNCTION("""COMPUTED_VALUE"""),"VF45")</f>
        <v>VF45</v>
      </c>
      <c r="H46" s="25" t="str">
        <f>IFERROR(__xludf.DUMMYFUNCTION("""COMPUTED_VALUE"""),"Sarah Reynolds")</f>
        <v>Sarah Reynolds</v>
      </c>
    </row>
    <row r="47">
      <c r="A47" s="25">
        <f>IFERROR(__xludf.DUMMYFUNCTION("""COMPUTED_VALUE"""),506.0)</f>
        <v>506</v>
      </c>
      <c r="B47" s="25">
        <f>IFERROR(__xludf.DUMMYFUNCTION("""COMPUTED_VALUE"""),208.0)</f>
        <v>208</v>
      </c>
      <c r="C47" s="25">
        <f>IFERROR(__xludf.DUMMYFUNCTION("""COMPUTED_VALUE"""),36.0)</f>
        <v>36</v>
      </c>
      <c r="D47" s="27">
        <f>IFERROR(__xludf.DUMMYFUNCTION("""COMPUTED_VALUE"""),0.04638888888803194)</f>
        <v>0.04638888889</v>
      </c>
      <c r="E47" s="27">
        <f>IFERROR(__xludf.DUMMYFUNCTION("""COMPUTED_VALUE"""),0.045902777776063886)</f>
        <v>0.04590277778</v>
      </c>
      <c r="F47" s="25" t="str">
        <f>IFERROR(__xludf.DUMMYFUNCTION("""COMPUTED_VALUE"""),"Female")</f>
        <v>Female</v>
      </c>
      <c r="G47" s="25" t="str">
        <f>IFERROR(__xludf.DUMMYFUNCTION("""COMPUTED_VALUE"""),"VF45")</f>
        <v>VF45</v>
      </c>
      <c r="H47" s="25" t="str">
        <f>IFERROR(__xludf.DUMMYFUNCTION("""COMPUTED_VALUE"""),"Karen Draper")</f>
        <v>Karen Draper</v>
      </c>
    </row>
    <row r="48">
      <c r="A48" s="25">
        <f>IFERROR(__xludf.DUMMYFUNCTION("""COMPUTED_VALUE"""),507.0)</f>
        <v>507</v>
      </c>
      <c r="B48" s="25">
        <f>IFERROR(__xludf.DUMMYFUNCTION("""COMPUTED_VALUE"""),209.0)</f>
        <v>209</v>
      </c>
      <c r="C48" s="25">
        <f>IFERROR(__xludf.DUMMYFUNCTION("""COMPUTED_VALUE"""),43.0)</f>
        <v>43</v>
      </c>
      <c r="D48" s="27">
        <f>IFERROR(__xludf.DUMMYFUNCTION("""COMPUTED_VALUE"""),0.04641203703795327)</f>
        <v>0.04641203704</v>
      </c>
      <c r="E48" s="27">
        <f>IFERROR(__xludf.DUMMYFUNCTION("""COMPUTED_VALUE"""),0.04592592592598521)</f>
        <v>0.04592592593</v>
      </c>
      <c r="F48" s="25" t="str">
        <f>IFERROR(__xludf.DUMMYFUNCTION("""COMPUTED_VALUE"""),"Female")</f>
        <v>Female</v>
      </c>
      <c r="G48" s="25" t="str">
        <f>IFERROR(__xludf.DUMMYFUNCTION("""COMPUTED_VALUE"""),"VF40")</f>
        <v>VF40</v>
      </c>
      <c r="H48" s="25" t="str">
        <f>IFERROR(__xludf.DUMMYFUNCTION("""COMPUTED_VALUE"""),"Clare Whetton")</f>
        <v>Clare Whetton</v>
      </c>
    </row>
    <row r="49">
      <c r="A49" s="25">
        <f>IFERROR(__xludf.DUMMYFUNCTION("""COMPUTED_VALUE"""),518.0)</f>
        <v>518</v>
      </c>
      <c r="B49" s="25">
        <f>IFERROR(__xludf.DUMMYFUNCTION("""COMPUTED_VALUE"""),217.0)</f>
        <v>217</v>
      </c>
      <c r="C49" s="25">
        <f>IFERROR(__xludf.DUMMYFUNCTION("""COMPUTED_VALUE"""),36.0)</f>
        <v>36</v>
      </c>
      <c r="D49" s="27">
        <f>IFERROR(__xludf.DUMMYFUNCTION("""COMPUTED_VALUE"""),0.04832175925912452)</f>
        <v>0.04832175926</v>
      </c>
      <c r="E49" s="27">
        <f>IFERROR(__xludf.DUMMYFUNCTION("""COMPUTED_VALUE"""),0.04790509259328246)</f>
        <v>0.04790509259</v>
      </c>
      <c r="F49" s="25" t="str">
        <f>IFERROR(__xludf.DUMMYFUNCTION("""COMPUTED_VALUE"""),"Female")</f>
        <v>Female</v>
      </c>
      <c r="G49" s="25" t="str">
        <f>IFERROR(__xludf.DUMMYFUNCTION("""COMPUTED_VALUE"""),"VF50")</f>
        <v>VF50</v>
      </c>
      <c r="H49" s="25" t="str">
        <f>IFERROR(__xludf.DUMMYFUNCTION("""COMPUTED_VALUE"""),"Anne Devenney")</f>
        <v>Anne Devenney</v>
      </c>
    </row>
    <row r="50">
      <c r="A50" s="25">
        <f>IFERROR(__xludf.DUMMYFUNCTION("""COMPUTED_VALUE"""),525.0)</f>
        <v>525</v>
      </c>
      <c r="B50" s="25">
        <f>IFERROR(__xludf.DUMMYFUNCTION("""COMPUTED_VALUE"""),224.0)</f>
        <v>224</v>
      </c>
      <c r="C50" s="25">
        <f>IFERROR(__xludf.DUMMYFUNCTION("""COMPUTED_VALUE"""),24.0)</f>
        <v>24</v>
      </c>
      <c r="D50" s="27">
        <f>IFERROR(__xludf.DUMMYFUNCTION("""COMPUTED_VALUE"""),0.050925925927003846)</f>
        <v>0.05092592593</v>
      </c>
      <c r="E50" s="27">
        <f>IFERROR(__xludf.DUMMYFUNCTION("""COMPUTED_VALUE"""),0.05050925925752381)</f>
        <v>0.05050925926</v>
      </c>
      <c r="F50" s="25" t="str">
        <f>IFERROR(__xludf.DUMMYFUNCTION("""COMPUTED_VALUE"""),"Female")</f>
        <v>Female</v>
      </c>
      <c r="G50" s="25" t="str">
        <f>IFERROR(__xludf.DUMMYFUNCTION("""COMPUTED_VALUE"""),"VF55")</f>
        <v>VF55</v>
      </c>
      <c r="H50" s="25" t="str">
        <f>IFERROR(__xludf.DUMMYFUNCTION("""COMPUTED_VALUE"""),"Teresa Satchell")</f>
        <v>Teresa Satchell</v>
      </c>
    </row>
    <row r="51">
      <c r="A51" s="25">
        <f>IFERROR(__xludf.DUMMYFUNCTION("""COMPUTED_VALUE"""),529.0)</f>
        <v>529</v>
      </c>
      <c r="B51" s="25">
        <f>IFERROR(__xludf.DUMMYFUNCTION("""COMPUTED_VALUE"""),227.0)</f>
        <v>227</v>
      </c>
      <c r="C51" s="25">
        <f>IFERROR(__xludf.DUMMYFUNCTION("""COMPUTED_VALUE"""),53.0)</f>
        <v>53</v>
      </c>
      <c r="D51" s="27">
        <f>IFERROR(__xludf.DUMMYFUNCTION("""COMPUTED_VALUE"""),0.05131944444292458)</f>
        <v>0.05131944444</v>
      </c>
      <c r="E51" s="27">
        <f>IFERROR(__xludf.DUMMYFUNCTION("""COMPUTED_VALUE"""),0.050891203703940846)</f>
        <v>0.0508912037</v>
      </c>
      <c r="F51" s="25" t="str">
        <f>IFERROR(__xludf.DUMMYFUNCTION("""COMPUTED_VALUE"""),"Female")</f>
        <v>Female</v>
      </c>
      <c r="G51" s="25" t="str">
        <f>IFERROR(__xludf.DUMMYFUNCTION("""COMPUTED_VALUE"""),"SENF")</f>
        <v>SENF</v>
      </c>
      <c r="H51" s="25" t="str">
        <f>IFERROR(__xludf.DUMMYFUNCTION("""COMPUTED_VALUE"""),"Kate Rathbone")</f>
        <v>Kate Rathbone</v>
      </c>
    </row>
    <row r="52">
      <c r="A52" s="25">
        <f>IFERROR(__xludf.DUMMYFUNCTION("""COMPUTED_VALUE"""),530.0)</f>
        <v>530</v>
      </c>
      <c r="B52" s="25">
        <f>IFERROR(__xludf.DUMMYFUNCTION("""COMPUTED_VALUE"""),303.0)</f>
        <v>303</v>
      </c>
      <c r="C52" s="25">
        <f>IFERROR(__xludf.DUMMYFUNCTION("""COMPUTED_VALUE"""),21.0)</f>
        <v>21</v>
      </c>
      <c r="D52" s="27">
        <f>IFERROR(__xludf.DUMMYFUNCTION("""COMPUTED_VALUE"""),0.051342592592845904)</f>
        <v>0.05134259259</v>
      </c>
      <c r="E52" s="27">
        <f>IFERROR(__xludf.DUMMYFUNCTION("""COMPUTED_VALUE"""),0.050925925927003846)</f>
        <v>0.05092592593</v>
      </c>
      <c r="F52" s="25" t="str">
        <f>IFERROR(__xludf.DUMMYFUNCTION("""COMPUTED_VALUE"""),"Male")</f>
        <v>Male</v>
      </c>
      <c r="G52" s="25" t="str">
        <f>IFERROR(__xludf.DUMMYFUNCTION("""COMPUTED_VALUE"""),"VM60")</f>
        <v>VM60</v>
      </c>
      <c r="H52" s="25" t="str">
        <f>IFERROR(__xludf.DUMMYFUNCTION("""COMPUTED_VALUE"""),"Richard Reilly")</f>
        <v>Richard Reilly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0.13"/>
    <col customWidth="1" min="3" max="3" width="22.63"/>
    <col customWidth="1" min="4" max="4" width="1.38"/>
    <col customWidth="1" min="5" max="6" width="10.13"/>
    <col customWidth="1" min="7" max="7" width="22.63"/>
    <col customWidth="1" min="8" max="8" width="1.38"/>
    <col customWidth="1" min="9" max="10" width="10.13"/>
    <col customWidth="1" min="11" max="11" width="22.63"/>
  </cols>
  <sheetData>
    <row r="1" ht="22.5" customHeight="1">
      <c r="A1" s="2" t="s">
        <v>0</v>
      </c>
      <c r="B1" s="4"/>
      <c r="C1" s="11"/>
      <c r="D1" s="13"/>
      <c r="E1" s="14" t="s">
        <v>25</v>
      </c>
      <c r="F1" s="4"/>
      <c r="G1" s="11"/>
      <c r="H1" s="13"/>
      <c r="I1" s="15" t="s">
        <v>38</v>
      </c>
      <c r="J1" s="4"/>
      <c r="K1" s="4"/>
      <c r="L1" s="11"/>
    </row>
    <row r="2" ht="22.5" customHeight="1">
      <c r="A2" s="16" t="s">
        <v>44</v>
      </c>
      <c r="B2" s="18" t="s">
        <v>1</v>
      </c>
      <c r="C2" s="19" t="s">
        <v>3</v>
      </c>
      <c r="D2" s="20"/>
      <c r="E2" s="21" t="s">
        <v>44</v>
      </c>
      <c r="F2" s="18" t="s">
        <v>1</v>
      </c>
      <c r="G2" s="19" t="s">
        <v>3</v>
      </c>
      <c r="H2" s="20"/>
      <c r="I2" s="21" t="s">
        <v>44</v>
      </c>
      <c r="J2" s="18" t="s">
        <v>1</v>
      </c>
      <c r="K2" s="21" t="s">
        <v>3</v>
      </c>
      <c r="L2" s="19" t="s">
        <v>4</v>
      </c>
    </row>
    <row r="3">
      <c r="A3" s="23">
        <v>1.0</v>
      </c>
      <c r="B3" s="24">
        <f>IFERROR(__xludf.DUMMYFUNCTION("query(BADGERS!A2:H37,""Select B,H where F ='Male' limit 6"")"),2.0)</f>
        <v>2</v>
      </c>
      <c r="C3" s="26" t="str">
        <f>IFERROR(__xludf.DUMMYFUNCTION("""COMPUTED_VALUE"""),"Matt Scarsbrook")</f>
        <v>Matt Scarsbrook</v>
      </c>
      <c r="D3" s="20"/>
      <c r="E3" s="24">
        <v>1.0</v>
      </c>
      <c r="F3" s="28">
        <f>IFERROR(__xludf.DUMMYFUNCTION("query(BADGERS!A2:H37,""Select B,H where F ='Female' limit 4"")"),34.0)</f>
        <v>34</v>
      </c>
      <c r="G3" s="26" t="str">
        <f>IFERROR(__xludf.DUMMYFUNCTION("""COMPUTED_VALUE"""),"Megan Griffiths")</f>
        <v>Megan Griffiths</v>
      </c>
      <c r="H3" s="20"/>
      <c r="I3" s="24">
        <v>1.0</v>
      </c>
      <c r="J3" s="24">
        <f>IFERROR(__xludf.DUMMYFUNCTION("query({query(BADGERS!A2:H37,""Select B,H,F where F ='Male' limit 4"");query(BADGERS!A2:H37,""Select B,H,F where F ='Female' limit 4"")},""Order by Col1"")"),2.0)</f>
        <v>2</v>
      </c>
      <c r="K3" s="24" t="str">
        <f>IFERROR(__xludf.DUMMYFUNCTION("""COMPUTED_VALUE"""),"Matt Scarsbrook")</f>
        <v>Matt Scarsbrook</v>
      </c>
      <c r="L3" s="26" t="str">
        <f>IFERROR(__xludf.DUMMYFUNCTION("""COMPUTED_VALUE"""),"Male")</f>
        <v>Male</v>
      </c>
    </row>
    <row r="4">
      <c r="A4" s="23">
        <v>2.0</v>
      </c>
      <c r="B4" s="24">
        <f>IFERROR(__xludf.DUMMYFUNCTION("""COMPUTED_VALUE"""),4.0)</f>
        <v>4</v>
      </c>
      <c r="C4" s="26" t="str">
        <f>IFERROR(__xludf.DUMMYFUNCTION("""COMPUTED_VALUE"""),"David Hill")</f>
        <v>David Hill</v>
      </c>
      <c r="D4" s="20"/>
      <c r="E4" s="24">
        <v>2.0</v>
      </c>
      <c r="F4" s="24">
        <f>IFERROR(__xludf.DUMMYFUNCTION("""COMPUTED_VALUE"""),57.0)</f>
        <v>57</v>
      </c>
      <c r="G4" s="26" t="str">
        <f>IFERROR(__xludf.DUMMYFUNCTION("""COMPUTED_VALUE"""),"Suzy Farrell")</f>
        <v>Suzy Farrell</v>
      </c>
      <c r="H4" s="20"/>
      <c r="I4" s="24">
        <v>2.0</v>
      </c>
      <c r="J4" s="24">
        <f>IFERROR(__xludf.DUMMYFUNCTION("""COMPUTED_VALUE"""),4.0)</f>
        <v>4</v>
      </c>
      <c r="K4" s="24" t="str">
        <f>IFERROR(__xludf.DUMMYFUNCTION("""COMPUTED_VALUE"""),"David Hill")</f>
        <v>David Hill</v>
      </c>
      <c r="L4" s="26" t="str">
        <f>IFERROR(__xludf.DUMMYFUNCTION("""COMPUTED_VALUE"""),"Male")</f>
        <v>Male</v>
      </c>
    </row>
    <row r="5">
      <c r="A5" s="23">
        <v>3.0</v>
      </c>
      <c r="B5" s="24">
        <f>IFERROR(__xludf.DUMMYFUNCTION("""COMPUTED_VALUE"""),15.0)</f>
        <v>15</v>
      </c>
      <c r="C5" s="26" t="str">
        <f>IFERROR(__xludf.DUMMYFUNCTION("""COMPUTED_VALUE"""),"Ryan Preece")</f>
        <v>Ryan Preece</v>
      </c>
      <c r="D5" s="20"/>
      <c r="E5" s="24">
        <v>3.0</v>
      </c>
      <c r="F5" s="24">
        <f>IFERROR(__xludf.DUMMYFUNCTION("""COMPUTED_VALUE"""),87.0)</f>
        <v>87</v>
      </c>
      <c r="G5" s="26" t="str">
        <f>IFERROR(__xludf.DUMMYFUNCTION("""COMPUTED_VALUE"""),"Victoria Jones")</f>
        <v>Victoria Jones</v>
      </c>
      <c r="H5" s="20"/>
      <c r="I5" s="24">
        <v>3.0</v>
      </c>
      <c r="J5" s="24">
        <f>IFERROR(__xludf.DUMMYFUNCTION("""COMPUTED_VALUE"""),15.0)</f>
        <v>15</v>
      </c>
      <c r="K5" s="24" t="str">
        <f>IFERROR(__xludf.DUMMYFUNCTION("""COMPUTED_VALUE"""),"Ryan Preece")</f>
        <v>Ryan Preece</v>
      </c>
      <c r="L5" s="26" t="str">
        <f>IFERROR(__xludf.DUMMYFUNCTION("""COMPUTED_VALUE"""),"Male")</f>
        <v>Male</v>
      </c>
    </row>
    <row r="6">
      <c r="A6" s="23">
        <v>4.0</v>
      </c>
      <c r="B6" s="24">
        <f>IFERROR(__xludf.DUMMYFUNCTION("""COMPUTED_VALUE"""),18.0)</f>
        <v>18</v>
      </c>
      <c r="C6" s="26" t="str">
        <f>IFERROR(__xludf.DUMMYFUNCTION("""COMPUTED_VALUE"""),"Danny Warren")</f>
        <v>Danny Warren</v>
      </c>
      <c r="D6" s="20"/>
      <c r="E6" s="29">
        <v>4.0</v>
      </c>
      <c r="F6" s="29">
        <f>IFERROR(__xludf.DUMMYFUNCTION("""COMPUTED_VALUE"""),88.0)</f>
        <v>88</v>
      </c>
      <c r="G6" s="30" t="str">
        <f>IFERROR(__xludf.DUMMYFUNCTION("""COMPUTED_VALUE"""),"Stephanie White")</f>
        <v>Stephanie White</v>
      </c>
      <c r="H6" s="20"/>
      <c r="I6" s="24">
        <v>4.0</v>
      </c>
      <c r="J6" s="24">
        <f>IFERROR(__xludf.DUMMYFUNCTION("""COMPUTED_VALUE"""),18.0)</f>
        <v>18</v>
      </c>
      <c r="K6" s="24" t="str">
        <f>IFERROR(__xludf.DUMMYFUNCTION("""COMPUTED_VALUE"""),"Danny Warren")</f>
        <v>Danny Warren</v>
      </c>
      <c r="L6" s="26" t="str">
        <f>IFERROR(__xludf.DUMMYFUNCTION("""COMPUTED_VALUE"""),"Male")</f>
        <v>Male</v>
      </c>
    </row>
    <row r="7">
      <c r="A7" s="23">
        <v>5.0</v>
      </c>
      <c r="B7" s="24">
        <f>IFERROR(__xludf.DUMMYFUNCTION("""COMPUTED_VALUE"""),21.0)</f>
        <v>21</v>
      </c>
      <c r="C7" s="26" t="str">
        <f>IFERROR(__xludf.DUMMYFUNCTION("""COMPUTED_VALUE"""),"Neil Russell")</f>
        <v>Neil Russell</v>
      </c>
      <c r="D7" s="20"/>
      <c r="E7" s="31" t="s">
        <v>107</v>
      </c>
      <c r="F7" s="32">
        <f>sum(F3:F6)</f>
        <v>266</v>
      </c>
      <c r="G7" s="33"/>
      <c r="H7" s="20"/>
      <c r="I7" s="24">
        <v>5.0</v>
      </c>
      <c r="J7" s="24">
        <f>IFERROR(__xludf.DUMMYFUNCTION("""COMPUTED_VALUE"""),34.0)</f>
        <v>34</v>
      </c>
      <c r="K7" s="24" t="str">
        <f>IFERROR(__xludf.DUMMYFUNCTION("""COMPUTED_VALUE"""),"Megan Griffiths")</f>
        <v>Megan Griffiths</v>
      </c>
      <c r="L7" s="26" t="str">
        <f>IFERROR(__xludf.DUMMYFUNCTION("""COMPUTED_VALUE"""),"Female")</f>
        <v>Female</v>
      </c>
    </row>
    <row r="8">
      <c r="A8" s="34">
        <v>6.0</v>
      </c>
      <c r="B8" s="29">
        <f>IFERROR(__xludf.DUMMYFUNCTION("""COMPUTED_VALUE"""),27.0)</f>
        <v>27</v>
      </c>
      <c r="C8" s="30" t="str">
        <f>IFERROR(__xludf.DUMMYFUNCTION("""COMPUTED_VALUE"""),"Chris Horton")</f>
        <v>Chris Horton</v>
      </c>
      <c r="D8" s="33"/>
      <c r="E8" s="33"/>
      <c r="F8" s="33"/>
      <c r="G8" s="33"/>
      <c r="H8" s="20"/>
      <c r="I8" s="24">
        <v>6.0</v>
      </c>
      <c r="J8" s="24">
        <f>IFERROR(__xludf.DUMMYFUNCTION("""COMPUTED_VALUE"""),57.0)</f>
        <v>57</v>
      </c>
      <c r="K8" s="24" t="str">
        <f>IFERROR(__xludf.DUMMYFUNCTION("""COMPUTED_VALUE"""),"Suzy Farrell")</f>
        <v>Suzy Farrell</v>
      </c>
      <c r="L8" s="26" t="str">
        <f>IFERROR(__xludf.DUMMYFUNCTION("""COMPUTED_VALUE"""),"Female")</f>
        <v>Female</v>
      </c>
    </row>
    <row r="9">
      <c r="A9" s="35" t="s">
        <v>107</v>
      </c>
      <c r="B9" s="32">
        <f>sum(B3:B8)</f>
        <v>87</v>
      </c>
      <c r="C9" s="33"/>
      <c r="D9" s="33"/>
      <c r="E9" s="33"/>
      <c r="F9" s="33"/>
      <c r="G9" s="33"/>
      <c r="H9" s="20"/>
      <c r="I9" s="24">
        <v>7.0</v>
      </c>
      <c r="J9" s="24">
        <f>IFERROR(__xludf.DUMMYFUNCTION("""COMPUTED_VALUE"""),87.0)</f>
        <v>87</v>
      </c>
      <c r="K9" s="24" t="str">
        <f>IFERROR(__xludf.DUMMYFUNCTION("""COMPUTED_VALUE"""),"Victoria Jones")</f>
        <v>Victoria Jones</v>
      </c>
      <c r="L9" s="26" t="str">
        <f>IFERROR(__xludf.DUMMYFUNCTION("""COMPUTED_VALUE"""),"Female")</f>
        <v>Female</v>
      </c>
    </row>
    <row r="10">
      <c r="A10" s="36"/>
      <c r="B10" s="33"/>
      <c r="C10" s="33"/>
      <c r="D10" s="33"/>
      <c r="E10" s="33"/>
      <c r="F10" s="33"/>
      <c r="G10" s="33"/>
      <c r="H10" s="20"/>
      <c r="I10" s="29">
        <v>8.0</v>
      </c>
      <c r="J10" s="29">
        <f>IFERROR(__xludf.DUMMYFUNCTION("""COMPUTED_VALUE"""),88.0)</f>
        <v>88</v>
      </c>
      <c r="K10" s="29" t="str">
        <f>IFERROR(__xludf.DUMMYFUNCTION("""COMPUTED_VALUE"""),"Stephanie White")</f>
        <v>Stephanie White</v>
      </c>
      <c r="L10" s="30" t="str">
        <f>IFERROR(__xludf.DUMMYFUNCTION("""COMPUTED_VALUE"""),"Female")</f>
        <v>Female</v>
      </c>
    </row>
    <row r="11">
      <c r="A11" s="36"/>
      <c r="B11" s="33"/>
      <c r="C11" s="33"/>
      <c r="D11" s="33"/>
      <c r="E11" s="33"/>
      <c r="F11" s="33"/>
      <c r="G11" s="33"/>
      <c r="H11" s="20"/>
      <c r="I11" s="31" t="s">
        <v>107</v>
      </c>
      <c r="J11" s="32">
        <f>sum(J3:J10)</f>
        <v>305</v>
      </c>
      <c r="K11" s="33"/>
      <c r="L11" s="33"/>
    </row>
    <row r="12" ht="7.5" customHeight="1">
      <c r="A12" s="37"/>
      <c r="B12" s="38"/>
      <c r="C12" s="38"/>
      <c r="D12" s="33"/>
      <c r="E12" s="38"/>
      <c r="F12" s="38"/>
      <c r="G12" s="38"/>
      <c r="H12" s="33"/>
      <c r="I12" s="33"/>
      <c r="J12" s="33"/>
      <c r="K12" s="33"/>
      <c r="L12" s="33"/>
    </row>
    <row r="13" ht="22.5" customHeight="1">
      <c r="A13" s="39" t="s">
        <v>135</v>
      </c>
      <c r="C13" s="40"/>
      <c r="D13" s="20"/>
      <c r="E13" s="41" t="s">
        <v>137</v>
      </c>
      <c r="G13" s="40"/>
      <c r="H13" s="33"/>
      <c r="I13" s="33"/>
      <c r="J13" s="33"/>
      <c r="K13" s="33"/>
      <c r="L13" s="33"/>
    </row>
    <row r="14" ht="22.5" customHeight="1">
      <c r="A14" s="16" t="s">
        <v>44</v>
      </c>
      <c r="B14" s="18" t="s">
        <v>1</v>
      </c>
      <c r="C14" s="19" t="s">
        <v>3</v>
      </c>
      <c r="D14" s="20"/>
      <c r="E14" s="21" t="s">
        <v>44</v>
      </c>
      <c r="F14" s="18" t="s">
        <v>1</v>
      </c>
      <c r="G14" s="19" t="s">
        <v>3</v>
      </c>
      <c r="H14" s="33"/>
      <c r="I14" s="33"/>
      <c r="J14" s="33"/>
      <c r="K14" s="33"/>
      <c r="L14" s="33"/>
    </row>
    <row r="15">
      <c r="A15" s="23">
        <v>1.0</v>
      </c>
      <c r="B15" s="24">
        <f>IFERROR(__xludf.DUMMYFUNCTION("query(BADGERS!A2:H37,""Select B,H where (F ='Male' and B &gt; ""&amp;B8&amp;"") limit 6"")"),31.0)</f>
        <v>31</v>
      </c>
      <c r="C15" s="26" t="str">
        <f>IFERROR(__xludf.DUMMYFUNCTION("""COMPUTED_VALUE"""),"Adrian Payne")</f>
        <v>Adrian Payne</v>
      </c>
      <c r="D15" s="20"/>
      <c r="E15" s="42">
        <v>1.0</v>
      </c>
      <c r="F15" s="28">
        <f>IFERROR(__xludf.DUMMYFUNCTION("query(BADGERS!A14:H37,""Select B,H where (F ='Female' and B &gt; ""&amp;F6&amp;"") limit 4"")"),92.0)</f>
        <v>92</v>
      </c>
      <c r="G15" s="26" t="str">
        <f>IFERROR(__xludf.DUMMYFUNCTION("""COMPUTED_VALUE"""),"Rachael Browne")</f>
        <v>Rachael Browne</v>
      </c>
      <c r="H15" s="33"/>
      <c r="I15" s="33"/>
      <c r="J15" s="33"/>
      <c r="K15" s="33"/>
      <c r="L15" s="33"/>
    </row>
    <row r="16">
      <c r="A16" s="23">
        <v>2.0</v>
      </c>
      <c r="B16" s="24">
        <f>IFERROR(__xludf.DUMMYFUNCTION("""COMPUTED_VALUE"""),32.0)</f>
        <v>32</v>
      </c>
      <c r="C16" s="26" t="str">
        <f>IFERROR(__xludf.DUMMYFUNCTION("""COMPUTED_VALUE"""),"Glyn Broadhurst")</f>
        <v>Glyn Broadhurst</v>
      </c>
      <c r="D16" s="20"/>
      <c r="E16" s="24">
        <v>2.0</v>
      </c>
      <c r="F16" s="24">
        <f>IFERROR(__xludf.DUMMYFUNCTION("""COMPUTED_VALUE"""),96.0)</f>
        <v>96</v>
      </c>
      <c r="G16" s="26" t="str">
        <f>IFERROR(__xludf.DUMMYFUNCTION("""COMPUTED_VALUE"""),"Liz Peel")</f>
        <v>Liz Peel</v>
      </c>
      <c r="H16" s="33"/>
      <c r="I16" s="33"/>
      <c r="J16" s="33"/>
      <c r="K16" s="33"/>
      <c r="L16" s="33"/>
    </row>
    <row r="17">
      <c r="A17" s="23">
        <v>3.0</v>
      </c>
      <c r="B17" s="24">
        <f>IFERROR(__xludf.DUMMYFUNCTION("""COMPUTED_VALUE"""),52.0)</f>
        <v>52</v>
      </c>
      <c r="C17" s="26" t="str">
        <f>IFERROR(__xludf.DUMMYFUNCTION("""COMPUTED_VALUE"""),"Chris Tweed")</f>
        <v>Chris Tweed</v>
      </c>
      <c r="D17" s="20"/>
      <c r="E17" s="24">
        <v>3.0</v>
      </c>
      <c r="F17" s="24">
        <f>IFERROR(__xludf.DUMMYFUNCTION("""COMPUTED_VALUE"""),105.0)</f>
        <v>105</v>
      </c>
      <c r="G17" s="26" t="str">
        <f>IFERROR(__xludf.DUMMYFUNCTION("""COMPUTED_VALUE"""),"Jill Miller")</f>
        <v>Jill Miller</v>
      </c>
      <c r="H17" s="33"/>
      <c r="I17" s="33"/>
      <c r="J17" s="33"/>
      <c r="K17" s="33"/>
      <c r="L17" s="33"/>
    </row>
    <row r="18">
      <c r="A18" s="43">
        <v>4.0</v>
      </c>
      <c r="B18" s="24">
        <f>IFERROR(__xludf.DUMMYFUNCTION("""COMPUTED_VALUE"""),56.0)</f>
        <v>56</v>
      </c>
      <c r="C18" s="26" t="str">
        <f>IFERROR(__xludf.DUMMYFUNCTION("""COMPUTED_VALUE"""),"Luke Neal")</f>
        <v>Luke Neal</v>
      </c>
      <c r="D18" s="20"/>
      <c r="E18" s="44">
        <v>4.0</v>
      </c>
      <c r="F18" s="29">
        <f>IFERROR(__xludf.DUMMYFUNCTION("""COMPUTED_VALUE"""),108.0)</f>
        <v>108</v>
      </c>
      <c r="G18" s="30" t="str">
        <f>IFERROR(__xludf.DUMMYFUNCTION("""COMPUTED_VALUE"""),"Kat Wilson")</f>
        <v>Kat Wilson</v>
      </c>
      <c r="H18" s="33"/>
      <c r="I18" s="33"/>
      <c r="J18" s="33"/>
      <c r="K18" s="33"/>
      <c r="L18" s="33"/>
    </row>
    <row r="19" ht="7.5" customHeight="1">
      <c r="A19" s="43">
        <v>5.0</v>
      </c>
      <c r="B19" s="24">
        <f>IFERROR(__xludf.DUMMYFUNCTION("""COMPUTED_VALUE"""),57.0)</f>
        <v>57</v>
      </c>
      <c r="C19" s="26" t="str">
        <f>IFERROR(__xludf.DUMMYFUNCTION("""COMPUTED_VALUE"""),"Mark Repton")</f>
        <v>Mark Repton</v>
      </c>
      <c r="D19" s="20"/>
      <c r="E19" s="31" t="s">
        <v>107</v>
      </c>
      <c r="F19" s="32">
        <f>sum(F15:F18)</f>
        <v>401</v>
      </c>
      <c r="G19" s="33"/>
      <c r="H19" s="33"/>
      <c r="I19" s="33"/>
      <c r="J19" s="33"/>
      <c r="K19" s="33"/>
      <c r="L19" s="33"/>
    </row>
    <row r="20">
      <c r="A20" s="45">
        <v>6.0</v>
      </c>
      <c r="B20" s="29">
        <f>IFERROR(__xludf.DUMMYFUNCTION("""COMPUTED_VALUE"""),99.0)</f>
        <v>99</v>
      </c>
      <c r="C20" s="30" t="str">
        <f>IFERROR(__xludf.DUMMYFUNCTION("""COMPUTED_VALUE"""),"Mark Coggan")</f>
        <v>Mark Coggan</v>
      </c>
      <c r="D20" s="33"/>
      <c r="E20" s="33"/>
      <c r="F20" s="33"/>
      <c r="G20" s="33"/>
      <c r="H20" s="33"/>
      <c r="I20" s="33"/>
      <c r="J20" s="33"/>
      <c r="K20" s="33"/>
      <c r="L20" s="33"/>
    </row>
    <row r="21">
      <c r="A21" s="35" t="s">
        <v>107</v>
      </c>
      <c r="B21" s="32">
        <f>sum(B15:B20)</f>
        <v>327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7.5" customHeight="1">
      <c r="A22" s="37"/>
      <c r="B22" s="38"/>
      <c r="C22" s="38"/>
      <c r="D22" s="33"/>
      <c r="E22" s="38"/>
      <c r="F22" s="38"/>
      <c r="G22" s="38"/>
      <c r="H22" s="33"/>
      <c r="I22" s="33"/>
      <c r="J22" s="33"/>
      <c r="K22" s="33"/>
      <c r="L22" s="33"/>
    </row>
    <row r="23" ht="22.5" customHeight="1">
      <c r="A23" s="39" t="s">
        <v>181</v>
      </c>
      <c r="C23" s="40"/>
      <c r="D23" s="20"/>
      <c r="E23" s="41" t="s">
        <v>183</v>
      </c>
      <c r="G23" s="40"/>
      <c r="H23" s="33"/>
      <c r="I23" s="33"/>
      <c r="J23" s="33"/>
      <c r="K23" s="33"/>
      <c r="L23" s="33"/>
    </row>
    <row r="24" ht="22.5" customHeight="1">
      <c r="A24" s="16" t="s">
        <v>44</v>
      </c>
      <c r="B24" s="9" t="s">
        <v>1</v>
      </c>
      <c r="C24" s="19" t="s">
        <v>3</v>
      </c>
      <c r="D24" s="20"/>
      <c r="E24" s="21" t="s">
        <v>44</v>
      </c>
      <c r="F24" s="9" t="s">
        <v>1</v>
      </c>
      <c r="G24" s="19" t="s">
        <v>3</v>
      </c>
      <c r="H24" s="33"/>
      <c r="I24" s="33"/>
      <c r="J24" s="33"/>
      <c r="K24" s="33"/>
      <c r="L24" s="33"/>
    </row>
    <row r="25">
      <c r="A25" s="23">
        <v>1.0</v>
      </c>
      <c r="B25" s="24">
        <f>IFERROR(__xludf.DUMMYFUNCTION("query(BADGERS!A2:H37,""Select B,H where (LOWER(F)='male' and not (G contains 'SEN' or G contains 'U20')) limit 4"")"),21.0)</f>
        <v>21</v>
      </c>
      <c r="C25" s="26" t="str">
        <f>IFERROR(__xludf.DUMMYFUNCTION("""COMPUTED_VALUE"""),"Neil Russell")</f>
        <v>Neil Russell</v>
      </c>
      <c r="D25" s="20"/>
      <c r="E25" s="24">
        <v>1.0</v>
      </c>
      <c r="F25" s="24">
        <f>IFERROR(__xludf.DUMMYFUNCTION("query(BADGERS!A2:H37,""Select B,H where (LOWER(F)='female' and not (G contains 'SEN' or G contains 'U20')) limit 3"")"),57.0)</f>
        <v>57</v>
      </c>
      <c r="G25" s="26" t="str">
        <f>IFERROR(__xludf.DUMMYFUNCTION("""COMPUTED_VALUE"""),"Suzy Farrell")</f>
        <v>Suzy Farrell</v>
      </c>
      <c r="H25" s="33"/>
      <c r="I25" s="33"/>
      <c r="J25" s="33"/>
      <c r="K25" s="33"/>
      <c r="L25" s="33"/>
    </row>
    <row r="26">
      <c r="A26" s="23">
        <v>2.0</v>
      </c>
      <c r="B26" s="24">
        <f>IFERROR(__xludf.DUMMYFUNCTION("""COMPUTED_VALUE"""),27.0)</f>
        <v>27</v>
      </c>
      <c r="C26" s="26" t="str">
        <f>IFERROR(__xludf.DUMMYFUNCTION("""COMPUTED_VALUE"""),"Chris Horton")</f>
        <v>Chris Horton</v>
      </c>
      <c r="D26" s="20"/>
      <c r="E26" s="24">
        <v>2.0</v>
      </c>
      <c r="F26" s="24">
        <f>IFERROR(__xludf.DUMMYFUNCTION("""COMPUTED_VALUE"""),87.0)</f>
        <v>87</v>
      </c>
      <c r="G26" s="26" t="str">
        <f>IFERROR(__xludf.DUMMYFUNCTION("""COMPUTED_VALUE"""),"Victoria Jones")</f>
        <v>Victoria Jones</v>
      </c>
      <c r="H26" s="33"/>
      <c r="I26" s="33"/>
      <c r="J26" s="33"/>
      <c r="K26" s="33"/>
      <c r="L26" s="33"/>
    </row>
    <row r="27">
      <c r="A27" s="23">
        <v>3.0</v>
      </c>
      <c r="B27" s="24">
        <f>IFERROR(__xludf.DUMMYFUNCTION("""COMPUTED_VALUE"""),32.0)</f>
        <v>32</v>
      </c>
      <c r="C27" s="26" t="str">
        <f>IFERROR(__xludf.DUMMYFUNCTION("""COMPUTED_VALUE"""),"Glyn Broadhurst")</f>
        <v>Glyn Broadhurst</v>
      </c>
      <c r="D27" s="20"/>
      <c r="E27" s="29">
        <v>3.0</v>
      </c>
      <c r="F27" s="29">
        <f>IFERROR(__xludf.DUMMYFUNCTION("""COMPUTED_VALUE"""),88.0)</f>
        <v>88</v>
      </c>
      <c r="G27" s="30" t="str">
        <f>IFERROR(__xludf.DUMMYFUNCTION("""COMPUTED_VALUE"""),"Stephanie White")</f>
        <v>Stephanie White</v>
      </c>
      <c r="H27" s="33"/>
      <c r="I27" s="33"/>
      <c r="J27" s="33"/>
      <c r="K27" s="33"/>
      <c r="L27" s="33"/>
    </row>
    <row r="28">
      <c r="A28" s="34">
        <v>4.0</v>
      </c>
      <c r="B28" s="29">
        <f>IFERROR(__xludf.DUMMYFUNCTION("""COMPUTED_VALUE"""),52.0)</f>
        <v>52</v>
      </c>
      <c r="C28" s="30" t="str">
        <f>IFERROR(__xludf.DUMMYFUNCTION("""COMPUTED_VALUE"""),"Chris Tweed")</f>
        <v>Chris Tweed</v>
      </c>
      <c r="D28" s="20"/>
      <c r="E28" s="31" t="s">
        <v>107</v>
      </c>
      <c r="F28" s="32">
        <f>sum(F25:F27)</f>
        <v>232</v>
      </c>
      <c r="G28" s="33"/>
      <c r="H28" s="33"/>
      <c r="I28" s="33"/>
      <c r="J28" s="33"/>
      <c r="K28" s="33"/>
      <c r="L28" s="33"/>
    </row>
    <row r="29">
      <c r="A29" s="35" t="s">
        <v>107</v>
      </c>
      <c r="B29" s="32">
        <f>sum(B25:B28)</f>
        <v>132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ht="7.5" customHeight="1">
      <c r="A30" s="37"/>
      <c r="B30" s="38"/>
      <c r="C30" s="38"/>
      <c r="D30" s="33"/>
      <c r="E30" s="38"/>
      <c r="F30" s="38"/>
      <c r="G30" s="38"/>
      <c r="H30" s="33"/>
      <c r="I30" s="33"/>
      <c r="J30" s="33"/>
      <c r="K30" s="33"/>
      <c r="L30" s="33"/>
    </row>
    <row r="31">
      <c r="A31" s="39" t="s">
        <v>207</v>
      </c>
      <c r="C31" s="40"/>
      <c r="D31" s="20"/>
      <c r="E31" s="41" t="s">
        <v>209</v>
      </c>
      <c r="G31" s="40"/>
      <c r="H31" s="33"/>
      <c r="I31" s="33"/>
      <c r="J31" s="33"/>
      <c r="K31" s="33"/>
      <c r="L31" s="33"/>
    </row>
    <row r="32">
      <c r="A32" s="16" t="s">
        <v>44</v>
      </c>
      <c r="B32" s="18" t="s">
        <v>1</v>
      </c>
      <c r="C32" s="19" t="s">
        <v>3</v>
      </c>
      <c r="D32" s="20"/>
      <c r="E32" s="21" t="s">
        <v>44</v>
      </c>
      <c r="F32" s="18" t="s">
        <v>1</v>
      </c>
      <c r="G32" s="19" t="s">
        <v>3</v>
      </c>
      <c r="H32" s="33"/>
      <c r="I32" s="33"/>
      <c r="J32" s="33"/>
      <c r="K32" s="33"/>
      <c r="L32" s="33"/>
    </row>
    <row r="33">
      <c r="A33" s="23">
        <v>1.0</v>
      </c>
      <c r="B33" s="24">
        <f>IFERROR(__xludf.DUMMYFUNCTION("query(BADGERS!A2:H37,""Select B,H where (LOWER(F)='male' and not (G contains 'SEN' or G contains 'U20') and B &gt; ""&amp;B28&amp;"") limit 4"")"),57.0)</f>
        <v>57</v>
      </c>
      <c r="C33" s="26" t="str">
        <f>IFERROR(__xludf.DUMMYFUNCTION("""COMPUTED_VALUE"""),"Mark Repton")</f>
        <v>Mark Repton</v>
      </c>
      <c r="D33" s="20"/>
      <c r="E33" s="24">
        <v>1.0</v>
      </c>
      <c r="F33" s="24">
        <f>IFERROR(__xludf.DUMMYFUNCTION("query(BADGERS!A2:H37,""Select B,H where (LOWER(F)='female' and not (G contains 'SEN' or G contains 'U20') and B &gt; ""&amp;F27&amp;"") limit 3"")"),92.0)</f>
        <v>92</v>
      </c>
      <c r="G33" s="26" t="str">
        <f>IFERROR(__xludf.DUMMYFUNCTION("""COMPUTED_VALUE"""),"Rachael Browne")</f>
        <v>Rachael Browne</v>
      </c>
      <c r="H33" s="33"/>
      <c r="I33" s="33"/>
      <c r="J33" s="33"/>
      <c r="K33" s="33"/>
      <c r="L33" s="33"/>
    </row>
    <row r="34">
      <c r="A34" s="23">
        <v>2.0</v>
      </c>
      <c r="B34" s="24">
        <f>IFERROR(__xludf.DUMMYFUNCTION("""COMPUTED_VALUE"""),99.0)</f>
        <v>99</v>
      </c>
      <c r="C34" s="26" t="str">
        <f>IFERROR(__xludf.DUMMYFUNCTION("""COMPUTED_VALUE"""),"Mark Coggan")</f>
        <v>Mark Coggan</v>
      </c>
      <c r="D34" s="20"/>
      <c r="E34" s="24">
        <v>2.0</v>
      </c>
      <c r="F34" s="24">
        <f>IFERROR(__xludf.DUMMYFUNCTION("""COMPUTED_VALUE"""),96.0)</f>
        <v>96</v>
      </c>
      <c r="G34" s="26" t="str">
        <f>IFERROR(__xludf.DUMMYFUNCTION("""COMPUTED_VALUE"""),"Liz Peel")</f>
        <v>Liz Peel</v>
      </c>
      <c r="H34" s="33"/>
      <c r="I34" s="33"/>
      <c r="J34" s="33"/>
      <c r="K34" s="33"/>
      <c r="L34" s="33"/>
    </row>
    <row r="35">
      <c r="A35" s="23">
        <v>3.0</v>
      </c>
      <c r="B35" s="24">
        <f>IFERROR(__xludf.DUMMYFUNCTION("""COMPUTED_VALUE"""),103.0)</f>
        <v>103</v>
      </c>
      <c r="C35" s="26" t="str">
        <f>IFERROR(__xludf.DUMMYFUNCTION("""COMPUTED_VALUE"""),"David Jackson")</f>
        <v>David Jackson</v>
      </c>
      <c r="D35" s="20"/>
      <c r="E35" s="29">
        <v>3.0</v>
      </c>
      <c r="F35" s="29">
        <f>IFERROR(__xludf.DUMMYFUNCTION("""COMPUTED_VALUE"""),105.0)</f>
        <v>105</v>
      </c>
      <c r="G35" s="30" t="str">
        <f>IFERROR(__xludf.DUMMYFUNCTION("""COMPUTED_VALUE"""),"Jill Miller")</f>
        <v>Jill Miller</v>
      </c>
      <c r="H35" s="33"/>
      <c r="I35" s="33"/>
      <c r="J35" s="33"/>
      <c r="K35" s="33"/>
      <c r="L35" s="33"/>
    </row>
    <row r="36">
      <c r="A36" s="34">
        <v>4.0</v>
      </c>
      <c r="B36" s="29">
        <f>IFERROR(__xludf.DUMMYFUNCTION("""COMPUTED_VALUE"""),118.0)</f>
        <v>118</v>
      </c>
      <c r="C36" s="30" t="str">
        <f>IFERROR(__xludf.DUMMYFUNCTION("""COMPUTED_VALUE"""),"Matthew Green")</f>
        <v>Matthew Green</v>
      </c>
      <c r="D36" s="20"/>
      <c r="E36" s="31" t="s">
        <v>107</v>
      </c>
      <c r="F36" s="32">
        <f>sum(F33:F35)</f>
        <v>293</v>
      </c>
      <c r="G36" s="33"/>
      <c r="H36" s="33"/>
      <c r="I36" s="33"/>
      <c r="J36" s="33"/>
      <c r="K36" s="33"/>
      <c r="L36" s="33"/>
    </row>
    <row r="37">
      <c r="A37" s="35" t="s">
        <v>107</v>
      </c>
      <c r="B37" s="32">
        <f>sum(B33:B36)</f>
        <v>377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9">
    <mergeCell ref="A31:C31"/>
    <mergeCell ref="E31:G31"/>
    <mergeCell ref="A1:C1"/>
    <mergeCell ref="E1:G1"/>
    <mergeCell ref="I1:L1"/>
    <mergeCell ref="A13:C13"/>
    <mergeCell ref="E13:G13"/>
    <mergeCell ref="A23:C23"/>
    <mergeCell ref="E23:G23"/>
  </mergeCells>
  <conditionalFormatting sqref="B2 F2 J2 B14 F14 B24 F24 B32 F32">
    <cfRule type="expression" dxfId="0" priority="1">
      <formula>if($E2="BADGERS",True)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.88"/>
  </cols>
  <sheetData>
    <row r="1">
      <c r="A1" s="6">
        <f t="array" ref="A1:B6">INDEX(SCORERS!B3:C8,0)</f>
        <v>2</v>
      </c>
      <c r="B1" t="s">
        <v>11</v>
      </c>
      <c r="C1">
        <v>2.0</v>
      </c>
      <c r="D1" t="s">
        <v>11</v>
      </c>
    </row>
    <row r="2">
      <c r="A2" s="6">
        <v>4.0</v>
      </c>
      <c r="B2" t="s">
        <v>13</v>
      </c>
      <c r="C2">
        <v>4.0</v>
      </c>
      <c r="D2" t="s">
        <v>13</v>
      </c>
    </row>
    <row r="3">
      <c r="A3" s="6">
        <v>15.0</v>
      </c>
      <c r="B3" t="s">
        <v>16</v>
      </c>
      <c r="C3">
        <v>10.0</v>
      </c>
      <c r="D3" t="s">
        <v>17</v>
      </c>
    </row>
    <row r="4">
      <c r="A4" s="6">
        <v>18.0</v>
      </c>
      <c r="B4" t="s">
        <v>18</v>
      </c>
      <c r="C4">
        <v>13.0</v>
      </c>
      <c r="D4" t="s">
        <v>16</v>
      </c>
    </row>
    <row r="5">
      <c r="A5" s="6">
        <v>21.0</v>
      </c>
      <c r="B5" t="s">
        <v>19</v>
      </c>
      <c r="C5">
        <v>14.0</v>
      </c>
      <c r="D5" t="s">
        <v>18</v>
      </c>
    </row>
    <row r="6">
      <c r="A6" s="6">
        <v>27.0</v>
      </c>
      <c r="B6" t="s">
        <v>20</v>
      </c>
      <c r="C6">
        <v>17.0</v>
      </c>
      <c r="D6" t="s">
        <v>20</v>
      </c>
    </row>
    <row r="7">
      <c r="A7" s="6"/>
    </row>
    <row r="8">
      <c r="A8" s="6">
        <f t="array" ref="A8:B13">INDEX(SCORERS!B15:C20,0)</f>
        <v>31</v>
      </c>
      <c r="B8" t="s">
        <v>24</v>
      </c>
      <c r="C8">
        <v>18.0</v>
      </c>
      <c r="D8" t="s">
        <v>26</v>
      </c>
    </row>
    <row r="9">
      <c r="A9" s="6">
        <v>32.0</v>
      </c>
      <c r="B9" t="s">
        <v>27</v>
      </c>
      <c r="C9">
        <v>24.0</v>
      </c>
      <c r="D9" t="s">
        <v>28</v>
      </c>
    </row>
    <row r="10">
      <c r="A10" s="6">
        <v>52.0</v>
      </c>
      <c r="B10" t="s">
        <v>30</v>
      </c>
      <c r="C10">
        <v>34.0</v>
      </c>
      <c r="D10" t="s">
        <v>30</v>
      </c>
    </row>
    <row r="11">
      <c r="A11" s="6">
        <v>56.0</v>
      </c>
      <c r="B11" t="s">
        <v>32</v>
      </c>
      <c r="C11">
        <v>47.0</v>
      </c>
      <c r="D11" t="s">
        <v>33</v>
      </c>
    </row>
    <row r="12">
      <c r="A12" s="6">
        <v>57.0</v>
      </c>
      <c r="B12" t="s">
        <v>33</v>
      </c>
      <c r="C12">
        <v>49.0</v>
      </c>
      <c r="D12" t="s">
        <v>24</v>
      </c>
    </row>
    <row r="13">
      <c r="A13" s="6">
        <v>99.0</v>
      </c>
      <c r="B13" t="s">
        <v>35</v>
      </c>
      <c r="C13">
        <v>55.0</v>
      </c>
      <c r="D13" t="s">
        <v>36</v>
      </c>
    </row>
    <row r="14">
      <c r="A14" s="6"/>
    </row>
    <row r="15">
      <c r="A15" s="6">
        <f t="array" ref="A15:B18">index(SCORERS!B25:C28,0)</f>
        <v>21</v>
      </c>
      <c r="B15" t="s">
        <v>19</v>
      </c>
      <c r="C15">
        <v>17.0</v>
      </c>
      <c r="D15" t="s">
        <v>20</v>
      </c>
    </row>
    <row r="16">
      <c r="A16" s="6">
        <v>27.0</v>
      </c>
      <c r="B16" t="s">
        <v>20</v>
      </c>
      <c r="C16">
        <v>34.0</v>
      </c>
      <c r="D16" t="s">
        <v>30</v>
      </c>
    </row>
    <row r="17">
      <c r="A17" s="6">
        <v>32.0</v>
      </c>
      <c r="B17" t="s">
        <v>27</v>
      </c>
      <c r="C17">
        <v>55.0</v>
      </c>
      <c r="D17" t="s">
        <v>36</v>
      </c>
    </row>
    <row r="18">
      <c r="A18" s="6">
        <v>52.0</v>
      </c>
      <c r="B18" t="s">
        <v>30</v>
      </c>
      <c r="C18">
        <v>96.0</v>
      </c>
      <c r="D18" t="s">
        <v>46</v>
      </c>
    </row>
    <row r="19">
      <c r="A19" s="6"/>
    </row>
    <row r="20">
      <c r="A20" s="6">
        <f t="array" ref="A20:B23">index(SCORERS!B33:C36,0)</f>
        <v>57</v>
      </c>
      <c r="B20" t="s">
        <v>33</v>
      </c>
      <c r="C20">
        <v>160.0</v>
      </c>
      <c r="D20" t="s">
        <v>50</v>
      </c>
    </row>
    <row r="21">
      <c r="A21" s="6">
        <v>99.0</v>
      </c>
      <c r="B21" t="s">
        <v>35</v>
      </c>
      <c r="C21">
        <v>169.0</v>
      </c>
      <c r="D21" t="s">
        <v>52</v>
      </c>
    </row>
    <row r="22">
      <c r="A22" s="6">
        <v>103.0</v>
      </c>
      <c r="B22" t="s">
        <v>46</v>
      </c>
      <c r="C22">
        <v>180.0</v>
      </c>
      <c r="D22" t="s">
        <v>54</v>
      </c>
    </row>
    <row r="23">
      <c r="A23" s="6">
        <v>118.0</v>
      </c>
      <c r="B23" t="s">
        <v>50</v>
      </c>
      <c r="C23">
        <v>192.0</v>
      </c>
      <c r="D23" t="s">
        <v>55</v>
      </c>
    </row>
    <row r="24">
      <c r="A24" s="6"/>
    </row>
    <row r="25">
      <c r="A25" s="6">
        <f t="array" ref="A25:B28">index(SCORERS!F3:G6,0)</f>
        <v>34</v>
      </c>
      <c r="B25" t="s">
        <v>60</v>
      </c>
      <c r="C25">
        <v>259.0</v>
      </c>
      <c r="D25" t="s">
        <v>61</v>
      </c>
    </row>
    <row r="26">
      <c r="A26" s="6">
        <v>57.0</v>
      </c>
      <c r="B26" t="s">
        <v>62</v>
      </c>
      <c r="C26">
        <v>289.0</v>
      </c>
      <c r="D26" t="s">
        <v>60</v>
      </c>
    </row>
    <row r="27">
      <c r="A27" s="6">
        <v>87.0</v>
      </c>
      <c r="B27" t="s">
        <v>63</v>
      </c>
      <c r="C27">
        <v>299.0</v>
      </c>
      <c r="D27" t="s">
        <v>64</v>
      </c>
    </row>
    <row r="28">
      <c r="A28" s="6">
        <v>88.0</v>
      </c>
      <c r="B28" t="s">
        <v>65</v>
      </c>
      <c r="C28">
        <v>316.0</v>
      </c>
      <c r="D28" t="s">
        <v>66</v>
      </c>
    </row>
    <row r="29">
      <c r="A29" s="6"/>
    </row>
    <row r="30">
      <c r="A30" s="6">
        <f t="array" ref="A30:B33">index(SCORERS!F15:G18,0)</f>
        <v>92</v>
      </c>
      <c r="B30" t="s">
        <v>69</v>
      </c>
      <c r="C30">
        <v>324.0</v>
      </c>
      <c r="D30" t="s">
        <v>70</v>
      </c>
    </row>
    <row r="31">
      <c r="A31" s="6">
        <v>96.0</v>
      </c>
      <c r="B31" t="s">
        <v>71</v>
      </c>
      <c r="C31">
        <v>346.0</v>
      </c>
      <c r="D31" t="s">
        <v>72</v>
      </c>
    </row>
    <row r="32">
      <c r="A32" s="6">
        <v>105.0</v>
      </c>
      <c r="B32" t="s">
        <v>73</v>
      </c>
      <c r="C32">
        <v>347.0</v>
      </c>
      <c r="D32" t="s">
        <v>74</v>
      </c>
    </row>
    <row r="33">
      <c r="A33" s="6">
        <v>108.0</v>
      </c>
      <c r="B33" t="s">
        <v>75</v>
      </c>
      <c r="C33">
        <v>386.0</v>
      </c>
      <c r="D33" t="s">
        <v>76</v>
      </c>
    </row>
    <row r="34">
      <c r="A34" s="6"/>
    </row>
    <row r="35">
      <c r="A35" s="6">
        <f t="array" ref="A35:B37">index(SCORERS!F25:G27,0)</f>
        <v>57</v>
      </c>
      <c r="B35" t="s">
        <v>62</v>
      </c>
      <c r="C35">
        <v>316.0</v>
      </c>
      <c r="D35" t="s">
        <v>66</v>
      </c>
    </row>
    <row r="36">
      <c r="A36" s="6">
        <v>87.0</v>
      </c>
      <c r="B36" t="s">
        <v>63</v>
      </c>
      <c r="C36">
        <v>324.0</v>
      </c>
      <c r="D36" t="s">
        <v>70</v>
      </c>
    </row>
    <row r="37">
      <c r="A37" s="6">
        <v>88.0</v>
      </c>
      <c r="B37" t="s">
        <v>65</v>
      </c>
      <c r="C37">
        <v>386.0</v>
      </c>
      <c r="D37" t="s">
        <v>76</v>
      </c>
    </row>
    <row r="38">
      <c r="A38" s="6"/>
    </row>
    <row r="39">
      <c r="A39" s="6">
        <f t="array" ref="A39:B41">index(SCORERS!F33:G35,0)</f>
        <v>92</v>
      </c>
      <c r="B39" t="s">
        <v>69</v>
      </c>
      <c r="C39">
        <v>396.0</v>
      </c>
      <c r="D39" t="s">
        <v>84</v>
      </c>
    </row>
    <row r="40">
      <c r="A40" s="6">
        <v>96.0</v>
      </c>
      <c r="B40" t="s">
        <v>71</v>
      </c>
      <c r="C40">
        <v>411.0</v>
      </c>
      <c r="D40" t="s">
        <v>86</v>
      </c>
    </row>
    <row r="41">
      <c r="A41" s="6">
        <v>105.0</v>
      </c>
      <c r="B41" t="s">
        <v>73</v>
      </c>
      <c r="C41">
        <v>436.0</v>
      </c>
      <c r="D41" t="s">
        <v>87</v>
      </c>
    </row>
    <row r="42">
      <c r="A42" s="6"/>
    </row>
    <row r="43">
      <c r="A43" s="6">
        <f t="array" ref="A43:B50">index(SCORERS!J3:K10,0)</f>
        <v>2</v>
      </c>
      <c r="B43" t="s">
        <v>11</v>
      </c>
      <c r="C43">
        <v>2.0</v>
      </c>
      <c r="D43" t="s">
        <v>11</v>
      </c>
    </row>
    <row r="44">
      <c r="A44" s="6">
        <v>4.0</v>
      </c>
      <c r="B44" t="s">
        <v>13</v>
      </c>
      <c r="C44">
        <v>4.0</v>
      </c>
      <c r="D44" t="s">
        <v>13</v>
      </c>
    </row>
    <row r="45">
      <c r="A45" s="6">
        <v>15.0</v>
      </c>
      <c r="B45" t="s">
        <v>16</v>
      </c>
      <c r="C45">
        <v>10.0</v>
      </c>
      <c r="D45" t="s">
        <v>17</v>
      </c>
    </row>
    <row r="46">
      <c r="A46" s="6">
        <v>18.0</v>
      </c>
      <c r="B46" t="s">
        <v>18</v>
      </c>
      <c r="C46">
        <v>13.0</v>
      </c>
      <c r="D46" t="s">
        <v>16</v>
      </c>
    </row>
    <row r="47">
      <c r="A47" s="6">
        <v>34.0</v>
      </c>
      <c r="B47" t="s">
        <v>60</v>
      </c>
      <c r="C47">
        <v>259.0</v>
      </c>
      <c r="D47" t="s">
        <v>61</v>
      </c>
    </row>
    <row r="48">
      <c r="A48" s="6">
        <v>57.0</v>
      </c>
      <c r="B48" t="s">
        <v>62</v>
      </c>
      <c r="C48">
        <v>289.0</v>
      </c>
      <c r="D48" t="s">
        <v>60</v>
      </c>
    </row>
    <row r="49">
      <c r="A49" s="6">
        <v>87.0</v>
      </c>
      <c r="B49" t="s">
        <v>63</v>
      </c>
      <c r="C49">
        <v>299.0</v>
      </c>
      <c r="D49" t="s">
        <v>64</v>
      </c>
    </row>
    <row r="50">
      <c r="A50" s="6">
        <v>88.0</v>
      </c>
      <c r="B50" t="s">
        <v>65</v>
      </c>
      <c r="C50">
        <v>316.0</v>
      </c>
      <c r="D50" t="s">
        <v>66</v>
      </c>
    </row>
  </sheetData>
  <drawing r:id="rId1"/>
</worksheet>
</file>